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Stichting Carmelcollege/Schoonmaak 2020/NvI/4e Nvi/"/>
    </mc:Choice>
  </mc:AlternateContent>
  <xr:revisionPtr revIDLastSave="47" documentId="8_{C2BA2308-4036-44AF-AA6A-4651C2872989}" xr6:coauthVersionLast="47" xr6:coauthVersionMax="47" xr10:uidLastSave="{A9588325-0FA2-454A-B589-8CE377B61DAC}"/>
  <bookViews>
    <workbookView xWindow="-120" yWindow="-120" windowWidth="29040" windowHeight="15990" tabRatio="750" xr2:uid="{00000000-000D-0000-FFFF-FFFF00000000}"/>
  </bookViews>
  <sheets>
    <sheet name="Opleverstaat dagelijks" sheetId="29" r:id="rId1"/>
    <sheet name="Werkprogramma periodiek" sheetId="30" r:id="rId2"/>
    <sheet name="Werkprogramma diepreinigen" sheetId="21" r:id="rId3"/>
    <sheet name="Tariefsopbouw" sheetId="31" r:id="rId4"/>
    <sheet name="Overnamegegevens" sheetId="28" r:id="rId5"/>
    <sheet name="Prestatiefactoren" sheetId="11" r:id="rId6"/>
    <sheet name="Ruimtestaat" sheetId="13" r:id="rId7"/>
    <sheet name="Glasbewassing" sheetId="22" r:id="rId8"/>
    <sheet name="Vloeronderhoud" sheetId="25" r:id="rId9"/>
    <sheet name="Extra werkzaamheden" sheetId="32" r:id="rId10"/>
    <sheet name="Regie en afroep" sheetId="24" r:id="rId11"/>
    <sheet name="Totalisatie" sheetId="19" r:id="rId12"/>
  </sheets>
  <externalReferences>
    <externalReference r:id="rId13"/>
    <externalReference r:id="rId14"/>
    <externalReference r:id="rId15"/>
  </externalReferences>
  <definedNames>
    <definedName name="_1F" localSheetId="0" hidden="1">[1]Psychiatrie!#REF!</definedName>
    <definedName name="_1F" localSheetId="3" hidden="1">[1]Psychiatrie!#REF!</definedName>
    <definedName name="_1F" localSheetId="8" hidden="1">[1]Psychiatrie!#REF!</definedName>
    <definedName name="_1F" localSheetId="1" hidden="1">[1]Psychiatrie!#REF!</definedName>
    <definedName name="_1F" hidden="1">[1]Psychiatrie!#REF!</definedName>
    <definedName name="_2_0_F" localSheetId="0" hidden="1">[1]Psychiatrie!#REF!</definedName>
    <definedName name="_2_0_F" localSheetId="8" hidden="1">[1]Psychiatrie!#REF!</definedName>
    <definedName name="_2_0_F" localSheetId="1" hidden="1">[1]Psychiatrie!#REF!</definedName>
    <definedName name="_2_0_F" hidden="1">[1]Psychiatrie!#REF!</definedName>
    <definedName name="_Dist_Bin" localSheetId="0" hidden="1">#REF!</definedName>
    <definedName name="_Dist_Bin" localSheetId="3" hidden="1">#REF!</definedName>
    <definedName name="_Dist_Bin" localSheetId="8" hidden="1">#REF!</definedName>
    <definedName name="_Dist_Bin" localSheetId="1" hidden="1">#REF!</definedName>
    <definedName name="_Dist_Bin" hidden="1">#REF!</definedName>
    <definedName name="_Dist_Values" localSheetId="8" hidden="1">#REF!</definedName>
    <definedName name="_Dist_Values" hidden="1">#REF!</definedName>
    <definedName name="_Fill" localSheetId="8" hidden="1">'[2]#REF'!#REF!</definedName>
    <definedName name="_Fill" hidden="1">'[2]#REF'!#REF!</definedName>
    <definedName name="_xlnm._FilterDatabase" localSheetId="11" hidden="1">Totalisatie!#REF!</definedName>
    <definedName name="_Key1" localSheetId="0" hidden="1">'[2]#REF'!#REF!</definedName>
    <definedName name="_Key1" localSheetId="8" hidden="1">'[2]#REF'!#REF!</definedName>
    <definedName name="_Key1" localSheetId="1" hidden="1">'[2]#REF'!#REF!</definedName>
    <definedName name="_Key1" hidden="1">'[2]#REF'!#REF!</definedName>
    <definedName name="_Order1" hidden="1">255</definedName>
    <definedName name="_Sort" localSheetId="0" hidden="1">#REF!</definedName>
    <definedName name="_Sort" localSheetId="3" hidden="1">#REF!</definedName>
    <definedName name="_Sort" localSheetId="8" hidden="1">#REF!</definedName>
    <definedName name="_Sort" localSheetId="1" hidden="1">#REF!</definedName>
    <definedName name="_Sort" hidden="1">#REF!</definedName>
    <definedName name="_Table1_In1" localSheetId="8" hidden="1">#REF!</definedName>
    <definedName name="_Table1_In1" hidden="1">#REF!</definedName>
    <definedName name="_Table1_Out" localSheetId="8" hidden="1">#REF!</definedName>
    <definedName name="_Table1_Out" hidden="1">#REF!</definedName>
    <definedName name="AccessDatabase" hidden="1">"C:\data\excel\BASISWP.mdb"</definedName>
    <definedName name="_xlnm.Print_Area" localSheetId="7">Glasbewassing!$A$1:$I$55</definedName>
    <definedName name="_xlnm.Print_Area" localSheetId="5">Prestatiefactoren!$A$1:$F$57</definedName>
    <definedName name="_xlnm.Print_Area" localSheetId="10">'Regie en afroep'!$A$1:$I$40</definedName>
    <definedName name="_xlnm.Print_Area" localSheetId="6">'Ruimtestaat'!$A$1:$AF$881</definedName>
    <definedName name="_xlnm.Print_Area" localSheetId="3">Tariefsopbouw!$A$1:$Q$41</definedName>
    <definedName name="_xlnm.Print_Area" localSheetId="11">Totalisatie!$A$1:$H$33</definedName>
    <definedName name="_xlnm.Print_Area" localSheetId="8">Vloeronderhoud!$A$1:$I$49</definedName>
    <definedName name="_xlnm.Print_Area" localSheetId="2">'Werkprogramma diepreinigen'!$A$1:$A$16</definedName>
    <definedName name="_xlnm.Print_Titles" localSheetId="6">'Ruimtestaat'!$2:$4</definedName>
    <definedName name="Glas" hidden="1">[3]Psychiatrie!#REF!</definedName>
    <definedName name="Invulglas1">Glasbewassing!$A$9:$I$21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217" i="13" l="1"/>
  <c r="G41" i="22"/>
  <c r="D41" i="22"/>
  <c r="B41" i="22"/>
  <c r="G40" i="22"/>
  <c r="D40" i="22"/>
  <c r="B40" i="22"/>
  <c r="G39" i="22"/>
  <c r="D39" i="22"/>
  <c r="B39" i="22"/>
  <c r="G49" i="22"/>
  <c r="D49" i="22"/>
  <c r="B49" i="22"/>
  <c r="G48" i="22"/>
  <c r="D48" i="22"/>
  <c r="B48" i="22"/>
  <c r="G47" i="22"/>
  <c r="D47" i="22"/>
  <c r="B47" i="22"/>
  <c r="G46" i="22"/>
  <c r="D46" i="22"/>
  <c r="B46" i="22"/>
  <c r="E13" i="32"/>
  <c r="E14" i="32"/>
  <c r="E15" i="32"/>
  <c r="E16" i="32"/>
  <c r="E17" i="32"/>
  <c r="E18" i="32"/>
  <c r="E19" i="32"/>
  <c r="E20" i="32"/>
  <c r="E21" i="32"/>
  <c r="E22" i="32"/>
  <c r="E23" i="32"/>
  <c r="E24" i="32"/>
  <c r="H24" i="32" l="1"/>
  <c r="H22" i="32"/>
  <c r="H20" i="32"/>
  <c r="H18" i="32"/>
  <c r="H16" i="32"/>
  <c r="H14" i="32"/>
  <c r="H15" i="32"/>
  <c r="H17" i="32"/>
  <c r="H19" i="32"/>
  <c r="H21" i="32"/>
  <c r="D18" i="32"/>
  <c r="B18" i="32"/>
  <c r="D17" i="32"/>
  <c r="B17" i="32"/>
  <c r="D16" i="32"/>
  <c r="B16" i="32"/>
  <c r="D15" i="32"/>
  <c r="B15" i="32"/>
  <c r="D14" i="32"/>
  <c r="B14" i="32"/>
  <c r="H13" i="32"/>
  <c r="F17" i="19" s="1"/>
  <c r="D13" i="32"/>
  <c r="B13" i="32"/>
  <c r="H23" i="32"/>
  <c r="D19" i="32"/>
  <c r="D20" i="32"/>
  <c r="D21" i="32"/>
  <c r="D22" i="32"/>
  <c r="D23" i="32"/>
  <c r="D24" i="32"/>
  <c r="D54" i="22" l="1"/>
  <c r="D50" i="22"/>
  <c r="D42" i="22"/>
  <c r="D35" i="22"/>
  <c r="D31" i="22"/>
  <c r="B24" i="32" l="1"/>
  <c r="B23" i="32"/>
  <c r="B22" i="32"/>
  <c r="B21" i="32"/>
  <c r="B20" i="32"/>
  <c r="B19" i="32"/>
  <c r="Y424" i="13"/>
  <c r="Z424" i="13" s="1"/>
  <c r="S424" i="13"/>
  <c r="U424" i="13" s="1"/>
  <c r="AD424" i="13" s="1"/>
  <c r="O424" i="13"/>
  <c r="E424" i="13"/>
  <c r="D424" i="13"/>
  <c r="C424" i="13"/>
  <c r="B424" i="13"/>
  <c r="F48" i="25"/>
  <c r="H48" i="25" s="1"/>
  <c r="D48" i="25"/>
  <c r="B48" i="25"/>
  <c r="F47" i="25"/>
  <c r="H47" i="25" s="1"/>
  <c r="D47" i="25"/>
  <c r="B47" i="25"/>
  <c r="F46" i="25"/>
  <c r="H46" i="25" s="1"/>
  <c r="D46" i="25"/>
  <c r="B46" i="25"/>
  <c r="F45" i="25"/>
  <c r="H45" i="25" s="1"/>
  <c r="D45" i="25"/>
  <c r="B45" i="25"/>
  <c r="F44" i="25"/>
  <c r="H44" i="25" s="1"/>
  <c r="D44" i="25"/>
  <c r="B44" i="25"/>
  <c r="F43" i="25"/>
  <c r="H43" i="25" s="1"/>
  <c r="D43" i="25"/>
  <c r="B43" i="25"/>
  <c r="F42" i="25"/>
  <c r="H42" i="25" s="1"/>
  <c r="D42" i="25"/>
  <c r="B42" i="25"/>
  <c r="F41" i="25"/>
  <c r="H41" i="25" s="1"/>
  <c r="D41" i="25"/>
  <c r="B41" i="25"/>
  <c r="F40" i="25"/>
  <c r="H40" i="25" s="1"/>
  <c r="D40" i="25"/>
  <c r="B40" i="25"/>
  <c r="F39" i="25"/>
  <c r="H39" i="25" s="1"/>
  <c r="D39" i="25"/>
  <c r="B39" i="25"/>
  <c r="F38" i="25"/>
  <c r="H38" i="25" s="1"/>
  <c r="D38" i="25"/>
  <c r="B38" i="25"/>
  <c r="F37" i="25"/>
  <c r="H37" i="25" s="1"/>
  <c r="D37" i="25"/>
  <c r="B37" i="25"/>
  <c r="F36" i="25"/>
  <c r="H36" i="25" s="1"/>
  <c r="D36" i="25"/>
  <c r="B36" i="25"/>
  <c r="F35" i="25"/>
  <c r="H35" i="25" s="1"/>
  <c r="D35" i="25"/>
  <c r="B35" i="25"/>
  <c r="F34" i="25"/>
  <c r="H34" i="25" s="1"/>
  <c r="D34" i="25"/>
  <c r="B34" i="25"/>
  <c r="F33" i="25"/>
  <c r="H33" i="25" s="1"/>
  <c r="D33" i="25"/>
  <c r="B33" i="25"/>
  <c r="F32" i="25"/>
  <c r="H32" i="25" s="1"/>
  <c r="D32" i="25"/>
  <c r="B32" i="25"/>
  <c r="F31" i="25"/>
  <c r="H31" i="25" s="1"/>
  <c r="D31" i="25"/>
  <c r="B31" i="25"/>
  <c r="F30" i="25"/>
  <c r="H30" i="25" s="1"/>
  <c r="D30" i="25"/>
  <c r="B30" i="25"/>
  <c r="F29" i="25"/>
  <c r="H29" i="25" s="1"/>
  <c r="D29" i="25"/>
  <c r="B29" i="25"/>
  <c r="F28" i="25"/>
  <c r="H28" i="25" s="1"/>
  <c r="D28" i="25"/>
  <c r="B28" i="25"/>
  <c r="F27" i="25"/>
  <c r="H27" i="25" s="1"/>
  <c r="D27" i="25"/>
  <c r="B27" i="25"/>
  <c r="F26" i="25"/>
  <c r="H26" i="25" s="1"/>
  <c r="D26" i="25"/>
  <c r="B26" i="25"/>
  <c r="F25" i="25"/>
  <c r="H25" i="25" s="1"/>
  <c r="D25" i="25"/>
  <c r="B25" i="25"/>
  <c r="F24" i="25"/>
  <c r="H24" i="25" s="1"/>
  <c r="D24" i="25"/>
  <c r="B24" i="25"/>
  <c r="F22" i="25"/>
  <c r="H22" i="25" s="1"/>
  <c r="D22" i="25"/>
  <c r="B22" i="25"/>
  <c r="Y881" i="13"/>
  <c r="Z881" i="13" s="1"/>
  <c r="S881" i="13"/>
  <c r="T881" i="13" s="1"/>
  <c r="Y880" i="13"/>
  <c r="Z880" i="13" s="1"/>
  <c r="S880" i="13"/>
  <c r="U880" i="13" s="1"/>
  <c r="AD880" i="13" s="1"/>
  <c r="Y879" i="13"/>
  <c r="Z879" i="13" s="1"/>
  <c r="S879" i="13"/>
  <c r="T879" i="13" s="1"/>
  <c r="Y878" i="13"/>
  <c r="Z878" i="13" s="1"/>
  <c r="S878" i="13"/>
  <c r="U878" i="13" s="1"/>
  <c r="AD878" i="13" s="1"/>
  <c r="Y877" i="13"/>
  <c r="Z877" i="13" s="1"/>
  <c r="S877" i="13"/>
  <c r="Y876" i="13"/>
  <c r="Z876" i="13" s="1"/>
  <c r="S876" i="13"/>
  <c r="Y875" i="13"/>
  <c r="Z875" i="13" s="1"/>
  <c r="S875" i="13"/>
  <c r="Y874" i="13"/>
  <c r="Z874" i="13" s="1"/>
  <c r="S874" i="13"/>
  <c r="U874" i="13" s="1"/>
  <c r="AD874" i="13" s="1"/>
  <c r="Y873" i="13"/>
  <c r="Z873" i="13" s="1"/>
  <c r="S873" i="13"/>
  <c r="U873" i="13" s="1"/>
  <c r="AD873" i="13" s="1"/>
  <c r="Y872" i="13"/>
  <c r="Z872" i="13" s="1"/>
  <c r="S872" i="13"/>
  <c r="U872" i="13" s="1"/>
  <c r="AD872" i="13" s="1"/>
  <c r="Y871" i="13"/>
  <c r="Z871" i="13" s="1"/>
  <c r="S871" i="13"/>
  <c r="Y870" i="13"/>
  <c r="Z870" i="13" s="1"/>
  <c r="S870" i="13"/>
  <c r="U870" i="13" s="1"/>
  <c r="AD870" i="13" s="1"/>
  <c r="Y869" i="13"/>
  <c r="Z869" i="13" s="1"/>
  <c r="S869" i="13"/>
  <c r="T869" i="13" s="1"/>
  <c r="Y868" i="13"/>
  <c r="Z868" i="13" s="1"/>
  <c r="S868" i="13"/>
  <c r="U868" i="13" s="1"/>
  <c r="AD868" i="13" s="1"/>
  <c r="Y867" i="13"/>
  <c r="Z867" i="13" s="1"/>
  <c r="S867" i="13"/>
  <c r="Y866" i="13"/>
  <c r="Z866" i="13" s="1"/>
  <c r="S866" i="13"/>
  <c r="U866" i="13" s="1"/>
  <c r="AD866" i="13" s="1"/>
  <c r="Y865" i="13"/>
  <c r="Z865" i="13" s="1"/>
  <c r="S865" i="13"/>
  <c r="Y864" i="13"/>
  <c r="Z864" i="13" s="1"/>
  <c r="S864" i="13"/>
  <c r="U864" i="13" s="1"/>
  <c r="AD864" i="13" s="1"/>
  <c r="Y863" i="13"/>
  <c r="Z863" i="13" s="1"/>
  <c r="S863" i="13"/>
  <c r="Y862" i="13"/>
  <c r="Z862" i="13" s="1"/>
  <c r="S862" i="13"/>
  <c r="Y861" i="13"/>
  <c r="Z861" i="13" s="1"/>
  <c r="S861" i="13"/>
  <c r="Y860" i="13"/>
  <c r="Z860" i="13" s="1"/>
  <c r="S860" i="13"/>
  <c r="U860" i="13" s="1"/>
  <c r="AD860" i="13" s="1"/>
  <c r="Y859" i="13"/>
  <c r="Z859" i="13" s="1"/>
  <c r="S859" i="13"/>
  <c r="Y858" i="13"/>
  <c r="Z858" i="13" s="1"/>
  <c r="S858" i="13"/>
  <c r="Y857" i="13"/>
  <c r="Z857" i="13" s="1"/>
  <c r="S857" i="13"/>
  <c r="Y856" i="13"/>
  <c r="Z856" i="13" s="1"/>
  <c r="S856" i="13"/>
  <c r="U856" i="13" s="1"/>
  <c r="AD856" i="13" s="1"/>
  <c r="Y855" i="13"/>
  <c r="Z855" i="13" s="1"/>
  <c r="S855" i="13"/>
  <c r="U855" i="13" s="1"/>
  <c r="AD855" i="13" s="1"/>
  <c r="Y854" i="13"/>
  <c r="Z854" i="13" s="1"/>
  <c r="S854" i="13"/>
  <c r="U854" i="13" s="1"/>
  <c r="AD854" i="13" s="1"/>
  <c r="Y853" i="13"/>
  <c r="Z853" i="13" s="1"/>
  <c r="S853" i="13"/>
  <c r="Y852" i="13"/>
  <c r="Z852" i="13" s="1"/>
  <c r="S852" i="13"/>
  <c r="U852" i="13" s="1"/>
  <c r="AD852" i="13" s="1"/>
  <c r="Y851" i="13"/>
  <c r="Z851" i="13" s="1"/>
  <c r="S851" i="13"/>
  <c r="Y850" i="13"/>
  <c r="Z850" i="13" s="1"/>
  <c r="S850" i="13"/>
  <c r="U850" i="13" s="1"/>
  <c r="AD850" i="13" s="1"/>
  <c r="Y849" i="13"/>
  <c r="Z849" i="13" s="1"/>
  <c r="S849" i="13"/>
  <c r="T849" i="13" s="1"/>
  <c r="Y848" i="13"/>
  <c r="Z848" i="13" s="1"/>
  <c r="S848" i="13"/>
  <c r="Y847" i="13"/>
  <c r="Z847" i="13" s="1"/>
  <c r="S847" i="13"/>
  <c r="Y846" i="13"/>
  <c r="Z846" i="13" s="1"/>
  <c r="S846" i="13"/>
  <c r="T846" i="13" s="1"/>
  <c r="Y845" i="13"/>
  <c r="Z845" i="13" s="1"/>
  <c r="S845" i="13"/>
  <c r="T845" i="13" s="1"/>
  <c r="Y844" i="13"/>
  <c r="Z844" i="13" s="1"/>
  <c r="S844" i="13"/>
  <c r="T844" i="13" s="1"/>
  <c r="Y843" i="13"/>
  <c r="Z843" i="13" s="1"/>
  <c r="S843" i="13"/>
  <c r="Y842" i="13"/>
  <c r="Z842" i="13" s="1"/>
  <c r="S842" i="13"/>
  <c r="Y841" i="13"/>
  <c r="Z841" i="13" s="1"/>
  <c r="S841" i="13"/>
  <c r="U841" i="13" s="1"/>
  <c r="AD841" i="13" s="1"/>
  <c r="Y840" i="13"/>
  <c r="Z840" i="13" s="1"/>
  <c r="S840" i="13"/>
  <c r="Y839" i="13"/>
  <c r="Z839" i="13" s="1"/>
  <c r="S839" i="13"/>
  <c r="T839" i="13" s="1"/>
  <c r="Y838" i="13"/>
  <c r="Z838" i="13" s="1"/>
  <c r="S838" i="13"/>
  <c r="U838" i="13" s="1"/>
  <c r="AD838" i="13" s="1"/>
  <c r="Y837" i="13"/>
  <c r="Z837" i="13" s="1"/>
  <c r="S837" i="13"/>
  <c r="U837" i="13" s="1"/>
  <c r="AD837" i="13" s="1"/>
  <c r="Y836" i="13"/>
  <c r="Z836" i="13" s="1"/>
  <c r="S836" i="13"/>
  <c r="U836" i="13" s="1"/>
  <c r="AD836" i="13" s="1"/>
  <c r="Y835" i="13"/>
  <c r="Z835" i="13" s="1"/>
  <c r="S835" i="13"/>
  <c r="U835" i="13" s="1"/>
  <c r="AD835" i="13" s="1"/>
  <c r="Y834" i="13"/>
  <c r="Z834" i="13" s="1"/>
  <c r="S834" i="13"/>
  <c r="Y833" i="13"/>
  <c r="Z833" i="13" s="1"/>
  <c r="S833" i="13"/>
  <c r="T833" i="13" s="1"/>
  <c r="Y832" i="13"/>
  <c r="Z832" i="13" s="1"/>
  <c r="S832" i="13"/>
  <c r="U832" i="13" s="1"/>
  <c r="AD832" i="13" s="1"/>
  <c r="Y831" i="13"/>
  <c r="Z831" i="13" s="1"/>
  <c r="S831" i="13"/>
  <c r="T831" i="13" s="1"/>
  <c r="Y830" i="13"/>
  <c r="Z830" i="13" s="1"/>
  <c r="S830" i="13"/>
  <c r="Y829" i="13"/>
  <c r="Z829" i="13" s="1"/>
  <c r="S829" i="13"/>
  <c r="U829" i="13" s="1"/>
  <c r="AD829" i="13" s="1"/>
  <c r="Y828" i="13"/>
  <c r="Z828" i="13" s="1"/>
  <c r="S828" i="13"/>
  <c r="U828" i="13" s="1"/>
  <c r="AD828" i="13" s="1"/>
  <c r="Y827" i="13"/>
  <c r="Z827" i="13" s="1"/>
  <c r="S827" i="13"/>
  <c r="T827" i="13" s="1"/>
  <c r="Y826" i="13"/>
  <c r="Z826" i="13" s="1"/>
  <c r="S826" i="13"/>
  <c r="U826" i="13" s="1"/>
  <c r="AD826" i="13" s="1"/>
  <c r="Y825" i="13"/>
  <c r="Z825" i="13" s="1"/>
  <c r="S825" i="13"/>
  <c r="U825" i="13" s="1"/>
  <c r="AD825" i="13" s="1"/>
  <c r="Y824" i="13"/>
  <c r="Z824" i="13" s="1"/>
  <c r="S824" i="13"/>
  <c r="T824" i="13" s="1"/>
  <c r="Y823" i="13"/>
  <c r="Z823" i="13" s="1"/>
  <c r="S823" i="13"/>
  <c r="U823" i="13" s="1"/>
  <c r="AD823" i="13" s="1"/>
  <c r="Y822" i="13"/>
  <c r="Z822" i="13" s="1"/>
  <c r="S822" i="13"/>
  <c r="Y821" i="13"/>
  <c r="Z821" i="13" s="1"/>
  <c r="S821" i="13"/>
  <c r="T821" i="13" s="1"/>
  <c r="Y820" i="13"/>
  <c r="Z820" i="13" s="1"/>
  <c r="S820" i="13"/>
  <c r="U820" i="13" s="1"/>
  <c r="AD820" i="13" s="1"/>
  <c r="Y819" i="13"/>
  <c r="Z819" i="13" s="1"/>
  <c r="S819" i="13"/>
  <c r="Y818" i="13"/>
  <c r="Z818" i="13" s="1"/>
  <c r="S818" i="13"/>
  <c r="U818" i="13" s="1"/>
  <c r="AD818" i="13" s="1"/>
  <c r="Y817" i="13"/>
  <c r="Z817" i="13" s="1"/>
  <c r="S817" i="13"/>
  <c r="U817" i="13" s="1"/>
  <c r="AD817" i="13" s="1"/>
  <c r="Y816" i="13"/>
  <c r="Z816" i="13" s="1"/>
  <c r="S816" i="13"/>
  <c r="U816" i="13" s="1"/>
  <c r="AD816" i="13" s="1"/>
  <c r="Y815" i="13"/>
  <c r="Z815" i="13" s="1"/>
  <c r="S815" i="13"/>
  <c r="T815" i="13" s="1"/>
  <c r="Y814" i="13"/>
  <c r="Z814" i="13" s="1"/>
  <c r="S814" i="13"/>
  <c r="U814" i="13" s="1"/>
  <c r="AD814" i="13" s="1"/>
  <c r="Y813" i="13"/>
  <c r="Z813" i="13" s="1"/>
  <c r="S813" i="13"/>
  <c r="Y812" i="13"/>
  <c r="Z812" i="13" s="1"/>
  <c r="S812" i="13"/>
  <c r="U812" i="13" s="1"/>
  <c r="AD812" i="13" s="1"/>
  <c r="Y811" i="13"/>
  <c r="Z811" i="13" s="1"/>
  <c r="S811" i="13"/>
  <c r="U811" i="13" s="1"/>
  <c r="AD811" i="13" s="1"/>
  <c r="Y810" i="13"/>
  <c r="Z810" i="13" s="1"/>
  <c r="S810" i="13"/>
  <c r="T810" i="13" s="1"/>
  <c r="Y809" i="13"/>
  <c r="Z809" i="13" s="1"/>
  <c r="S809" i="13"/>
  <c r="T809" i="13" s="1"/>
  <c r="V809" i="13" s="1"/>
  <c r="Y808" i="13"/>
  <c r="Z808" i="13" s="1"/>
  <c r="S808" i="13"/>
  <c r="U808" i="13" s="1"/>
  <c r="AD808" i="13" s="1"/>
  <c r="Y807" i="13"/>
  <c r="Z807" i="13" s="1"/>
  <c r="S807" i="13"/>
  <c r="T807" i="13" s="1"/>
  <c r="Y806" i="13"/>
  <c r="Z806" i="13" s="1"/>
  <c r="S806" i="13"/>
  <c r="Y805" i="13"/>
  <c r="Z805" i="13" s="1"/>
  <c r="S805" i="13"/>
  <c r="U805" i="13" s="1"/>
  <c r="AD805" i="13" s="1"/>
  <c r="Y804" i="13"/>
  <c r="Z804" i="13" s="1"/>
  <c r="S804" i="13"/>
  <c r="U804" i="13" s="1"/>
  <c r="AD804" i="13" s="1"/>
  <c r="Y803" i="13"/>
  <c r="Z803" i="13" s="1"/>
  <c r="S803" i="13"/>
  <c r="T803" i="13" s="1"/>
  <c r="Y802" i="13"/>
  <c r="Z802" i="13" s="1"/>
  <c r="S802" i="13"/>
  <c r="U802" i="13" s="1"/>
  <c r="AD802" i="13" s="1"/>
  <c r="Y801" i="13"/>
  <c r="Z801" i="13" s="1"/>
  <c r="S801" i="13"/>
  <c r="T801" i="13" s="1"/>
  <c r="Y800" i="13"/>
  <c r="Z800" i="13" s="1"/>
  <c r="S800" i="13"/>
  <c r="U800" i="13" s="1"/>
  <c r="AD800" i="13" s="1"/>
  <c r="Y799" i="13"/>
  <c r="Z799" i="13" s="1"/>
  <c r="S799" i="13"/>
  <c r="U799" i="13" s="1"/>
  <c r="AD799" i="13" s="1"/>
  <c r="Y798" i="13"/>
  <c r="Z798" i="13" s="1"/>
  <c r="S798" i="13"/>
  <c r="U798" i="13" s="1"/>
  <c r="AD798" i="13" s="1"/>
  <c r="Y797" i="13"/>
  <c r="Z797" i="13" s="1"/>
  <c r="S797" i="13"/>
  <c r="T797" i="13" s="1"/>
  <c r="Y796" i="13"/>
  <c r="Z796" i="13" s="1"/>
  <c r="S796" i="13"/>
  <c r="U796" i="13" s="1"/>
  <c r="AD796" i="13" s="1"/>
  <c r="Y795" i="13"/>
  <c r="Z795" i="13" s="1"/>
  <c r="S795" i="13"/>
  <c r="Y794" i="13"/>
  <c r="Z794" i="13" s="1"/>
  <c r="S794" i="13"/>
  <c r="Y793" i="13"/>
  <c r="Z793" i="13" s="1"/>
  <c r="S793" i="13"/>
  <c r="U793" i="13" s="1"/>
  <c r="AD793" i="13" s="1"/>
  <c r="Y792" i="13"/>
  <c r="Z792" i="13" s="1"/>
  <c r="S792" i="13"/>
  <c r="U792" i="13" s="1"/>
  <c r="AD792" i="13" s="1"/>
  <c r="Y791" i="13"/>
  <c r="Z791" i="13" s="1"/>
  <c r="S791" i="13"/>
  <c r="T791" i="13" s="1"/>
  <c r="Y790" i="13"/>
  <c r="Z790" i="13" s="1"/>
  <c r="S790" i="13"/>
  <c r="U790" i="13" s="1"/>
  <c r="AD790" i="13" s="1"/>
  <c r="Y789" i="13"/>
  <c r="Z789" i="13" s="1"/>
  <c r="S789" i="13"/>
  <c r="Y788" i="13"/>
  <c r="Z788" i="13" s="1"/>
  <c r="S788" i="13"/>
  <c r="T788" i="13" s="1"/>
  <c r="Y787" i="13"/>
  <c r="Z787" i="13" s="1"/>
  <c r="S787" i="13"/>
  <c r="U787" i="13" s="1"/>
  <c r="AD787" i="13" s="1"/>
  <c r="Y786" i="13"/>
  <c r="Z786" i="13" s="1"/>
  <c r="S786" i="13"/>
  <c r="T786" i="13" s="1"/>
  <c r="Y785" i="13"/>
  <c r="Z785" i="13" s="1"/>
  <c r="S785" i="13"/>
  <c r="U785" i="13" s="1"/>
  <c r="AD785" i="13" s="1"/>
  <c r="Y784" i="13"/>
  <c r="Z784" i="13" s="1"/>
  <c r="S784" i="13"/>
  <c r="Y783" i="13"/>
  <c r="Z783" i="13" s="1"/>
  <c r="S783" i="13"/>
  <c r="Y782" i="13"/>
  <c r="Z782" i="13" s="1"/>
  <c r="S782" i="13"/>
  <c r="U782" i="13" s="1"/>
  <c r="AD782" i="13" s="1"/>
  <c r="Y781" i="13"/>
  <c r="Z781" i="13" s="1"/>
  <c r="S781" i="13"/>
  <c r="Y780" i="13"/>
  <c r="Z780" i="13" s="1"/>
  <c r="S780" i="13"/>
  <c r="U780" i="13" s="1"/>
  <c r="AD780" i="13" s="1"/>
  <c r="Y779" i="13"/>
  <c r="Z779" i="13" s="1"/>
  <c r="S779" i="13"/>
  <c r="U779" i="13" s="1"/>
  <c r="AD779" i="13" s="1"/>
  <c r="Y778" i="13"/>
  <c r="Z778" i="13" s="1"/>
  <c r="S778" i="13"/>
  <c r="Y777" i="13"/>
  <c r="Z777" i="13" s="1"/>
  <c r="S777" i="13"/>
  <c r="T777" i="13" s="1"/>
  <c r="Y776" i="13"/>
  <c r="Z776" i="13" s="1"/>
  <c r="S776" i="13"/>
  <c r="U776" i="13" s="1"/>
  <c r="AD776" i="13" s="1"/>
  <c r="Y775" i="13"/>
  <c r="Z775" i="13" s="1"/>
  <c r="S775" i="13"/>
  <c r="T775" i="13" s="1"/>
  <c r="Y774" i="13"/>
  <c r="Z774" i="13" s="1"/>
  <c r="S774" i="13"/>
  <c r="Y773" i="13"/>
  <c r="Z773" i="13" s="1"/>
  <c r="S773" i="13"/>
  <c r="U773" i="13" s="1"/>
  <c r="AD773" i="13" s="1"/>
  <c r="Y772" i="13"/>
  <c r="Z772" i="13" s="1"/>
  <c r="S772" i="13"/>
  <c r="Y771" i="13"/>
  <c r="Z771" i="13" s="1"/>
  <c r="S771" i="13"/>
  <c r="T771" i="13" s="1"/>
  <c r="Y770" i="13"/>
  <c r="Z770" i="13" s="1"/>
  <c r="S770" i="13"/>
  <c r="Y769" i="13"/>
  <c r="Z769" i="13" s="1"/>
  <c r="S769" i="13"/>
  <c r="T769" i="13" s="1"/>
  <c r="Y768" i="13"/>
  <c r="Z768" i="13" s="1"/>
  <c r="S768" i="13"/>
  <c r="U768" i="13" s="1"/>
  <c r="AD768" i="13" s="1"/>
  <c r="Y767" i="13"/>
  <c r="Z767" i="13" s="1"/>
  <c r="S767" i="13"/>
  <c r="Y766" i="13"/>
  <c r="Z766" i="13" s="1"/>
  <c r="S766" i="13"/>
  <c r="T766" i="13" s="1"/>
  <c r="Y765" i="13"/>
  <c r="Z765" i="13" s="1"/>
  <c r="S765" i="13"/>
  <c r="U765" i="13" s="1"/>
  <c r="AD765" i="13" s="1"/>
  <c r="Y764" i="13"/>
  <c r="Z764" i="13" s="1"/>
  <c r="S764" i="13"/>
  <c r="U764" i="13" s="1"/>
  <c r="AD764" i="13" s="1"/>
  <c r="Y763" i="13"/>
  <c r="Z763" i="13" s="1"/>
  <c r="S763" i="13"/>
  <c r="Y762" i="13"/>
  <c r="Z762" i="13" s="1"/>
  <c r="S762" i="13"/>
  <c r="U762" i="13" s="1"/>
  <c r="AD762" i="13" s="1"/>
  <c r="Y761" i="13"/>
  <c r="Z761" i="13" s="1"/>
  <c r="S761" i="13"/>
  <c r="U761" i="13" s="1"/>
  <c r="AD761" i="13" s="1"/>
  <c r="Y760" i="13"/>
  <c r="Z760" i="13" s="1"/>
  <c r="S760" i="13"/>
  <c r="T760" i="13" s="1"/>
  <c r="Y759" i="13"/>
  <c r="Z759" i="13" s="1"/>
  <c r="S759" i="13"/>
  <c r="Y758" i="13"/>
  <c r="Z758" i="13" s="1"/>
  <c r="S758" i="13"/>
  <c r="U758" i="13" s="1"/>
  <c r="AD758" i="13" s="1"/>
  <c r="Y757" i="13"/>
  <c r="Z757" i="13" s="1"/>
  <c r="S757" i="13"/>
  <c r="U757" i="13" s="1"/>
  <c r="AD757" i="13" s="1"/>
  <c r="Y756" i="13"/>
  <c r="Z756" i="13" s="1"/>
  <c r="S756" i="13"/>
  <c r="U756" i="13" s="1"/>
  <c r="AD756" i="13" s="1"/>
  <c r="Y755" i="13"/>
  <c r="Z755" i="13" s="1"/>
  <c r="S755" i="13"/>
  <c r="T755" i="13" s="1"/>
  <c r="Y754" i="13"/>
  <c r="Z754" i="13" s="1"/>
  <c r="S754" i="13"/>
  <c r="U754" i="13" s="1"/>
  <c r="AD754" i="13" s="1"/>
  <c r="Y753" i="13"/>
  <c r="Z753" i="13" s="1"/>
  <c r="S753" i="13"/>
  <c r="T753" i="13" s="1"/>
  <c r="V753" i="13" s="1"/>
  <c r="Y752" i="13"/>
  <c r="Z752" i="13" s="1"/>
  <c r="S752" i="13"/>
  <c r="Y751" i="13"/>
  <c r="Z751" i="13" s="1"/>
  <c r="S751" i="13"/>
  <c r="U751" i="13" s="1"/>
  <c r="AD751" i="13" s="1"/>
  <c r="Y750" i="13"/>
  <c r="Z750" i="13" s="1"/>
  <c r="S750" i="13"/>
  <c r="U750" i="13" s="1"/>
  <c r="AD750" i="13" s="1"/>
  <c r="Y749" i="13"/>
  <c r="Z749" i="13" s="1"/>
  <c r="S749" i="13"/>
  <c r="T749" i="13" s="1"/>
  <c r="Y748" i="13"/>
  <c r="Z748" i="13" s="1"/>
  <c r="S748" i="13"/>
  <c r="U748" i="13" s="1"/>
  <c r="AD748" i="13" s="1"/>
  <c r="Y747" i="13"/>
  <c r="Z747" i="13" s="1"/>
  <c r="S747" i="13"/>
  <c r="Y746" i="13"/>
  <c r="Z746" i="13" s="1"/>
  <c r="S746" i="13"/>
  <c r="U746" i="13" s="1"/>
  <c r="AD746" i="13" s="1"/>
  <c r="Y745" i="13"/>
  <c r="Z745" i="13" s="1"/>
  <c r="S745" i="13"/>
  <c r="T745" i="13" s="1"/>
  <c r="Y744" i="13"/>
  <c r="Z744" i="13" s="1"/>
  <c r="S744" i="13"/>
  <c r="U744" i="13" s="1"/>
  <c r="AD744" i="13" s="1"/>
  <c r="Y743" i="13"/>
  <c r="Z743" i="13" s="1"/>
  <c r="S743" i="13"/>
  <c r="Y742" i="13"/>
  <c r="Z742" i="13" s="1"/>
  <c r="S742" i="13"/>
  <c r="U742" i="13" s="1"/>
  <c r="AD742" i="13" s="1"/>
  <c r="Y741" i="13"/>
  <c r="Z741" i="13" s="1"/>
  <c r="S741" i="13"/>
  <c r="U741" i="13" s="1"/>
  <c r="AD741" i="13" s="1"/>
  <c r="Y740" i="13"/>
  <c r="Z740" i="13" s="1"/>
  <c r="S740" i="13"/>
  <c r="T740" i="13" s="1"/>
  <c r="Y739" i="13"/>
  <c r="Z739" i="13" s="1"/>
  <c r="S739" i="13"/>
  <c r="T739" i="13" s="1"/>
  <c r="Y738" i="13"/>
  <c r="Z738" i="13" s="1"/>
  <c r="S738" i="13"/>
  <c r="U738" i="13" s="1"/>
  <c r="AD738" i="13" s="1"/>
  <c r="Y737" i="13"/>
  <c r="Z737" i="13" s="1"/>
  <c r="S737" i="13"/>
  <c r="Y736" i="13"/>
  <c r="Z736" i="13" s="1"/>
  <c r="S736" i="13"/>
  <c r="U736" i="13" s="1"/>
  <c r="AD736" i="13" s="1"/>
  <c r="Y735" i="13"/>
  <c r="Z735" i="13" s="1"/>
  <c r="S735" i="13"/>
  <c r="Y734" i="13"/>
  <c r="Z734" i="13" s="1"/>
  <c r="S734" i="13"/>
  <c r="Y733" i="13"/>
  <c r="Z733" i="13" s="1"/>
  <c r="S733" i="13"/>
  <c r="Y732" i="13"/>
  <c r="Z732" i="13" s="1"/>
  <c r="S732" i="13"/>
  <c r="U732" i="13" s="1"/>
  <c r="AD732" i="13" s="1"/>
  <c r="Y731" i="13"/>
  <c r="Z731" i="13" s="1"/>
  <c r="S731" i="13"/>
  <c r="Y730" i="13"/>
  <c r="Z730" i="13" s="1"/>
  <c r="S730" i="13"/>
  <c r="U730" i="13" s="1"/>
  <c r="AD730" i="13" s="1"/>
  <c r="Y729" i="13"/>
  <c r="Z729" i="13" s="1"/>
  <c r="S729" i="13"/>
  <c r="U729" i="13" s="1"/>
  <c r="AD729" i="13" s="1"/>
  <c r="Y728" i="13"/>
  <c r="Z728" i="13" s="1"/>
  <c r="S728" i="13"/>
  <c r="Y727" i="13"/>
  <c r="Z727" i="13" s="1"/>
  <c r="S727" i="13"/>
  <c r="Y726" i="13"/>
  <c r="Z726" i="13" s="1"/>
  <c r="S726" i="13"/>
  <c r="U726" i="13" s="1"/>
  <c r="AD726" i="13" s="1"/>
  <c r="Y725" i="13"/>
  <c r="Z725" i="13" s="1"/>
  <c r="S725" i="13"/>
  <c r="T725" i="13" s="1"/>
  <c r="Y724" i="13"/>
  <c r="Z724" i="13" s="1"/>
  <c r="S724" i="13"/>
  <c r="U724" i="13" s="1"/>
  <c r="AD724" i="13" s="1"/>
  <c r="Y723" i="13"/>
  <c r="Z723" i="13" s="1"/>
  <c r="S723" i="13"/>
  <c r="U723" i="13" s="1"/>
  <c r="AD723" i="13" s="1"/>
  <c r="Y722" i="13"/>
  <c r="Z722" i="13" s="1"/>
  <c r="S722" i="13"/>
  <c r="U722" i="13" s="1"/>
  <c r="AD722" i="13" s="1"/>
  <c r="Y721" i="13"/>
  <c r="Z721" i="13" s="1"/>
  <c r="S721" i="13"/>
  <c r="U721" i="13" s="1"/>
  <c r="AD721" i="13" s="1"/>
  <c r="Y720" i="13"/>
  <c r="Z720" i="13" s="1"/>
  <c r="S720" i="13"/>
  <c r="Y719" i="13"/>
  <c r="Z719" i="13" s="1"/>
  <c r="S719" i="13"/>
  <c r="Y718" i="13"/>
  <c r="Z718" i="13" s="1"/>
  <c r="S718" i="13"/>
  <c r="Y717" i="13"/>
  <c r="Z717" i="13" s="1"/>
  <c r="S717" i="13"/>
  <c r="T717" i="13" s="1"/>
  <c r="Y716" i="13"/>
  <c r="Z716" i="13" s="1"/>
  <c r="S716" i="13"/>
  <c r="U716" i="13" s="1"/>
  <c r="AD716" i="13" s="1"/>
  <c r="Y715" i="13"/>
  <c r="Z715" i="13" s="1"/>
  <c r="S715" i="13"/>
  <c r="U715" i="13" s="1"/>
  <c r="AD715" i="13" s="1"/>
  <c r="Y714" i="13"/>
  <c r="Z714" i="13" s="1"/>
  <c r="S714" i="13"/>
  <c r="Y713" i="13"/>
  <c r="Z713" i="13" s="1"/>
  <c r="S713" i="13"/>
  <c r="T713" i="13" s="1"/>
  <c r="Y712" i="13"/>
  <c r="Z712" i="13" s="1"/>
  <c r="S712" i="13"/>
  <c r="T712" i="13" s="1"/>
  <c r="Y711" i="13"/>
  <c r="Z711" i="13" s="1"/>
  <c r="S711" i="13"/>
  <c r="U711" i="13" s="1"/>
  <c r="AD711" i="13" s="1"/>
  <c r="Y710" i="13"/>
  <c r="Z710" i="13" s="1"/>
  <c r="S710" i="13"/>
  <c r="U710" i="13" s="1"/>
  <c r="AD710" i="13" s="1"/>
  <c r="Y709" i="13"/>
  <c r="Z709" i="13" s="1"/>
  <c r="S709" i="13"/>
  <c r="U709" i="13" s="1"/>
  <c r="AD709" i="13" s="1"/>
  <c r="Y708" i="13"/>
  <c r="Z708" i="13" s="1"/>
  <c r="S708" i="13"/>
  <c r="Y707" i="13"/>
  <c r="Z707" i="13" s="1"/>
  <c r="S707" i="13"/>
  <c r="T707" i="13" s="1"/>
  <c r="Y706" i="13"/>
  <c r="Z706" i="13" s="1"/>
  <c r="S706" i="13"/>
  <c r="Y705" i="13"/>
  <c r="Z705" i="13" s="1"/>
  <c r="S705" i="13"/>
  <c r="T705" i="13" s="1"/>
  <c r="Y704" i="13"/>
  <c r="Z704" i="13" s="1"/>
  <c r="S704" i="13"/>
  <c r="U704" i="13" s="1"/>
  <c r="AD704" i="13" s="1"/>
  <c r="Y703" i="13"/>
  <c r="Z703" i="13" s="1"/>
  <c r="S703" i="13"/>
  <c r="U703" i="13" s="1"/>
  <c r="AD703" i="13" s="1"/>
  <c r="Y702" i="13"/>
  <c r="Z702" i="13" s="1"/>
  <c r="S702" i="13"/>
  <c r="Y701" i="13"/>
  <c r="Z701" i="13" s="1"/>
  <c r="S701" i="13"/>
  <c r="Y700" i="13"/>
  <c r="Z700" i="13" s="1"/>
  <c r="S700" i="13"/>
  <c r="Y699" i="13"/>
  <c r="Z699" i="13" s="1"/>
  <c r="S699" i="13"/>
  <c r="U699" i="13" s="1"/>
  <c r="AD699" i="13" s="1"/>
  <c r="Y698" i="13"/>
  <c r="Z698" i="13" s="1"/>
  <c r="S698" i="13"/>
  <c r="U698" i="13" s="1"/>
  <c r="AD698" i="13" s="1"/>
  <c r="Y697" i="13"/>
  <c r="Z697" i="13" s="1"/>
  <c r="S697" i="13"/>
  <c r="U697" i="13" s="1"/>
  <c r="AD697" i="13" s="1"/>
  <c r="Y696" i="13"/>
  <c r="Z696" i="13" s="1"/>
  <c r="S696" i="13"/>
  <c r="Y695" i="13"/>
  <c r="Z695" i="13" s="1"/>
  <c r="S695" i="13"/>
  <c r="T695" i="13" s="1"/>
  <c r="Y694" i="13"/>
  <c r="Z694" i="13" s="1"/>
  <c r="S694" i="13"/>
  <c r="U694" i="13" s="1"/>
  <c r="AD694" i="13" s="1"/>
  <c r="Y693" i="13"/>
  <c r="Z693" i="13" s="1"/>
  <c r="S693" i="13"/>
  <c r="T693" i="13" s="1"/>
  <c r="Y692" i="13"/>
  <c r="Z692" i="13" s="1"/>
  <c r="S692" i="13"/>
  <c r="U692" i="13" s="1"/>
  <c r="AD692" i="13" s="1"/>
  <c r="Y691" i="13"/>
  <c r="Z691" i="13" s="1"/>
  <c r="S691" i="13"/>
  <c r="U691" i="13" s="1"/>
  <c r="AD691" i="13" s="1"/>
  <c r="Y690" i="13"/>
  <c r="Z690" i="13" s="1"/>
  <c r="S690" i="13"/>
  <c r="Y689" i="13"/>
  <c r="Z689" i="13" s="1"/>
  <c r="S689" i="13"/>
  <c r="T689" i="13" s="1"/>
  <c r="V689" i="13" s="1"/>
  <c r="Y688" i="13"/>
  <c r="Z688" i="13" s="1"/>
  <c r="S688" i="13"/>
  <c r="U688" i="13" s="1"/>
  <c r="AD688" i="13" s="1"/>
  <c r="Y687" i="13"/>
  <c r="Z687" i="13" s="1"/>
  <c r="S687" i="13"/>
  <c r="U687" i="13" s="1"/>
  <c r="AD687" i="13" s="1"/>
  <c r="Y686" i="13"/>
  <c r="Z686" i="13" s="1"/>
  <c r="S686" i="13"/>
  <c r="U686" i="13" s="1"/>
  <c r="AD686" i="13" s="1"/>
  <c r="Y685" i="13"/>
  <c r="Z685" i="13" s="1"/>
  <c r="S685" i="13"/>
  <c r="U685" i="13" s="1"/>
  <c r="AD685" i="13" s="1"/>
  <c r="Y684" i="13"/>
  <c r="Z684" i="13" s="1"/>
  <c r="S684" i="13"/>
  <c r="T684" i="13" s="1"/>
  <c r="Y683" i="13"/>
  <c r="Z683" i="13" s="1"/>
  <c r="S683" i="13"/>
  <c r="U683" i="13" s="1"/>
  <c r="AD683" i="13" s="1"/>
  <c r="Y682" i="13"/>
  <c r="Z682" i="13" s="1"/>
  <c r="S682" i="13"/>
  <c r="Y681" i="13"/>
  <c r="Z681" i="13" s="1"/>
  <c r="S681" i="13"/>
  <c r="Y680" i="13"/>
  <c r="Z680" i="13" s="1"/>
  <c r="S680" i="13"/>
  <c r="U680" i="13" s="1"/>
  <c r="AD680" i="13" s="1"/>
  <c r="Y679" i="13"/>
  <c r="Z679" i="13" s="1"/>
  <c r="S679" i="13"/>
  <c r="U679" i="13" s="1"/>
  <c r="AD679" i="13" s="1"/>
  <c r="Y678" i="13"/>
  <c r="Z678" i="13" s="1"/>
  <c r="S678" i="13"/>
  <c r="T678" i="13" s="1"/>
  <c r="Y677" i="13"/>
  <c r="Z677" i="13" s="1"/>
  <c r="S677" i="13"/>
  <c r="U677" i="13" s="1"/>
  <c r="AD677" i="13" s="1"/>
  <c r="Y676" i="13"/>
  <c r="Z676" i="13" s="1"/>
  <c r="S676" i="13"/>
  <c r="T676" i="13" s="1"/>
  <c r="Y675" i="13"/>
  <c r="Z675" i="13" s="1"/>
  <c r="S675" i="13"/>
  <c r="T675" i="13" s="1"/>
  <c r="Y674" i="13"/>
  <c r="Z674" i="13" s="1"/>
  <c r="S674" i="13"/>
  <c r="U674" i="13" s="1"/>
  <c r="AD674" i="13" s="1"/>
  <c r="Y673" i="13"/>
  <c r="Z673" i="13" s="1"/>
  <c r="S673" i="13"/>
  <c r="Y672" i="13"/>
  <c r="Z672" i="13" s="1"/>
  <c r="S672" i="13"/>
  <c r="T672" i="13" s="1"/>
  <c r="V672" i="13" s="1"/>
  <c r="Y671" i="13"/>
  <c r="Z671" i="13" s="1"/>
  <c r="S671" i="13"/>
  <c r="U671" i="13" s="1"/>
  <c r="AD671" i="13" s="1"/>
  <c r="Y670" i="13"/>
  <c r="Z670" i="13" s="1"/>
  <c r="S670" i="13"/>
  <c r="U670" i="13" s="1"/>
  <c r="AD670" i="13" s="1"/>
  <c r="Y669" i="13"/>
  <c r="Z669" i="13" s="1"/>
  <c r="S669" i="13"/>
  <c r="U669" i="13" s="1"/>
  <c r="AD669" i="13" s="1"/>
  <c r="Y668" i="13"/>
  <c r="Z668" i="13" s="1"/>
  <c r="S668" i="13"/>
  <c r="U668" i="13" s="1"/>
  <c r="AD668" i="13" s="1"/>
  <c r="Y667" i="13"/>
  <c r="Z667" i="13" s="1"/>
  <c r="S667" i="13"/>
  <c r="U667" i="13" s="1"/>
  <c r="AD667" i="13" s="1"/>
  <c r="Y666" i="13"/>
  <c r="Z666" i="13" s="1"/>
  <c r="S666" i="13"/>
  <c r="T666" i="13" s="1"/>
  <c r="Y665" i="13"/>
  <c r="Z665" i="13" s="1"/>
  <c r="S665" i="13"/>
  <c r="U665" i="13" s="1"/>
  <c r="AD665" i="13" s="1"/>
  <c r="Y664" i="13"/>
  <c r="Z664" i="13" s="1"/>
  <c r="S664" i="13"/>
  <c r="T664" i="13" s="1"/>
  <c r="Y663" i="13"/>
  <c r="Z663" i="13" s="1"/>
  <c r="S663" i="13"/>
  <c r="U663" i="13" s="1"/>
  <c r="AD663" i="13" s="1"/>
  <c r="Y662" i="13"/>
  <c r="Z662" i="13" s="1"/>
  <c r="S662" i="13"/>
  <c r="U662" i="13" s="1"/>
  <c r="AD662" i="13" s="1"/>
  <c r="Y661" i="13"/>
  <c r="Z661" i="13" s="1"/>
  <c r="S661" i="13"/>
  <c r="U661" i="13" s="1"/>
  <c r="AD661" i="13" s="1"/>
  <c r="Y660" i="13"/>
  <c r="Z660" i="13" s="1"/>
  <c r="S660" i="13"/>
  <c r="T660" i="13" s="1"/>
  <c r="Y659" i="13"/>
  <c r="Z659" i="13" s="1"/>
  <c r="S659" i="13"/>
  <c r="U659" i="13" s="1"/>
  <c r="AD659" i="13" s="1"/>
  <c r="Y658" i="13"/>
  <c r="Z658" i="13" s="1"/>
  <c r="S658" i="13"/>
  <c r="T658" i="13" s="1"/>
  <c r="Y657" i="13"/>
  <c r="Z657" i="13" s="1"/>
  <c r="S657" i="13"/>
  <c r="U657" i="13" s="1"/>
  <c r="AD657" i="13" s="1"/>
  <c r="Y656" i="13"/>
  <c r="Z656" i="13" s="1"/>
  <c r="S656" i="13"/>
  <c r="U656" i="13" s="1"/>
  <c r="AD656" i="13" s="1"/>
  <c r="Y655" i="13"/>
  <c r="Z655" i="13" s="1"/>
  <c r="S655" i="13"/>
  <c r="U655" i="13" s="1"/>
  <c r="AD655" i="13" s="1"/>
  <c r="Y654" i="13"/>
  <c r="Z654" i="13" s="1"/>
  <c r="S654" i="13"/>
  <c r="T654" i="13" s="1"/>
  <c r="Y653" i="13"/>
  <c r="Z653" i="13" s="1"/>
  <c r="S653" i="13"/>
  <c r="U653" i="13" s="1"/>
  <c r="AD653" i="13" s="1"/>
  <c r="Y652" i="13"/>
  <c r="Z652" i="13" s="1"/>
  <c r="S652" i="13"/>
  <c r="T652" i="13" s="1"/>
  <c r="Y651" i="13"/>
  <c r="Z651" i="13" s="1"/>
  <c r="S651" i="13"/>
  <c r="Y650" i="13"/>
  <c r="Z650" i="13" s="1"/>
  <c r="S650" i="13"/>
  <c r="T650" i="13" s="1"/>
  <c r="V650" i="13" s="1"/>
  <c r="Y649" i="13"/>
  <c r="Z649" i="13" s="1"/>
  <c r="S649" i="13"/>
  <c r="Y648" i="13"/>
  <c r="Z648" i="13" s="1"/>
  <c r="S648" i="13"/>
  <c r="Y647" i="13"/>
  <c r="Z647" i="13" s="1"/>
  <c r="S647" i="13"/>
  <c r="U647" i="13" s="1"/>
  <c r="AD647" i="13" s="1"/>
  <c r="Y646" i="13"/>
  <c r="Z646" i="13" s="1"/>
  <c r="S646" i="13"/>
  <c r="T646" i="13" s="1"/>
  <c r="Y645" i="13"/>
  <c r="Z645" i="13" s="1"/>
  <c r="S645" i="13"/>
  <c r="U645" i="13" s="1"/>
  <c r="AD645" i="13" s="1"/>
  <c r="Y644" i="13"/>
  <c r="Z644" i="13" s="1"/>
  <c r="S644" i="13"/>
  <c r="T644" i="13" s="1"/>
  <c r="Y643" i="13"/>
  <c r="Z643" i="13" s="1"/>
  <c r="S643" i="13"/>
  <c r="Y642" i="13"/>
  <c r="Z642" i="13" s="1"/>
  <c r="S642" i="13"/>
  <c r="Y641" i="13"/>
  <c r="Z641" i="13" s="1"/>
  <c r="S641" i="13"/>
  <c r="U641" i="13" s="1"/>
  <c r="AD641" i="13" s="1"/>
  <c r="Y640" i="13"/>
  <c r="Z640" i="13" s="1"/>
  <c r="S640" i="13"/>
  <c r="T640" i="13" s="1"/>
  <c r="Y639" i="13"/>
  <c r="Z639" i="13" s="1"/>
  <c r="S639" i="13"/>
  <c r="T639" i="13" s="1"/>
  <c r="Y638" i="13"/>
  <c r="Z638" i="13" s="1"/>
  <c r="S638" i="13"/>
  <c r="T638" i="13" s="1"/>
  <c r="Y637" i="13"/>
  <c r="Z637" i="13" s="1"/>
  <c r="S637" i="13"/>
  <c r="U637" i="13" s="1"/>
  <c r="AD637" i="13" s="1"/>
  <c r="Y636" i="13"/>
  <c r="Z636" i="13" s="1"/>
  <c r="S636" i="13"/>
  <c r="Y635" i="13"/>
  <c r="Z635" i="13" s="1"/>
  <c r="S635" i="13"/>
  <c r="U635" i="13" s="1"/>
  <c r="AD635" i="13" s="1"/>
  <c r="Y634" i="13"/>
  <c r="Z634" i="13" s="1"/>
  <c r="S634" i="13"/>
  <c r="Y633" i="13"/>
  <c r="Z633" i="13" s="1"/>
  <c r="S633" i="13"/>
  <c r="Y632" i="13"/>
  <c r="Z632" i="13" s="1"/>
  <c r="S632" i="13"/>
  <c r="T632" i="13" s="1"/>
  <c r="Y631" i="13"/>
  <c r="Z631" i="13" s="1"/>
  <c r="S631" i="13"/>
  <c r="U631" i="13" s="1"/>
  <c r="AD631" i="13" s="1"/>
  <c r="Y630" i="13"/>
  <c r="Z630" i="13" s="1"/>
  <c r="S630" i="13"/>
  <c r="Y629" i="13"/>
  <c r="Z629" i="13" s="1"/>
  <c r="S629" i="13"/>
  <c r="U629" i="13" s="1"/>
  <c r="AD629" i="13" s="1"/>
  <c r="Y628" i="13"/>
  <c r="Z628" i="13" s="1"/>
  <c r="S628" i="13"/>
  <c r="U628" i="13" s="1"/>
  <c r="AD628" i="13" s="1"/>
  <c r="Y627" i="13"/>
  <c r="Z627" i="13" s="1"/>
  <c r="S627" i="13"/>
  <c r="Y626" i="13"/>
  <c r="Z626" i="13" s="1"/>
  <c r="S626" i="13"/>
  <c r="T626" i="13" s="1"/>
  <c r="Y625" i="13"/>
  <c r="Z625" i="13" s="1"/>
  <c r="S625" i="13"/>
  <c r="U625" i="13" s="1"/>
  <c r="AD625" i="13" s="1"/>
  <c r="Y624" i="13"/>
  <c r="Z624" i="13" s="1"/>
  <c r="S624" i="13"/>
  <c r="Y623" i="13"/>
  <c r="Z623" i="13" s="1"/>
  <c r="S623" i="13"/>
  <c r="Y622" i="13"/>
  <c r="Z622" i="13" s="1"/>
  <c r="S622" i="13"/>
  <c r="Y621" i="13"/>
  <c r="Z621" i="13" s="1"/>
  <c r="S621" i="13"/>
  <c r="T621" i="13" s="1"/>
  <c r="V621" i="13" s="1"/>
  <c r="Y620" i="13"/>
  <c r="Z620" i="13" s="1"/>
  <c r="S620" i="13"/>
  <c r="U620" i="13" s="1"/>
  <c r="AD620" i="13" s="1"/>
  <c r="Y619" i="13"/>
  <c r="Z619" i="13" s="1"/>
  <c r="S619" i="13"/>
  <c r="T619" i="13" s="1"/>
  <c r="Y618" i="13"/>
  <c r="Z618" i="13" s="1"/>
  <c r="S618" i="13"/>
  <c r="U618" i="13" s="1"/>
  <c r="AD618" i="13" s="1"/>
  <c r="Y617" i="13"/>
  <c r="Z617" i="13" s="1"/>
  <c r="S617" i="13"/>
  <c r="Y616" i="13"/>
  <c r="Z616" i="13" s="1"/>
  <c r="S616" i="13"/>
  <c r="Y615" i="13"/>
  <c r="Z615" i="13" s="1"/>
  <c r="S615" i="13"/>
  <c r="T615" i="13" s="1"/>
  <c r="V615" i="13" s="1"/>
  <c r="Y614" i="13"/>
  <c r="Z614" i="13" s="1"/>
  <c r="S614" i="13"/>
  <c r="U614" i="13" s="1"/>
  <c r="AD614" i="13" s="1"/>
  <c r="Y613" i="13"/>
  <c r="Z613" i="13" s="1"/>
  <c r="S613" i="13"/>
  <c r="Y612" i="13"/>
  <c r="Z612" i="13" s="1"/>
  <c r="S612" i="13"/>
  <c r="U612" i="13" s="1"/>
  <c r="AD612" i="13" s="1"/>
  <c r="Y611" i="13"/>
  <c r="Z611" i="13" s="1"/>
  <c r="S611" i="13"/>
  <c r="Y610" i="13"/>
  <c r="Z610" i="13" s="1"/>
  <c r="S610" i="13"/>
  <c r="T610" i="13" s="1"/>
  <c r="Y609" i="13"/>
  <c r="Z609" i="13" s="1"/>
  <c r="S609" i="13"/>
  <c r="U609" i="13" s="1"/>
  <c r="AD609" i="13" s="1"/>
  <c r="Y608" i="13"/>
  <c r="Z608" i="13" s="1"/>
  <c r="S608" i="13"/>
  <c r="Y607" i="13"/>
  <c r="Z607" i="13" s="1"/>
  <c r="S607" i="13"/>
  <c r="U607" i="13" s="1"/>
  <c r="AD607" i="13" s="1"/>
  <c r="Y606" i="13"/>
  <c r="Z606" i="13" s="1"/>
  <c r="S606" i="13"/>
  <c r="U606" i="13" s="1"/>
  <c r="AD606" i="13" s="1"/>
  <c r="Y605" i="13"/>
  <c r="Z605" i="13" s="1"/>
  <c r="S605" i="13"/>
  <c r="Y604" i="13"/>
  <c r="Z604" i="13" s="1"/>
  <c r="S604" i="13"/>
  <c r="Y603" i="13"/>
  <c r="Z603" i="13" s="1"/>
  <c r="S603" i="13"/>
  <c r="U603" i="13" s="1"/>
  <c r="AD603" i="13" s="1"/>
  <c r="Y602" i="13"/>
  <c r="Z602" i="13" s="1"/>
  <c r="S602" i="13"/>
  <c r="T602" i="13" s="1"/>
  <c r="Y601" i="13"/>
  <c r="Z601" i="13" s="1"/>
  <c r="S601" i="13"/>
  <c r="U601" i="13" s="1"/>
  <c r="AD601" i="13" s="1"/>
  <c r="Y600" i="13"/>
  <c r="Z600" i="13" s="1"/>
  <c r="S600" i="13"/>
  <c r="U600" i="13" s="1"/>
  <c r="AD600" i="13" s="1"/>
  <c r="Y599" i="13"/>
  <c r="Z599" i="13" s="1"/>
  <c r="S599" i="13"/>
  <c r="Y598" i="13"/>
  <c r="Z598" i="13" s="1"/>
  <c r="S598" i="13"/>
  <c r="U598" i="13" s="1"/>
  <c r="AD598" i="13" s="1"/>
  <c r="Y597" i="13"/>
  <c r="Z597" i="13" s="1"/>
  <c r="S597" i="13"/>
  <c r="U597" i="13" s="1"/>
  <c r="AD597" i="13" s="1"/>
  <c r="Y596" i="13"/>
  <c r="Z596" i="13" s="1"/>
  <c r="S596" i="13"/>
  <c r="T596" i="13" s="1"/>
  <c r="Y595" i="13"/>
  <c r="Z595" i="13" s="1"/>
  <c r="S595" i="13"/>
  <c r="U595" i="13" s="1"/>
  <c r="AD595" i="13" s="1"/>
  <c r="Y594" i="13"/>
  <c r="Z594" i="13" s="1"/>
  <c r="S594" i="13"/>
  <c r="Y593" i="13"/>
  <c r="Z593" i="13" s="1"/>
  <c r="S593" i="13"/>
  <c r="Y592" i="13"/>
  <c r="Z592" i="13" s="1"/>
  <c r="S592" i="13"/>
  <c r="U592" i="13" s="1"/>
  <c r="AD592" i="13" s="1"/>
  <c r="Y591" i="13"/>
  <c r="Z591" i="13" s="1"/>
  <c r="S591" i="13"/>
  <c r="U591" i="13" s="1"/>
  <c r="AD591" i="13" s="1"/>
  <c r="Y590" i="13"/>
  <c r="Z590" i="13" s="1"/>
  <c r="S590" i="13"/>
  <c r="T590" i="13" s="1"/>
  <c r="Y589" i="13"/>
  <c r="Z589" i="13" s="1"/>
  <c r="S589" i="13"/>
  <c r="U589" i="13" s="1"/>
  <c r="AD589" i="13" s="1"/>
  <c r="Y588" i="13"/>
  <c r="Z588" i="13" s="1"/>
  <c r="S588" i="13"/>
  <c r="Y587" i="13"/>
  <c r="Z587" i="13" s="1"/>
  <c r="S587" i="13"/>
  <c r="U587" i="13" s="1"/>
  <c r="AD587" i="13" s="1"/>
  <c r="Y586" i="13"/>
  <c r="Z586" i="13" s="1"/>
  <c r="S586" i="13"/>
  <c r="U586" i="13" s="1"/>
  <c r="AD586" i="13" s="1"/>
  <c r="Y585" i="13"/>
  <c r="Z585" i="13" s="1"/>
  <c r="S585" i="13"/>
  <c r="U585" i="13" s="1"/>
  <c r="AD585" i="13" s="1"/>
  <c r="Y584" i="13"/>
  <c r="Z584" i="13" s="1"/>
  <c r="S584" i="13"/>
  <c r="T584" i="13" s="1"/>
  <c r="V584" i="13" s="1"/>
  <c r="Y583" i="13"/>
  <c r="Z583" i="13" s="1"/>
  <c r="S583" i="13"/>
  <c r="U583" i="13" s="1"/>
  <c r="AD583" i="13" s="1"/>
  <c r="Y582" i="13"/>
  <c r="Z582" i="13" s="1"/>
  <c r="S582" i="13"/>
  <c r="Y581" i="13"/>
  <c r="Z581" i="13" s="1"/>
  <c r="S581" i="13"/>
  <c r="U581" i="13" s="1"/>
  <c r="AD581" i="13" s="1"/>
  <c r="Y580" i="13"/>
  <c r="Z580" i="13" s="1"/>
  <c r="S580" i="13"/>
  <c r="U580" i="13" s="1"/>
  <c r="AD580" i="13" s="1"/>
  <c r="Y579" i="13"/>
  <c r="Z579" i="13" s="1"/>
  <c r="S579" i="13"/>
  <c r="U579" i="13" s="1"/>
  <c r="AD579" i="13" s="1"/>
  <c r="Y578" i="13"/>
  <c r="Z578" i="13" s="1"/>
  <c r="S578" i="13"/>
  <c r="T578" i="13" s="1"/>
  <c r="Y577" i="13"/>
  <c r="Z577" i="13" s="1"/>
  <c r="S577" i="13"/>
  <c r="U577" i="13" s="1"/>
  <c r="AD577" i="13" s="1"/>
  <c r="Y576" i="13"/>
  <c r="Z576" i="13" s="1"/>
  <c r="S576" i="13"/>
  <c r="Y575" i="13"/>
  <c r="Z575" i="13" s="1"/>
  <c r="S575" i="13"/>
  <c r="U575" i="13" s="1"/>
  <c r="AD575" i="13" s="1"/>
  <c r="Y574" i="13"/>
  <c r="Z574" i="13" s="1"/>
  <c r="S574" i="13"/>
  <c r="U574" i="13" s="1"/>
  <c r="AD574" i="13" s="1"/>
  <c r="Y573" i="13"/>
  <c r="Z573" i="13" s="1"/>
  <c r="S573" i="13"/>
  <c r="U573" i="13" s="1"/>
  <c r="AD573" i="13" s="1"/>
  <c r="Y572" i="13"/>
  <c r="Z572" i="13" s="1"/>
  <c r="S572" i="13"/>
  <c r="T572" i="13" s="1"/>
  <c r="Y571" i="13"/>
  <c r="Z571" i="13" s="1"/>
  <c r="S571" i="13"/>
  <c r="U571" i="13" s="1"/>
  <c r="AD571" i="13" s="1"/>
  <c r="Y570" i="13"/>
  <c r="Z570" i="13" s="1"/>
  <c r="S570" i="13"/>
  <c r="Y569" i="13"/>
  <c r="Z569" i="13" s="1"/>
  <c r="S569" i="13"/>
  <c r="U569" i="13" s="1"/>
  <c r="AD569" i="13" s="1"/>
  <c r="Y568" i="13"/>
  <c r="Z568" i="13" s="1"/>
  <c r="S568" i="13"/>
  <c r="U568" i="13" s="1"/>
  <c r="AD568" i="13" s="1"/>
  <c r="Y567" i="13"/>
  <c r="Z567" i="13" s="1"/>
  <c r="S567" i="13"/>
  <c r="U567" i="13" s="1"/>
  <c r="AD567" i="13" s="1"/>
  <c r="Y566" i="13"/>
  <c r="Z566" i="13" s="1"/>
  <c r="S566" i="13"/>
  <c r="T566" i="13" s="1"/>
  <c r="Y565" i="13"/>
  <c r="Z565" i="13" s="1"/>
  <c r="S565" i="13"/>
  <c r="U565" i="13" s="1"/>
  <c r="AD565" i="13" s="1"/>
  <c r="Y564" i="13"/>
  <c r="Z564" i="13" s="1"/>
  <c r="S564" i="13"/>
  <c r="Y563" i="13"/>
  <c r="Z563" i="13" s="1"/>
  <c r="S563" i="13"/>
  <c r="Y562" i="13"/>
  <c r="Z562" i="13" s="1"/>
  <c r="S562" i="13"/>
  <c r="U562" i="13" s="1"/>
  <c r="AD562" i="13" s="1"/>
  <c r="Y561" i="13"/>
  <c r="Z561" i="13" s="1"/>
  <c r="S561" i="13"/>
  <c r="U561" i="13" s="1"/>
  <c r="AD561" i="13" s="1"/>
  <c r="Y560" i="13"/>
  <c r="Z560" i="13" s="1"/>
  <c r="S560" i="13"/>
  <c r="T560" i="13" s="1"/>
  <c r="V560" i="13" s="1"/>
  <c r="AE560" i="13" s="1"/>
  <c r="Y559" i="13"/>
  <c r="Z559" i="13" s="1"/>
  <c r="S559" i="13"/>
  <c r="U559" i="13" s="1"/>
  <c r="AD559" i="13" s="1"/>
  <c r="Y558" i="13"/>
  <c r="Z558" i="13" s="1"/>
  <c r="S558" i="13"/>
  <c r="T558" i="13" s="1"/>
  <c r="V558" i="13" s="1"/>
  <c r="Y557" i="13"/>
  <c r="Z557" i="13" s="1"/>
  <c r="S557" i="13"/>
  <c r="U557" i="13" s="1"/>
  <c r="AD557" i="13" s="1"/>
  <c r="Y556" i="13"/>
  <c r="Z556" i="13" s="1"/>
  <c r="S556" i="13"/>
  <c r="U556" i="13" s="1"/>
  <c r="AD556" i="13" s="1"/>
  <c r="Y555" i="13"/>
  <c r="Z555" i="13" s="1"/>
  <c r="S555" i="13"/>
  <c r="Y554" i="13"/>
  <c r="Z554" i="13" s="1"/>
  <c r="S554" i="13"/>
  <c r="T554" i="13" s="1"/>
  <c r="V554" i="13" s="1"/>
  <c r="AE554" i="13" s="1"/>
  <c r="Y553" i="13"/>
  <c r="Z553" i="13" s="1"/>
  <c r="S553" i="13"/>
  <c r="U553" i="13" s="1"/>
  <c r="AD553" i="13" s="1"/>
  <c r="Y552" i="13"/>
  <c r="Z552" i="13" s="1"/>
  <c r="S552" i="13"/>
  <c r="T552" i="13" s="1"/>
  <c r="Y551" i="13"/>
  <c r="Z551" i="13" s="1"/>
  <c r="S551" i="13"/>
  <c r="T551" i="13" s="1"/>
  <c r="Y550" i="13"/>
  <c r="Z550" i="13" s="1"/>
  <c r="S550" i="13"/>
  <c r="U550" i="13" s="1"/>
  <c r="AD550" i="13" s="1"/>
  <c r="Y549" i="13"/>
  <c r="Z549" i="13" s="1"/>
  <c r="S549" i="13"/>
  <c r="U549" i="13" s="1"/>
  <c r="AD549" i="13" s="1"/>
  <c r="Y548" i="13"/>
  <c r="Z548" i="13" s="1"/>
  <c r="S548" i="13"/>
  <c r="Y547" i="13"/>
  <c r="Z547" i="13" s="1"/>
  <c r="S547" i="13"/>
  <c r="U547" i="13" s="1"/>
  <c r="AD547" i="13" s="1"/>
  <c r="Y546" i="13"/>
  <c r="Z546" i="13" s="1"/>
  <c r="S546" i="13"/>
  <c r="Y545" i="13"/>
  <c r="Z545" i="13" s="1"/>
  <c r="S545" i="13"/>
  <c r="Y544" i="13"/>
  <c r="Z544" i="13" s="1"/>
  <c r="S544" i="13"/>
  <c r="Y543" i="13"/>
  <c r="Z543" i="13" s="1"/>
  <c r="S543" i="13"/>
  <c r="U543" i="13" s="1"/>
  <c r="AD543" i="13" s="1"/>
  <c r="Y542" i="13"/>
  <c r="Z542" i="13" s="1"/>
  <c r="S542" i="13"/>
  <c r="Y541" i="13"/>
  <c r="Z541" i="13" s="1"/>
  <c r="S541" i="13"/>
  <c r="U541" i="13" s="1"/>
  <c r="AD541" i="13" s="1"/>
  <c r="Y540" i="13"/>
  <c r="Z540" i="13" s="1"/>
  <c r="S540" i="13"/>
  <c r="T540" i="13" s="1"/>
  <c r="V540" i="13" s="1"/>
  <c r="Y539" i="13"/>
  <c r="Z539" i="13" s="1"/>
  <c r="S539" i="13"/>
  <c r="U539" i="13" s="1"/>
  <c r="AD539" i="13" s="1"/>
  <c r="Y538" i="13"/>
  <c r="Z538" i="13" s="1"/>
  <c r="S538" i="13"/>
  <c r="U538" i="13" s="1"/>
  <c r="AD538" i="13" s="1"/>
  <c r="Y537" i="13"/>
  <c r="Z537" i="13" s="1"/>
  <c r="S537" i="13"/>
  <c r="U537" i="13" s="1"/>
  <c r="AD537" i="13" s="1"/>
  <c r="Y536" i="13"/>
  <c r="Z536" i="13" s="1"/>
  <c r="S536" i="13"/>
  <c r="Y535" i="13"/>
  <c r="Z535" i="13" s="1"/>
  <c r="S535" i="13"/>
  <c r="U535" i="13" s="1"/>
  <c r="AD535" i="13" s="1"/>
  <c r="Y534" i="13"/>
  <c r="Z534" i="13" s="1"/>
  <c r="S534" i="13"/>
  <c r="Y533" i="13"/>
  <c r="Z533" i="13" s="1"/>
  <c r="S533" i="13"/>
  <c r="Y532" i="13"/>
  <c r="Z532" i="13" s="1"/>
  <c r="S532" i="13"/>
  <c r="U532" i="13" s="1"/>
  <c r="AD532" i="13" s="1"/>
  <c r="Y531" i="13"/>
  <c r="Z531" i="13" s="1"/>
  <c r="S531" i="13"/>
  <c r="U531" i="13" s="1"/>
  <c r="AD531" i="13" s="1"/>
  <c r="Y530" i="13"/>
  <c r="Z530" i="13" s="1"/>
  <c r="S530" i="13"/>
  <c r="U530" i="13" s="1"/>
  <c r="AD530" i="13" s="1"/>
  <c r="Y529" i="13"/>
  <c r="Z529" i="13" s="1"/>
  <c r="S529" i="13"/>
  <c r="Y528" i="13"/>
  <c r="Z528" i="13" s="1"/>
  <c r="S528" i="13"/>
  <c r="T528" i="13" s="1"/>
  <c r="Y527" i="13"/>
  <c r="Z527" i="13" s="1"/>
  <c r="S527" i="13"/>
  <c r="T527" i="13" s="1"/>
  <c r="Y526" i="13"/>
  <c r="Z526" i="13" s="1"/>
  <c r="S526" i="13"/>
  <c r="Y525" i="13"/>
  <c r="Z525" i="13" s="1"/>
  <c r="S525" i="13"/>
  <c r="U525" i="13" s="1"/>
  <c r="AD525" i="13" s="1"/>
  <c r="Y524" i="13"/>
  <c r="Z524" i="13" s="1"/>
  <c r="S524" i="13"/>
  <c r="U524" i="13" s="1"/>
  <c r="AD524" i="13" s="1"/>
  <c r="Y523" i="13"/>
  <c r="Z523" i="13" s="1"/>
  <c r="S523" i="13"/>
  <c r="Y522" i="13"/>
  <c r="Z522" i="13" s="1"/>
  <c r="S522" i="13"/>
  <c r="T522" i="13" s="1"/>
  <c r="Y521" i="13"/>
  <c r="Z521" i="13" s="1"/>
  <c r="S521" i="13"/>
  <c r="Y520" i="13"/>
  <c r="Z520" i="13" s="1"/>
  <c r="S520" i="13"/>
  <c r="T520" i="13" s="1"/>
  <c r="V520" i="13" s="1"/>
  <c r="Y519" i="13"/>
  <c r="Z519" i="13" s="1"/>
  <c r="S519" i="13"/>
  <c r="U519" i="13" s="1"/>
  <c r="AD519" i="13" s="1"/>
  <c r="Y518" i="13"/>
  <c r="Z518" i="13" s="1"/>
  <c r="S518" i="13"/>
  <c r="U518" i="13" s="1"/>
  <c r="AD518" i="13" s="1"/>
  <c r="Y517" i="13"/>
  <c r="Z517" i="13" s="1"/>
  <c r="S517" i="13"/>
  <c r="Y516" i="13"/>
  <c r="Z516" i="13" s="1"/>
  <c r="S516" i="13"/>
  <c r="Y515" i="13"/>
  <c r="Z515" i="13" s="1"/>
  <c r="S515" i="13"/>
  <c r="U515" i="13" s="1"/>
  <c r="AD515" i="13" s="1"/>
  <c r="Y514" i="13"/>
  <c r="Z514" i="13" s="1"/>
  <c r="S514" i="13"/>
  <c r="U514" i="13" s="1"/>
  <c r="AD514" i="13" s="1"/>
  <c r="Y513" i="13"/>
  <c r="Z513" i="13" s="1"/>
  <c r="S513" i="13"/>
  <c r="U513" i="13" s="1"/>
  <c r="AD513" i="13" s="1"/>
  <c r="Y512" i="13"/>
  <c r="Z512" i="13" s="1"/>
  <c r="S512" i="13"/>
  <c r="U512" i="13" s="1"/>
  <c r="AD512" i="13" s="1"/>
  <c r="Y511" i="13"/>
  <c r="Z511" i="13" s="1"/>
  <c r="S511" i="13"/>
  <c r="Y510" i="13"/>
  <c r="Z510" i="13" s="1"/>
  <c r="S510" i="13"/>
  <c r="Y509" i="13"/>
  <c r="Z509" i="13" s="1"/>
  <c r="S509" i="13"/>
  <c r="U509" i="13" s="1"/>
  <c r="AD509" i="13" s="1"/>
  <c r="Y508" i="13"/>
  <c r="Z508" i="13" s="1"/>
  <c r="S508" i="13"/>
  <c r="Y507" i="13"/>
  <c r="Z507" i="13" s="1"/>
  <c r="S507" i="13"/>
  <c r="U507" i="13" s="1"/>
  <c r="AD507" i="13" s="1"/>
  <c r="Y506" i="13"/>
  <c r="Z506" i="13" s="1"/>
  <c r="S506" i="13"/>
  <c r="U506" i="13" s="1"/>
  <c r="AD506" i="13" s="1"/>
  <c r="Y505" i="13"/>
  <c r="Z505" i="13" s="1"/>
  <c r="S505" i="13"/>
  <c r="Y504" i="13"/>
  <c r="Z504" i="13" s="1"/>
  <c r="S504" i="13"/>
  <c r="T504" i="13" s="1"/>
  <c r="Y503" i="13"/>
  <c r="Z503" i="13" s="1"/>
  <c r="S503" i="13"/>
  <c r="T503" i="13" s="1"/>
  <c r="Y502" i="13"/>
  <c r="Z502" i="13" s="1"/>
  <c r="S502" i="13"/>
  <c r="T502" i="13" s="1"/>
  <c r="Y501" i="13"/>
  <c r="Z501" i="13" s="1"/>
  <c r="S501" i="13"/>
  <c r="Y500" i="13"/>
  <c r="Z500" i="13" s="1"/>
  <c r="S500" i="13"/>
  <c r="T500" i="13" s="1"/>
  <c r="Y499" i="13"/>
  <c r="Z499" i="13" s="1"/>
  <c r="S499" i="13"/>
  <c r="U499" i="13" s="1"/>
  <c r="AD499" i="13" s="1"/>
  <c r="Y498" i="13"/>
  <c r="Z498" i="13" s="1"/>
  <c r="S498" i="13"/>
  <c r="Y497" i="13"/>
  <c r="Z497" i="13" s="1"/>
  <c r="S497" i="13"/>
  <c r="T497" i="13" s="1"/>
  <c r="Y496" i="13"/>
  <c r="Z496" i="13" s="1"/>
  <c r="S496" i="13"/>
  <c r="U496" i="13" s="1"/>
  <c r="AD496" i="13" s="1"/>
  <c r="Y495" i="13"/>
  <c r="Z495" i="13" s="1"/>
  <c r="S495" i="13"/>
  <c r="U495" i="13" s="1"/>
  <c r="AD495" i="13" s="1"/>
  <c r="Y494" i="13"/>
  <c r="Z494" i="13" s="1"/>
  <c r="S494" i="13"/>
  <c r="T494" i="13" s="1"/>
  <c r="V494" i="13" s="1"/>
  <c r="Y493" i="13"/>
  <c r="Z493" i="13" s="1"/>
  <c r="S493" i="13"/>
  <c r="U493" i="13" s="1"/>
  <c r="AD493" i="13" s="1"/>
  <c r="Y492" i="13"/>
  <c r="Z492" i="13" s="1"/>
  <c r="S492" i="13"/>
  <c r="T492" i="13" s="1"/>
  <c r="Y491" i="13"/>
  <c r="Z491" i="13" s="1"/>
  <c r="S491" i="13"/>
  <c r="Y490" i="13"/>
  <c r="Z490" i="13" s="1"/>
  <c r="S490" i="13"/>
  <c r="U490" i="13" s="1"/>
  <c r="AD490" i="13" s="1"/>
  <c r="Y489" i="13"/>
  <c r="Z489" i="13" s="1"/>
  <c r="S489" i="13"/>
  <c r="U489" i="13" s="1"/>
  <c r="AD489" i="13" s="1"/>
  <c r="Y488" i="13"/>
  <c r="Z488" i="13" s="1"/>
  <c r="S488" i="13"/>
  <c r="T488" i="13" s="1"/>
  <c r="Y487" i="13"/>
  <c r="Z487" i="13" s="1"/>
  <c r="S487" i="13"/>
  <c r="U487" i="13" s="1"/>
  <c r="AD487" i="13" s="1"/>
  <c r="Y486" i="13"/>
  <c r="Z486" i="13" s="1"/>
  <c r="S486" i="13"/>
  <c r="T486" i="13" s="1"/>
  <c r="Y485" i="13"/>
  <c r="Z485" i="13" s="1"/>
  <c r="S485" i="13"/>
  <c r="U485" i="13" s="1"/>
  <c r="AD485" i="13" s="1"/>
  <c r="Y484" i="13"/>
  <c r="Z484" i="13" s="1"/>
  <c r="S484" i="13"/>
  <c r="U484" i="13" s="1"/>
  <c r="AD484" i="13" s="1"/>
  <c r="Y483" i="13"/>
  <c r="Z483" i="13" s="1"/>
  <c r="S483" i="13"/>
  <c r="U483" i="13" s="1"/>
  <c r="AD483" i="13" s="1"/>
  <c r="Y482" i="13"/>
  <c r="Z482" i="13" s="1"/>
  <c r="S482" i="13"/>
  <c r="T482" i="13" s="1"/>
  <c r="V482" i="13" s="1"/>
  <c r="Y481" i="13"/>
  <c r="Z481" i="13" s="1"/>
  <c r="S481" i="13"/>
  <c r="U481" i="13" s="1"/>
  <c r="AD481" i="13" s="1"/>
  <c r="Y480" i="13"/>
  <c r="Z480" i="13" s="1"/>
  <c r="S480" i="13"/>
  <c r="T480" i="13" s="1"/>
  <c r="Y479" i="13"/>
  <c r="Z479" i="13" s="1"/>
  <c r="S479" i="13"/>
  <c r="Y478" i="13"/>
  <c r="Z478" i="13" s="1"/>
  <c r="S478" i="13"/>
  <c r="U478" i="13" s="1"/>
  <c r="AD478" i="13" s="1"/>
  <c r="Y477" i="13"/>
  <c r="Z477" i="13" s="1"/>
  <c r="S477" i="13"/>
  <c r="U477" i="13" s="1"/>
  <c r="AD477" i="13" s="1"/>
  <c r="Y476" i="13"/>
  <c r="Z476" i="13" s="1"/>
  <c r="S476" i="13"/>
  <c r="T476" i="13" s="1"/>
  <c r="Y475" i="13"/>
  <c r="Z475" i="13" s="1"/>
  <c r="S475" i="13"/>
  <c r="U475" i="13" s="1"/>
  <c r="AD475" i="13" s="1"/>
  <c r="Y474" i="13"/>
  <c r="Z474" i="13" s="1"/>
  <c r="S474" i="13"/>
  <c r="T474" i="13" s="1"/>
  <c r="Y473" i="13"/>
  <c r="Z473" i="13" s="1"/>
  <c r="S473" i="13"/>
  <c r="Y472" i="13"/>
  <c r="Z472" i="13" s="1"/>
  <c r="S472" i="13"/>
  <c r="U472" i="13" s="1"/>
  <c r="AD472" i="13" s="1"/>
  <c r="Y471" i="13"/>
  <c r="Z471" i="13" s="1"/>
  <c r="S471" i="13"/>
  <c r="U471" i="13" s="1"/>
  <c r="AD471" i="13" s="1"/>
  <c r="Y470" i="13"/>
  <c r="Z470" i="13" s="1"/>
  <c r="S470" i="13"/>
  <c r="T470" i="13" s="1"/>
  <c r="Y469" i="13"/>
  <c r="Z469" i="13" s="1"/>
  <c r="S469" i="13"/>
  <c r="U469" i="13" s="1"/>
  <c r="AD469" i="13" s="1"/>
  <c r="Y468" i="13"/>
  <c r="Z468" i="13" s="1"/>
  <c r="S468" i="13"/>
  <c r="Y467" i="13"/>
  <c r="Z467" i="13" s="1"/>
  <c r="S467" i="13"/>
  <c r="U467" i="13" s="1"/>
  <c r="AD467" i="13" s="1"/>
  <c r="Y466" i="13"/>
  <c r="Z466" i="13" s="1"/>
  <c r="S466" i="13"/>
  <c r="U466" i="13" s="1"/>
  <c r="AD466" i="13" s="1"/>
  <c r="Y465" i="13"/>
  <c r="Z465" i="13" s="1"/>
  <c r="S465" i="13"/>
  <c r="T465" i="13" s="1"/>
  <c r="Y464" i="13"/>
  <c r="Z464" i="13" s="1"/>
  <c r="S464" i="13"/>
  <c r="U464" i="13" s="1"/>
  <c r="AD464" i="13" s="1"/>
  <c r="Y463" i="13"/>
  <c r="Z463" i="13" s="1"/>
  <c r="S463" i="13"/>
  <c r="Y462" i="13"/>
  <c r="Z462" i="13" s="1"/>
  <c r="S462" i="13"/>
  <c r="U462" i="13" s="1"/>
  <c r="AD462" i="13" s="1"/>
  <c r="Y461" i="13"/>
  <c r="Z461" i="13" s="1"/>
  <c r="S461" i="13"/>
  <c r="U461" i="13" s="1"/>
  <c r="AD461" i="13" s="1"/>
  <c r="Y460" i="13"/>
  <c r="Z460" i="13" s="1"/>
  <c r="S460" i="13"/>
  <c r="U460" i="13" s="1"/>
  <c r="AD460" i="13" s="1"/>
  <c r="Y459" i="13"/>
  <c r="Z459" i="13" s="1"/>
  <c r="S459" i="13"/>
  <c r="T459" i="13" s="1"/>
  <c r="Y458" i="13"/>
  <c r="Z458" i="13" s="1"/>
  <c r="S458" i="13"/>
  <c r="U458" i="13" s="1"/>
  <c r="AD458" i="13" s="1"/>
  <c r="Y457" i="13"/>
  <c r="Z457" i="13" s="1"/>
  <c r="S457" i="13"/>
  <c r="U457" i="13" s="1"/>
  <c r="AD457" i="13" s="1"/>
  <c r="Y456" i="13"/>
  <c r="Z456" i="13" s="1"/>
  <c r="S456" i="13"/>
  <c r="Y455" i="13"/>
  <c r="Z455" i="13" s="1"/>
  <c r="S455" i="13"/>
  <c r="U455" i="13" s="1"/>
  <c r="AD455" i="13" s="1"/>
  <c r="Y454" i="13"/>
  <c r="Z454" i="13" s="1"/>
  <c r="S454" i="13"/>
  <c r="Y453" i="13"/>
  <c r="Z453" i="13" s="1"/>
  <c r="S453" i="13"/>
  <c r="T453" i="13" s="1"/>
  <c r="Y452" i="13"/>
  <c r="Z452" i="13" s="1"/>
  <c r="S452" i="13"/>
  <c r="U452" i="13" s="1"/>
  <c r="AD452" i="13" s="1"/>
  <c r="Y451" i="13"/>
  <c r="Z451" i="13" s="1"/>
  <c r="S451" i="13"/>
  <c r="Y450" i="13"/>
  <c r="Z450" i="13" s="1"/>
  <c r="S450" i="13"/>
  <c r="Y449" i="13"/>
  <c r="Z449" i="13" s="1"/>
  <c r="S449" i="13"/>
  <c r="U449" i="13" s="1"/>
  <c r="AD449" i="13" s="1"/>
  <c r="Y448" i="13"/>
  <c r="Z448" i="13" s="1"/>
  <c r="S448" i="13"/>
  <c r="Y447" i="13"/>
  <c r="Z447" i="13" s="1"/>
  <c r="S447" i="13"/>
  <c r="T447" i="13" s="1"/>
  <c r="Y446" i="13"/>
  <c r="Z446" i="13" s="1"/>
  <c r="S446" i="13"/>
  <c r="U446" i="13" s="1"/>
  <c r="AD446" i="13" s="1"/>
  <c r="Y445" i="13"/>
  <c r="Z445" i="13" s="1"/>
  <c r="S445" i="13"/>
  <c r="T445" i="13" s="1"/>
  <c r="Y444" i="13"/>
  <c r="Z444" i="13" s="1"/>
  <c r="S444" i="13"/>
  <c r="Y443" i="13"/>
  <c r="Z443" i="13" s="1"/>
  <c r="S443" i="13"/>
  <c r="U443" i="13" s="1"/>
  <c r="AD443" i="13" s="1"/>
  <c r="Y442" i="13"/>
  <c r="Z442" i="13" s="1"/>
  <c r="S442" i="13"/>
  <c r="U442" i="13" s="1"/>
  <c r="AD442" i="13" s="1"/>
  <c r="Y441" i="13"/>
  <c r="Z441" i="13" s="1"/>
  <c r="S441" i="13"/>
  <c r="T441" i="13" s="1"/>
  <c r="Y440" i="13"/>
  <c r="Z440" i="13" s="1"/>
  <c r="S440" i="13"/>
  <c r="U440" i="13" s="1"/>
  <c r="AD440" i="13" s="1"/>
  <c r="Y439" i="13"/>
  <c r="Z439" i="13" s="1"/>
  <c r="S439" i="13"/>
  <c r="T439" i="13" s="1"/>
  <c r="Y438" i="13"/>
  <c r="Z438" i="13" s="1"/>
  <c r="S438" i="13"/>
  <c r="Y437" i="13"/>
  <c r="Z437" i="13" s="1"/>
  <c r="S437" i="13"/>
  <c r="Y436" i="13"/>
  <c r="Z436" i="13" s="1"/>
  <c r="S436" i="13"/>
  <c r="U436" i="13" s="1"/>
  <c r="AD436" i="13" s="1"/>
  <c r="Y435" i="13"/>
  <c r="Z435" i="13" s="1"/>
  <c r="S435" i="13"/>
  <c r="T435" i="13" s="1"/>
  <c r="Y434" i="13"/>
  <c r="Z434" i="13" s="1"/>
  <c r="S434" i="13"/>
  <c r="U434" i="13" s="1"/>
  <c r="AD434" i="13" s="1"/>
  <c r="Y433" i="13"/>
  <c r="Z433" i="13" s="1"/>
  <c r="S433" i="13"/>
  <c r="T433" i="13" s="1"/>
  <c r="Y432" i="13"/>
  <c r="Z432" i="13" s="1"/>
  <c r="S432" i="13"/>
  <c r="U432" i="13" s="1"/>
  <c r="AD432" i="13" s="1"/>
  <c r="Y431" i="13"/>
  <c r="Z431" i="13" s="1"/>
  <c r="S431" i="13"/>
  <c r="Y430" i="13"/>
  <c r="Z430" i="13" s="1"/>
  <c r="S430" i="13"/>
  <c r="U430" i="13" s="1"/>
  <c r="AD430" i="13" s="1"/>
  <c r="Y429" i="13"/>
  <c r="Z429" i="13" s="1"/>
  <c r="S429" i="13"/>
  <c r="Y428" i="13"/>
  <c r="Z428" i="13" s="1"/>
  <c r="S428" i="13"/>
  <c r="U428" i="13" s="1"/>
  <c r="AD428" i="13" s="1"/>
  <c r="Y427" i="13"/>
  <c r="Z427" i="13" s="1"/>
  <c r="S427" i="13"/>
  <c r="Y426" i="13"/>
  <c r="Z426" i="13" s="1"/>
  <c r="S426" i="13"/>
  <c r="T426" i="13" s="1"/>
  <c r="Y425" i="13"/>
  <c r="Z425" i="13" s="1"/>
  <c r="S425" i="13"/>
  <c r="T425" i="13" s="1"/>
  <c r="Y423" i="13"/>
  <c r="Z423" i="13" s="1"/>
  <c r="S423" i="13"/>
  <c r="U423" i="13" s="1"/>
  <c r="AD423" i="13" s="1"/>
  <c r="Y422" i="13"/>
  <c r="Z422" i="13" s="1"/>
  <c r="S422" i="13"/>
  <c r="Y421" i="13"/>
  <c r="Z421" i="13" s="1"/>
  <c r="S421" i="13"/>
  <c r="U421" i="13" s="1"/>
  <c r="AD421" i="13" s="1"/>
  <c r="Y420" i="13"/>
  <c r="Z420" i="13" s="1"/>
  <c r="S420" i="13"/>
  <c r="Y419" i="13"/>
  <c r="Z419" i="13" s="1"/>
  <c r="S419" i="13"/>
  <c r="Y418" i="13"/>
  <c r="Z418" i="13" s="1"/>
  <c r="S418" i="13"/>
  <c r="U418" i="13" s="1"/>
  <c r="AD418" i="13" s="1"/>
  <c r="Y417" i="13"/>
  <c r="Z417" i="13" s="1"/>
  <c r="S417" i="13"/>
  <c r="U417" i="13" s="1"/>
  <c r="AD417" i="13" s="1"/>
  <c r="Y416" i="13"/>
  <c r="Z416" i="13" s="1"/>
  <c r="S416" i="13"/>
  <c r="Y415" i="13"/>
  <c r="Z415" i="13" s="1"/>
  <c r="S415" i="13"/>
  <c r="U415" i="13" s="1"/>
  <c r="AD415" i="13" s="1"/>
  <c r="Y414" i="13"/>
  <c r="Z414" i="13" s="1"/>
  <c r="S414" i="13"/>
  <c r="T414" i="13" s="1"/>
  <c r="Y413" i="13"/>
  <c r="Z413" i="13" s="1"/>
  <c r="S413" i="13"/>
  <c r="Y412" i="13"/>
  <c r="Z412" i="13" s="1"/>
  <c r="S412" i="13"/>
  <c r="U412" i="13" s="1"/>
  <c r="AD412" i="13" s="1"/>
  <c r="Y411" i="13"/>
  <c r="Z411" i="13" s="1"/>
  <c r="S411" i="13"/>
  <c r="U411" i="13" s="1"/>
  <c r="AD411" i="13" s="1"/>
  <c r="Y410" i="13"/>
  <c r="Z410" i="13" s="1"/>
  <c r="S410" i="13"/>
  <c r="Y409" i="13"/>
  <c r="Z409" i="13" s="1"/>
  <c r="S409" i="13"/>
  <c r="U409" i="13" s="1"/>
  <c r="AD409" i="13" s="1"/>
  <c r="Y408" i="13"/>
  <c r="Z408" i="13" s="1"/>
  <c r="S408" i="13"/>
  <c r="Y407" i="13"/>
  <c r="Z407" i="13" s="1"/>
  <c r="S407" i="13"/>
  <c r="U407" i="13" s="1"/>
  <c r="AD407" i="13" s="1"/>
  <c r="Y406" i="13"/>
  <c r="Z406" i="13" s="1"/>
  <c r="S406" i="13"/>
  <c r="T406" i="13" s="1"/>
  <c r="V406" i="13" s="1"/>
  <c r="Y405" i="13"/>
  <c r="Z405" i="13" s="1"/>
  <c r="S405" i="13"/>
  <c r="T405" i="13" s="1"/>
  <c r="Y404" i="13"/>
  <c r="Z404" i="13" s="1"/>
  <c r="S404" i="13"/>
  <c r="Y403" i="13"/>
  <c r="Z403" i="13" s="1"/>
  <c r="S403" i="13"/>
  <c r="U403" i="13" s="1"/>
  <c r="AD403" i="13" s="1"/>
  <c r="Y402" i="13"/>
  <c r="Z402" i="13" s="1"/>
  <c r="S402" i="13"/>
  <c r="U402" i="13" s="1"/>
  <c r="AD402" i="13" s="1"/>
  <c r="Y401" i="13"/>
  <c r="Z401" i="13" s="1"/>
  <c r="S401" i="13"/>
  <c r="Y400" i="13"/>
  <c r="Z400" i="13" s="1"/>
  <c r="S400" i="13"/>
  <c r="T400" i="13" s="1"/>
  <c r="V400" i="13" s="1"/>
  <c r="Y399" i="13"/>
  <c r="Z399" i="13" s="1"/>
  <c r="S399" i="13"/>
  <c r="Y398" i="13"/>
  <c r="Z398" i="13" s="1"/>
  <c r="S398" i="13"/>
  <c r="T398" i="13" s="1"/>
  <c r="V398" i="13" s="1"/>
  <c r="Y397" i="13"/>
  <c r="Z397" i="13" s="1"/>
  <c r="S397" i="13"/>
  <c r="Y396" i="13"/>
  <c r="Z396" i="13" s="1"/>
  <c r="S396" i="13"/>
  <c r="T396" i="13" s="1"/>
  <c r="V396" i="13" s="1"/>
  <c r="Y395" i="13"/>
  <c r="Z395" i="13" s="1"/>
  <c r="S395" i="13"/>
  <c r="U395" i="13" s="1"/>
  <c r="AD395" i="13" s="1"/>
  <c r="Y394" i="13"/>
  <c r="Z394" i="13" s="1"/>
  <c r="S394" i="13"/>
  <c r="T394" i="13" s="1"/>
  <c r="V394" i="13" s="1"/>
  <c r="Y393" i="13"/>
  <c r="Z393" i="13" s="1"/>
  <c r="S393" i="13"/>
  <c r="U393" i="13" s="1"/>
  <c r="AD393" i="13" s="1"/>
  <c r="Y392" i="13"/>
  <c r="Z392" i="13" s="1"/>
  <c r="S392" i="13"/>
  <c r="Y391" i="13"/>
  <c r="Z391" i="13" s="1"/>
  <c r="S391" i="13"/>
  <c r="T391" i="13" s="1"/>
  <c r="V391" i="13" s="1"/>
  <c r="Y390" i="13"/>
  <c r="Z390" i="13" s="1"/>
  <c r="S390" i="13"/>
  <c r="T390" i="13" s="1"/>
  <c r="V390" i="13" s="1"/>
  <c r="Y389" i="13"/>
  <c r="Z389" i="13" s="1"/>
  <c r="S389" i="13"/>
  <c r="U389" i="13" s="1"/>
  <c r="AD389" i="13" s="1"/>
  <c r="Y388" i="13"/>
  <c r="Z388" i="13" s="1"/>
  <c r="S388" i="13"/>
  <c r="T388" i="13" s="1"/>
  <c r="V388" i="13" s="1"/>
  <c r="Y387" i="13"/>
  <c r="Z387" i="13" s="1"/>
  <c r="S387" i="13"/>
  <c r="U387" i="13" s="1"/>
  <c r="AD387" i="13" s="1"/>
  <c r="Y386" i="13"/>
  <c r="Z386" i="13" s="1"/>
  <c r="S386" i="13"/>
  <c r="T386" i="13" s="1"/>
  <c r="V386" i="13" s="1"/>
  <c r="Y385" i="13"/>
  <c r="Z385" i="13" s="1"/>
  <c r="S385" i="13"/>
  <c r="U385" i="13" s="1"/>
  <c r="AD385" i="13" s="1"/>
  <c r="Y384" i="13"/>
  <c r="Z384" i="13" s="1"/>
  <c r="S384" i="13"/>
  <c r="U384" i="13" s="1"/>
  <c r="AD384" i="13" s="1"/>
  <c r="Y383" i="13"/>
  <c r="Z383" i="13" s="1"/>
  <c r="S383" i="13"/>
  <c r="Y382" i="13"/>
  <c r="Z382" i="13" s="1"/>
  <c r="S382" i="13"/>
  <c r="T382" i="13" s="1"/>
  <c r="V382" i="13" s="1"/>
  <c r="Y381" i="13"/>
  <c r="Z381" i="13" s="1"/>
  <c r="S381" i="13"/>
  <c r="U381" i="13" s="1"/>
  <c r="AD381" i="13" s="1"/>
  <c r="Y380" i="13"/>
  <c r="Z380" i="13" s="1"/>
  <c r="S380" i="13"/>
  <c r="T380" i="13" s="1"/>
  <c r="V380" i="13" s="1"/>
  <c r="Y379" i="13"/>
  <c r="Z379" i="13" s="1"/>
  <c r="S379" i="13"/>
  <c r="T379" i="13" s="1"/>
  <c r="V379" i="13" s="1"/>
  <c r="Y378" i="13"/>
  <c r="Z378" i="13" s="1"/>
  <c r="S378" i="13"/>
  <c r="T378" i="13" s="1"/>
  <c r="V378" i="13" s="1"/>
  <c r="Y377" i="13"/>
  <c r="Z377" i="13" s="1"/>
  <c r="S377" i="13"/>
  <c r="Y376" i="13"/>
  <c r="Z376" i="13" s="1"/>
  <c r="S376" i="13"/>
  <c r="T376" i="13" s="1"/>
  <c r="V376" i="13" s="1"/>
  <c r="Y375" i="13"/>
  <c r="Z375" i="13" s="1"/>
  <c r="S375" i="13"/>
  <c r="U375" i="13" s="1"/>
  <c r="AD375" i="13" s="1"/>
  <c r="Y374" i="13"/>
  <c r="Z374" i="13" s="1"/>
  <c r="S374" i="13"/>
  <c r="Y373" i="13"/>
  <c r="Z373" i="13" s="1"/>
  <c r="S373" i="13"/>
  <c r="T373" i="13" s="1"/>
  <c r="Y372" i="13"/>
  <c r="Z372" i="13" s="1"/>
  <c r="S372" i="13"/>
  <c r="T372" i="13" s="1"/>
  <c r="V372" i="13" s="1"/>
  <c r="Y371" i="13"/>
  <c r="Z371" i="13" s="1"/>
  <c r="S371" i="13"/>
  <c r="U371" i="13" s="1"/>
  <c r="AD371" i="13" s="1"/>
  <c r="Y370" i="13"/>
  <c r="Z370" i="13" s="1"/>
  <c r="S370" i="13"/>
  <c r="T370" i="13" s="1"/>
  <c r="V370" i="13" s="1"/>
  <c r="Y369" i="13"/>
  <c r="Z369" i="13" s="1"/>
  <c r="S369" i="13"/>
  <c r="U369" i="13" s="1"/>
  <c r="AD369" i="13" s="1"/>
  <c r="Y368" i="13"/>
  <c r="Z368" i="13" s="1"/>
  <c r="S368" i="13"/>
  <c r="T368" i="13" s="1"/>
  <c r="V368" i="13" s="1"/>
  <c r="Y367" i="13"/>
  <c r="Z367" i="13" s="1"/>
  <c r="S367" i="13"/>
  <c r="U367" i="13" s="1"/>
  <c r="AD367" i="13" s="1"/>
  <c r="Y366" i="13"/>
  <c r="Z366" i="13" s="1"/>
  <c r="S366" i="13"/>
  <c r="U366" i="13" s="1"/>
  <c r="AD366" i="13" s="1"/>
  <c r="Y365" i="13"/>
  <c r="Z365" i="13" s="1"/>
  <c r="S365" i="13"/>
  <c r="Y364" i="13"/>
  <c r="Z364" i="13" s="1"/>
  <c r="S364" i="13"/>
  <c r="T364" i="13" s="1"/>
  <c r="V364" i="13" s="1"/>
  <c r="Y363" i="13"/>
  <c r="Z363" i="13" s="1"/>
  <c r="S363" i="13"/>
  <c r="U363" i="13" s="1"/>
  <c r="AD363" i="13" s="1"/>
  <c r="Y362" i="13"/>
  <c r="Z362" i="13" s="1"/>
  <c r="S362" i="13"/>
  <c r="T362" i="13" s="1"/>
  <c r="V362" i="13" s="1"/>
  <c r="Y361" i="13"/>
  <c r="Z361" i="13" s="1"/>
  <c r="S361" i="13"/>
  <c r="Y360" i="13"/>
  <c r="Z360" i="13" s="1"/>
  <c r="S360" i="13"/>
  <c r="T360" i="13" s="1"/>
  <c r="V360" i="13" s="1"/>
  <c r="Y359" i="13"/>
  <c r="Z359" i="13" s="1"/>
  <c r="S359" i="13"/>
  <c r="U359" i="13" s="1"/>
  <c r="AD359" i="13" s="1"/>
  <c r="Y358" i="13"/>
  <c r="Z358" i="13" s="1"/>
  <c r="S358" i="13"/>
  <c r="T358" i="13" s="1"/>
  <c r="V358" i="13" s="1"/>
  <c r="Y357" i="13"/>
  <c r="Z357" i="13" s="1"/>
  <c r="S357" i="13"/>
  <c r="U357" i="13" s="1"/>
  <c r="AD357" i="13" s="1"/>
  <c r="Y356" i="13"/>
  <c r="Z356" i="13" s="1"/>
  <c r="S356" i="13"/>
  <c r="Y355" i="13"/>
  <c r="Z355" i="13" s="1"/>
  <c r="S355" i="13"/>
  <c r="T355" i="13" s="1"/>
  <c r="V355" i="13" s="1"/>
  <c r="Y354" i="13"/>
  <c r="Z354" i="13" s="1"/>
  <c r="S354" i="13"/>
  <c r="T354" i="13" s="1"/>
  <c r="V354" i="13" s="1"/>
  <c r="Y353" i="13"/>
  <c r="Z353" i="13" s="1"/>
  <c r="S353" i="13"/>
  <c r="U353" i="13" s="1"/>
  <c r="AD353" i="13" s="1"/>
  <c r="Y352" i="13"/>
  <c r="Z352" i="13" s="1"/>
  <c r="S352" i="13"/>
  <c r="T352" i="13" s="1"/>
  <c r="V352" i="13" s="1"/>
  <c r="Y351" i="13"/>
  <c r="Z351" i="13" s="1"/>
  <c r="S351" i="13"/>
  <c r="U351" i="13" s="1"/>
  <c r="AD351" i="13" s="1"/>
  <c r="Y350" i="13"/>
  <c r="Z350" i="13" s="1"/>
  <c r="S350" i="13"/>
  <c r="T350" i="13" s="1"/>
  <c r="V350" i="13" s="1"/>
  <c r="AE350" i="13" s="1"/>
  <c r="Y349" i="13"/>
  <c r="Z349" i="13" s="1"/>
  <c r="S349" i="13"/>
  <c r="U349" i="13" s="1"/>
  <c r="AD349" i="13" s="1"/>
  <c r="Y348" i="13"/>
  <c r="Z348" i="13" s="1"/>
  <c r="S348" i="13"/>
  <c r="Y347" i="13"/>
  <c r="Z347" i="13" s="1"/>
  <c r="S347" i="13"/>
  <c r="U347" i="13" s="1"/>
  <c r="AD347" i="13" s="1"/>
  <c r="Y346" i="13"/>
  <c r="Z346" i="13" s="1"/>
  <c r="S346" i="13"/>
  <c r="T346" i="13" s="1"/>
  <c r="V346" i="13" s="1"/>
  <c r="Y345" i="13"/>
  <c r="Z345" i="13" s="1"/>
  <c r="S345" i="13"/>
  <c r="U345" i="13" s="1"/>
  <c r="AD345" i="13" s="1"/>
  <c r="Y344" i="13"/>
  <c r="Z344" i="13" s="1"/>
  <c r="S344" i="13"/>
  <c r="T344" i="13" s="1"/>
  <c r="V344" i="13" s="1"/>
  <c r="Y343" i="13"/>
  <c r="Z343" i="13" s="1"/>
  <c r="S343" i="13"/>
  <c r="U343" i="13" s="1"/>
  <c r="AD343" i="13" s="1"/>
  <c r="Y342" i="13"/>
  <c r="Z342" i="13" s="1"/>
  <c r="S342" i="13"/>
  <c r="U342" i="13" s="1"/>
  <c r="AD342" i="13" s="1"/>
  <c r="Y341" i="13"/>
  <c r="Z341" i="13" s="1"/>
  <c r="S341" i="13"/>
  <c r="U341" i="13" s="1"/>
  <c r="AD341" i="13" s="1"/>
  <c r="Y340" i="13"/>
  <c r="Z340" i="13" s="1"/>
  <c r="S340" i="13"/>
  <c r="T340" i="13" s="1"/>
  <c r="V340" i="13" s="1"/>
  <c r="Y339" i="13"/>
  <c r="Z339" i="13" s="1"/>
  <c r="S339" i="13"/>
  <c r="U339" i="13" s="1"/>
  <c r="AD339" i="13" s="1"/>
  <c r="Y338" i="13"/>
  <c r="Z338" i="13" s="1"/>
  <c r="S338" i="13"/>
  <c r="T338" i="13" s="1"/>
  <c r="V338" i="13" s="1"/>
  <c r="Y337" i="13"/>
  <c r="Z337" i="13" s="1"/>
  <c r="S337" i="13"/>
  <c r="U337" i="13" s="1"/>
  <c r="AD337" i="13" s="1"/>
  <c r="Y336" i="13"/>
  <c r="Z336" i="13" s="1"/>
  <c r="S336" i="13"/>
  <c r="U336" i="13" s="1"/>
  <c r="AD336" i="13" s="1"/>
  <c r="Y335" i="13"/>
  <c r="Z335" i="13" s="1"/>
  <c r="S335" i="13"/>
  <c r="U335" i="13" s="1"/>
  <c r="AD335" i="13" s="1"/>
  <c r="Y334" i="13"/>
  <c r="Z334" i="13" s="1"/>
  <c r="S334" i="13"/>
  <c r="T334" i="13" s="1"/>
  <c r="V334" i="13" s="1"/>
  <c r="Y333" i="13"/>
  <c r="Z333" i="13" s="1"/>
  <c r="S333" i="13"/>
  <c r="U333" i="13" s="1"/>
  <c r="AD333" i="13" s="1"/>
  <c r="Y332" i="13"/>
  <c r="Z332" i="13" s="1"/>
  <c r="S332" i="13"/>
  <c r="T332" i="13" s="1"/>
  <c r="V332" i="13" s="1"/>
  <c r="Y331" i="13"/>
  <c r="Z331" i="13" s="1"/>
  <c r="S331" i="13"/>
  <c r="U331" i="13" s="1"/>
  <c r="AD331" i="13" s="1"/>
  <c r="Y330" i="13"/>
  <c r="Z330" i="13" s="1"/>
  <c r="S330" i="13"/>
  <c r="U330" i="13" s="1"/>
  <c r="AD330" i="13" s="1"/>
  <c r="Y329" i="13"/>
  <c r="Z329" i="13" s="1"/>
  <c r="S329" i="13"/>
  <c r="U329" i="13" s="1"/>
  <c r="AD329" i="13" s="1"/>
  <c r="Y328" i="13"/>
  <c r="Z328" i="13" s="1"/>
  <c r="S328" i="13"/>
  <c r="T328" i="13" s="1"/>
  <c r="V328" i="13" s="1"/>
  <c r="Y327" i="13"/>
  <c r="Z327" i="13" s="1"/>
  <c r="S327" i="13"/>
  <c r="U327" i="13" s="1"/>
  <c r="AD327" i="13" s="1"/>
  <c r="Y326" i="13"/>
  <c r="Z326" i="13" s="1"/>
  <c r="S326" i="13"/>
  <c r="T326" i="13" s="1"/>
  <c r="V326" i="13" s="1"/>
  <c r="Y325" i="13"/>
  <c r="Z325" i="13" s="1"/>
  <c r="S325" i="13"/>
  <c r="U325" i="13" s="1"/>
  <c r="AD325" i="13" s="1"/>
  <c r="Y324" i="13"/>
  <c r="Z324" i="13" s="1"/>
  <c r="S324" i="13"/>
  <c r="U324" i="13" s="1"/>
  <c r="AD324" i="13" s="1"/>
  <c r="Y323" i="13"/>
  <c r="Z323" i="13" s="1"/>
  <c r="S323" i="13"/>
  <c r="U323" i="13" s="1"/>
  <c r="AD323" i="13" s="1"/>
  <c r="Y322" i="13"/>
  <c r="Z322" i="13" s="1"/>
  <c r="S322" i="13"/>
  <c r="T322" i="13" s="1"/>
  <c r="V322" i="13" s="1"/>
  <c r="Y321" i="13"/>
  <c r="Z321" i="13" s="1"/>
  <c r="S321" i="13"/>
  <c r="U321" i="13" s="1"/>
  <c r="AD321" i="13" s="1"/>
  <c r="Y320" i="13"/>
  <c r="Z320" i="13" s="1"/>
  <c r="S320" i="13"/>
  <c r="T320" i="13" s="1"/>
  <c r="V320" i="13" s="1"/>
  <c r="Y319" i="13"/>
  <c r="Z319" i="13" s="1"/>
  <c r="S319" i="13"/>
  <c r="T319" i="13" s="1"/>
  <c r="V319" i="13" s="1"/>
  <c r="Y318" i="13"/>
  <c r="Z318" i="13" s="1"/>
  <c r="S318" i="13"/>
  <c r="T318" i="13" s="1"/>
  <c r="V318" i="13" s="1"/>
  <c r="Y317" i="13"/>
  <c r="Z317" i="13" s="1"/>
  <c r="S317" i="13"/>
  <c r="U317" i="13" s="1"/>
  <c r="AD317" i="13" s="1"/>
  <c r="Y316" i="13"/>
  <c r="Z316" i="13" s="1"/>
  <c r="S316" i="13"/>
  <c r="T316" i="13" s="1"/>
  <c r="Y315" i="13"/>
  <c r="Z315" i="13" s="1"/>
  <c r="S315" i="13"/>
  <c r="U315" i="13" s="1"/>
  <c r="AD315" i="13" s="1"/>
  <c r="Y314" i="13"/>
  <c r="Z314" i="13" s="1"/>
  <c r="S314" i="13"/>
  <c r="U314" i="13" s="1"/>
  <c r="AD314" i="13" s="1"/>
  <c r="Y313" i="13"/>
  <c r="Z313" i="13" s="1"/>
  <c r="S313" i="13"/>
  <c r="U313" i="13" s="1"/>
  <c r="AD313" i="13" s="1"/>
  <c r="Y312" i="13"/>
  <c r="Z312" i="13" s="1"/>
  <c r="S312" i="13"/>
  <c r="U312" i="13" s="1"/>
  <c r="AD312" i="13" s="1"/>
  <c r="Y311" i="13"/>
  <c r="Z311" i="13" s="1"/>
  <c r="S311" i="13"/>
  <c r="U311" i="13" s="1"/>
  <c r="AD311" i="13" s="1"/>
  <c r="Y310" i="13"/>
  <c r="Z310" i="13" s="1"/>
  <c r="S310" i="13"/>
  <c r="T310" i="13" s="1"/>
  <c r="Y309" i="13"/>
  <c r="Z309" i="13" s="1"/>
  <c r="S309" i="13"/>
  <c r="U309" i="13" s="1"/>
  <c r="AD309" i="13" s="1"/>
  <c r="Y308" i="13"/>
  <c r="Z308" i="13" s="1"/>
  <c r="S308" i="13"/>
  <c r="T308" i="13" s="1"/>
  <c r="V308" i="13" s="1"/>
  <c r="Y307" i="13"/>
  <c r="Z307" i="13" s="1"/>
  <c r="S307" i="13"/>
  <c r="U307" i="13" s="1"/>
  <c r="AD307" i="13" s="1"/>
  <c r="Y306" i="13"/>
  <c r="Z306" i="13" s="1"/>
  <c r="S306" i="13"/>
  <c r="U306" i="13" s="1"/>
  <c r="AD306" i="13" s="1"/>
  <c r="Y305" i="13"/>
  <c r="Z305" i="13" s="1"/>
  <c r="S305" i="13"/>
  <c r="U305" i="13" s="1"/>
  <c r="AD305" i="13" s="1"/>
  <c r="Y304" i="13"/>
  <c r="Z304" i="13" s="1"/>
  <c r="S304" i="13"/>
  <c r="T304" i="13" s="1"/>
  <c r="V304" i="13" s="1"/>
  <c r="Y303" i="13"/>
  <c r="Z303" i="13" s="1"/>
  <c r="S303" i="13"/>
  <c r="U303" i="13" s="1"/>
  <c r="AD303" i="13" s="1"/>
  <c r="Y302" i="13"/>
  <c r="Z302" i="13" s="1"/>
  <c r="S302" i="13"/>
  <c r="T302" i="13" s="1"/>
  <c r="V302" i="13" s="1"/>
  <c r="Y301" i="13"/>
  <c r="Z301" i="13" s="1"/>
  <c r="S301" i="13"/>
  <c r="T301" i="13" s="1"/>
  <c r="V301" i="13" s="1"/>
  <c r="Y300" i="13"/>
  <c r="Z300" i="13" s="1"/>
  <c r="S300" i="13"/>
  <c r="T300" i="13" s="1"/>
  <c r="V300" i="13" s="1"/>
  <c r="Y299" i="13"/>
  <c r="Z299" i="13" s="1"/>
  <c r="S299" i="13"/>
  <c r="U299" i="13" s="1"/>
  <c r="AD299" i="13" s="1"/>
  <c r="Y298" i="13"/>
  <c r="Z298" i="13" s="1"/>
  <c r="S298" i="13"/>
  <c r="T298" i="13" s="1"/>
  <c r="V298" i="13" s="1"/>
  <c r="Y297" i="13"/>
  <c r="Z297" i="13" s="1"/>
  <c r="S297" i="13"/>
  <c r="U297" i="13" s="1"/>
  <c r="AD297" i="13" s="1"/>
  <c r="Y296" i="13"/>
  <c r="Z296" i="13" s="1"/>
  <c r="S296" i="13"/>
  <c r="U296" i="13" s="1"/>
  <c r="AD296" i="13" s="1"/>
  <c r="Y295" i="13"/>
  <c r="Z295" i="13" s="1"/>
  <c r="S295" i="13"/>
  <c r="U295" i="13" s="1"/>
  <c r="AD295" i="13" s="1"/>
  <c r="Y294" i="13"/>
  <c r="Z294" i="13" s="1"/>
  <c r="S294" i="13"/>
  <c r="U294" i="13" s="1"/>
  <c r="AD294" i="13" s="1"/>
  <c r="Y293" i="13"/>
  <c r="Z293" i="13" s="1"/>
  <c r="S293" i="13"/>
  <c r="U293" i="13" s="1"/>
  <c r="AD293" i="13" s="1"/>
  <c r="Y292" i="13"/>
  <c r="Z292" i="13" s="1"/>
  <c r="S292" i="13"/>
  <c r="T292" i="13" s="1"/>
  <c r="V292" i="13" s="1"/>
  <c r="Y291" i="13"/>
  <c r="Z291" i="13" s="1"/>
  <c r="S291" i="13"/>
  <c r="U291" i="13" s="1"/>
  <c r="AD291" i="13" s="1"/>
  <c r="Y290" i="13"/>
  <c r="Z290" i="13" s="1"/>
  <c r="S290" i="13"/>
  <c r="T290" i="13" s="1"/>
  <c r="V290" i="13" s="1"/>
  <c r="Y289" i="13"/>
  <c r="Z289" i="13" s="1"/>
  <c r="S289" i="13"/>
  <c r="T289" i="13" s="1"/>
  <c r="V289" i="13" s="1"/>
  <c r="Y288" i="13"/>
  <c r="Z288" i="13" s="1"/>
  <c r="S288" i="13"/>
  <c r="T288" i="13" s="1"/>
  <c r="V288" i="13" s="1"/>
  <c r="Y287" i="13"/>
  <c r="Z287" i="13" s="1"/>
  <c r="S287" i="13"/>
  <c r="U287" i="13" s="1"/>
  <c r="AD287" i="13" s="1"/>
  <c r="Y286" i="13"/>
  <c r="Z286" i="13" s="1"/>
  <c r="S286" i="13"/>
  <c r="T286" i="13" s="1"/>
  <c r="V286" i="13" s="1"/>
  <c r="Y285" i="13"/>
  <c r="Z285" i="13" s="1"/>
  <c r="S285" i="13"/>
  <c r="U285" i="13" s="1"/>
  <c r="AD285" i="13" s="1"/>
  <c r="Y284" i="13"/>
  <c r="Z284" i="13" s="1"/>
  <c r="S284" i="13"/>
  <c r="T284" i="13" s="1"/>
  <c r="V284" i="13" s="1"/>
  <c r="Y283" i="13"/>
  <c r="Z283" i="13" s="1"/>
  <c r="S283" i="13"/>
  <c r="U283" i="13" s="1"/>
  <c r="AD283" i="13" s="1"/>
  <c r="Y282" i="13"/>
  <c r="Z282" i="13" s="1"/>
  <c r="S282" i="13"/>
  <c r="U282" i="13" s="1"/>
  <c r="AD282" i="13" s="1"/>
  <c r="Y281" i="13"/>
  <c r="Z281" i="13" s="1"/>
  <c r="S281" i="13"/>
  <c r="U281" i="13" s="1"/>
  <c r="AD281" i="13" s="1"/>
  <c r="Y280" i="13"/>
  <c r="Z280" i="13" s="1"/>
  <c r="S280" i="13"/>
  <c r="T280" i="13" s="1"/>
  <c r="V280" i="13" s="1"/>
  <c r="Y279" i="13"/>
  <c r="Z279" i="13" s="1"/>
  <c r="S279" i="13"/>
  <c r="U279" i="13" s="1"/>
  <c r="AD279" i="13" s="1"/>
  <c r="Y278" i="13"/>
  <c r="Z278" i="13" s="1"/>
  <c r="S278" i="13"/>
  <c r="T278" i="13" s="1"/>
  <c r="Y277" i="13"/>
  <c r="Z277" i="13" s="1"/>
  <c r="S277" i="13"/>
  <c r="U277" i="13" s="1"/>
  <c r="AD277" i="13" s="1"/>
  <c r="Y276" i="13"/>
  <c r="Z276" i="13" s="1"/>
  <c r="S276" i="13"/>
  <c r="U276" i="13" s="1"/>
  <c r="AD276" i="13" s="1"/>
  <c r="Y275" i="13"/>
  <c r="Z275" i="13" s="1"/>
  <c r="S275" i="13"/>
  <c r="U275" i="13" s="1"/>
  <c r="AD275" i="13" s="1"/>
  <c r="Y274" i="13"/>
  <c r="Z274" i="13" s="1"/>
  <c r="S274" i="13"/>
  <c r="T274" i="13" s="1"/>
  <c r="V274" i="13" s="1"/>
  <c r="Y273" i="13"/>
  <c r="Z273" i="13" s="1"/>
  <c r="S273" i="13"/>
  <c r="U273" i="13" s="1"/>
  <c r="AD273" i="13" s="1"/>
  <c r="Y272" i="13"/>
  <c r="Z272" i="13" s="1"/>
  <c r="S272" i="13"/>
  <c r="T272" i="13" s="1"/>
  <c r="V272" i="13" s="1"/>
  <c r="Y271" i="13"/>
  <c r="Z271" i="13" s="1"/>
  <c r="S271" i="13"/>
  <c r="T271" i="13" s="1"/>
  <c r="V271" i="13" s="1"/>
  <c r="Y270" i="13"/>
  <c r="Z270" i="13" s="1"/>
  <c r="S270" i="13"/>
  <c r="T270" i="13" s="1"/>
  <c r="V270" i="13" s="1"/>
  <c r="Y269" i="13"/>
  <c r="Z269" i="13" s="1"/>
  <c r="S269" i="13"/>
  <c r="U269" i="13" s="1"/>
  <c r="AD269" i="13" s="1"/>
  <c r="Y268" i="13"/>
  <c r="Z268" i="13" s="1"/>
  <c r="S268" i="13"/>
  <c r="T268" i="13" s="1"/>
  <c r="V268" i="13" s="1"/>
  <c r="Y267" i="13"/>
  <c r="Z267" i="13" s="1"/>
  <c r="S267" i="13"/>
  <c r="U267" i="13" s="1"/>
  <c r="AD267" i="13" s="1"/>
  <c r="Y266" i="13"/>
  <c r="Z266" i="13" s="1"/>
  <c r="S266" i="13"/>
  <c r="T266" i="13" s="1"/>
  <c r="V266" i="13" s="1"/>
  <c r="AE266" i="13" s="1"/>
  <c r="Y265" i="13"/>
  <c r="Z265" i="13" s="1"/>
  <c r="S265" i="13"/>
  <c r="U265" i="13" s="1"/>
  <c r="AD265" i="13" s="1"/>
  <c r="Y264" i="13"/>
  <c r="Z264" i="13" s="1"/>
  <c r="S264" i="13"/>
  <c r="T264" i="13" s="1"/>
  <c r="V264" i="13" s="1"/>
  <c r="Y263" i="13"/>
  <c r="Z263" i="13" s="1"/>
  <c r="S263" i="13"/>
  <c r="U263" i="13" s="1"/>
  <c r="AD263" i="13" s="1"/>
  <c r="Y262" i="13"/>
  <c r="Z262" i="13" s="1"/>
  <c r="S262" i="13"/>
  <c r="T262" i="13" s="1"/>
  <c r="V262" i="13" s="1"/>
  <c r="Y261" i="13"/>
  <c r="Z261" i="13" s="1"/>
  <c r="S261" i="13"/>
  <c r="U261" i="13" s="1"/>
  <c r="AD261" i="13" s="1"/>
  <c r="Y260" i="13"/>
  <c r="Z260" i="13" s="1"/>
  <c r="S260" i="13"/>
  <c r="T260" i="13" s="1"/>
  <c r="V260" i="13" s="1"/>
  <c r="Y259" i="13"/>
  <c r="Z259" i="13" s="1"/>
  <c r="S259" i="13"/>
  <c r="U259" i="13" s="1"/>
  <c r="AD259" i="13" s="1"/>
  <c r="Y258" i="13"/>
  <c r="Z258" i="13" s="1"/>
  <c r="S258" i="13"/>
  <c r="U258" i="13" s="1"/>
  <c r="AD258" i="13" s="1"/>
  <c r="Y257" i="13"/>
  <c r="Z257" i="13" s="1"/>
  <c r="S257" i="13"/>
  <c r="U257" i="13" s="1"/>
  <c r="AD257" i="13" s="1"/>
  <c r="Y256" i="13"/>
  <c r="Z256" i="13" s="1"/>
  <c r="S256" i="13"/>
  <c r="T256" i="13" s="1"/>
  <c r="V256" i="13" s="1"/>
  <c r="Y255" i="13"/>
  <c r="Z255" i="13" s="1"/>
  <c r="S255" i="13"/>
  <c r="U255" i="13" s="1"/>
  <c r="AD255" i="13" s="1"/>
  <c r="Y254" i="13"/>
  <c r="Z254" i="13" s="1"/>
  <c r="S254" i="13"/>
  <c r="U254" i="13" s="1"/>
  <c r="AD254" i="13" s="1"/>
  <c r="Y253" i="13"/>
  <c r="Z253" i="13" s="1"/>
  <c r="S253" i="13"/>
  <c r="T253" i="13" s="1"/>
  <c r="V253" i="13" s="1"/>
  <c r="Y252" i="13"/>
  <c r="Z252" i="13" s="1"/>
  <c r="S252" i="13"/>
  <c r="T252" i="13" s="1"/>
  <c r="V252" i="13" s="1"/>
  <c r="Y251" i="13"/>
  <c r="Z251" i="13" s="1"/>
  <c r="S251" i="13"/>
  <c r="U251" i="13" s="1"/>
  <c r="AD251" i="13" s="1"/>
  <c r="Y250" i="13"/>
  <c r="Z250" i="13" s="1"/>
  <c r="S250" i="13"/>
  <c r="T250" i="13" s="1"/>
  <c r="V250" i="13" s="1"/>
  <c r="Y249" i="13"/>
  <c r="Z249" i="13" s="1"/>
  <c r="S249" i="13"/>
  <c r="U249" i="13" s="1"/>
  <c r="AD249" i="13" s="1"/>
  <c r="Y248" i="13"/>
  <c r="Z248" i="13" s="1"/>
  <c r="S248" i="13"/>
  <c r="U248" i="13" s="1"/>
  <c r="AD248" i="13" s="1"/>
  <c r="Y247" i="13"/>
  <c r="Z247" i="13" s="1"/>
  <c r="S247" i="13"/>
  <c r="U247" i="13" s="1"/>
  <c r="AD247" i="13" s="1"/>
  <c r="Y246" i="13"/>
  <c r="Z246" i="13" s="1"/>
  <c r="S246" i="13"/>
  <c r="U246" i="13" s="1"/>
  <c r="AD246" i="13" s="1"/>
  <c r="Y245" i="13"/>
  <c r="Z245" i="13" s="1"/>
  <c r="S245" i="13"/>
  <c r="U245" i="13" s="1"/>
  <c r="AD245" i="13" s="1"/>
  <c r="Y244" i="13"/>
  <c r="Z244" i="13" s="1"/>
  <c r="S244" i="13"/>
  <c r="Y243" i="13"/>
  <c r="Z243" i="13" s="1"/>
  <c r="S243" i="13"/>
  <c r="U243" i="13" s="1"/>
  <c r="AD243" i="13" s="1"/>
  <c r="Y242" i="13"/>
  <c r="Z242" i="13" s="1"/>
  <c r="S242" i="13"/>
  <c r="T242" i="13" s="1"/>
  <c r="V242" i="13" s="1"/>
  <c r="Y241" i="13"/>
  <c r="Z241" i="13" s="1"/>
  <c r="S241" i="13"/>
  <c r="U241" i="13" s="1"/>
  <c r="AD241" i="13" s="1"/>
  <c r="Y240" i="13"/>
  <c r="Z240" i="13" s="1"/>
  <c r="S240" i="13"/>
  <c r="U240" i="13" s="1"/>
  <c r="AD240" i="13" s="1"/>
  <c r="Y239" i="13"/>
  <c r="Z239" i="13" s="1"/>
  <c r="S239" i="13"/>
  <c r="U239" i="13" s="1"/>
  <c r="AD239" i="13" s="1"/>
  <c r="Y238" i="13"/>
  <c r="Z238" i="13" s="1"/>
  <c r="S238" i="13"/>
  <c r="Y237" i="13"/>
  <c r="Z237" i="13" s="1"/>
  <c r="S237" i="13"/>
  <c r="U237" i="13" s="1"/>
  <c r="AD237" i="13" s="1"/>
  <c r="Y236" i="13"/>
  <c r="Z236" i="13" s="1"/>
  <c r="S236" i="13"/>
  <c r="T236" i="13" s="1"/>
  <c r="V236" i="13" s="1"/>
  <c r="Y235" i="13"/>
  <c r="Z235" i="13" s="1"/>
  <c r="S235" i="13"/>
  <c r="U235" i="13" s="1"/>
  <c r="AD235" i="13" s="1"/>
  <c r="Y234" i="13"/>
  <c r="Z234" i="13" s="1"/>
  <c r="S234" i="13"/>
  <c r="U234" i="13" s="1"/>
  <c r="AD234" i="13" s="1"/>
  <c r="Y233" i="13"/>
  <c r="Z233" i="13" s="1"/>
  <c r="S233" i="13"/>
  <c r="U233" i="13" s="1"/>
  <c r="AD233" i="13" s="1"/>
  <c r="Y232" i="13"/>
  <c r="Z232" i="13" s="1"/>
  <c r="S232" i="13"/>
  <c r="Y231" i="13"/>
  <c r="Z231" i="13" s="1"/>
  <c r="S231" i="13"/>
  <c r="U231" i="13" s="1"/>
  <c r="AD231" i="13" s="1"/>
  <c r="Y230" i="13"/>
  <c r="Z230" i="13" s="1"/>
  <c r="S230" i="13"/>
  <c r="T230" i="13" s="1"/>
  <c r="V230" i="13" s="1"/>
  <c r="Y229" i="13"/>
  <c r="Z229" i="13" s="1"/>
  <c r="S229" i="13"/>
  <c r="U229" i="13" s="1"/>
  <c r="AD229" i="13" s="1"/>
  <c r="Y228" i="13"/>
  <c r="Z228" i="13" s="1"/>
  <c r="S228" i="13"/>
  <c r="T228" i="13" s="1"/>
  <c r="V228" i="13" s="1"/>
  <c r="Y227" i="13"/>
  <c r="Z227" i="13" s="1"/>
  <c r="S227" i="13"/>
  <c r="U227" i="13" s="1"/>
  <c r="AD227" i="13" s="1"/>
  <c r="Y226" i="13"/>
  <c r="Z226" i="13" s="1"/>
  <c r="S226" i="13"/>
  <c r="Y225" i="13"/>
  <c r="Z225" i="13" s="1"/>
  <c r="S225" i="13"/>
  <c r="U225" i="13" s="1"/>
  <c r="AD225" i="13" s="1"/>
  <c r="Y224" i="13"/>
  <c r="Z224" i="13" s="1"/>
  <c r="S224" i="13"/>
  <c r="T224" i="13" s="1"/>
  <c r="V224" i="13" s="1"/>
  <c r="Y223" i="13"/>
  <c r="Z223" i="13" s="1"/>
  <c r="S223" i="13"/>
  <c r="U223" i="13" s="1"/>
  <c r="AD223" i="13" s="1"/>
  <c r="Y222" i="13"/>
  <c r="Z222" i="13" s="1"/>
  <c r="S222" i="13"/>
  <c r="U222" i="13" s="1"/>
  <c r="AD222" i="13" s="1"/>
  <c r="Y221" i="13"/>
  <c r="Z221" i="13" s="1"/>
  <c r="S221" i="13"/>
  <c r="U221" i="13" s="1"/>
  <c r="AD221" i="13" s="1"/>
  <c r="Y220" i="13"/>
  <c r="Z220" i="13" s="1"/>
  <c r="S220" i="13"/>
  <c r="Y219" i="13"/>
  <c r="Z219" i="13" s="1"/>
  <c r="S219" i="13"/>
  <c r="U219" i="13" s="1"/>
  <c r="AD219" i="13" s="1"/>
  <c r="Y218" i="13"/>
  <c r="Z218" i="13" s="1"/>
  <c r="S218" i="13"/>
  <c r="T218" i="13" s="1"/>
  <c r="V218" i="13" s="1"/>
  <c r="Y217" i="13"/>
  <c r="Z217" i="13" s="1"/>
  <c r="S217" i="13"/>
  <c r="U217" i="13" s="1"/>
  <c r="AD217" i="13" s="1"/>
  <c r="Y216" i="13"/>
  <c r="Z216" i="13" s="1"/>
  <c r="S216" i="13"/>
  <c r="U216" i="13" s="1"/>
  <c r="AD216" i="13" s="1"/>
  <c r="Y215" i="13"/>
  <c r="Z215" i="13" s="1"/>
  <c r="S215" i="13"/>
  <c r="U215" i="13" s="1"/>
  <c r="AD215" i="13" s="1"/>
  <c r="Y214" i="13"/>
  <c r="Z214" i="13" s="1"/>
  <c r="S214" i="13"/>
  <c r="Y213" i="13"/>
  <c r="Z213" i="13" s="1"/>
  <c r="S213" i="13"/>
  <c r="T213" i="13" s="1"/>
  <c r="V213" i="13" s="1"/>
  <c r="Y212" i="13"/>
  <c r="Z212" i="13" s="1"/>
  <c r="S212" i="13"/>
  <c r="T212" i="13" s="1"/>
  <c r="Y211" i="13"/>
  <c r="Z211" i="13" s="1"/>
  <c r="S211" i="13"/>
  <c r="T211" i="13" s="1"/>
  <c r="Y210" i="13"/>
  <c r="Z210" i="13" s="1"/>
  <c r="S210" i="13"/>
  <c r="T210" i="13" s="1"/>
  <c r="Y209" i="13"/>
  <c r="Z209" i="13" s="1"/>
  <c r="S209" i="13"/>
  <c r="U209" i="13" s="1"/>
  <c r="AD209" i="13" s="1"/>
  <c r="Y208" i="13"/>
  <c r="Z208" i="13" s="1"/>
  <c r="S208" i="13"/>
  <c r="Y207" i="13"/>
  <c r="Z207" i="13" s="1"/>
  <c r="S207" i="13"/>
  <c r="U207" i="13" s="1"/>
  <c r="AD207" i="13" s="1"/>
  <c r="Y206" i="13"/>
  <c r="Z206" i="13" s="1"/>
  <c r="S206" i="13"/>
  <c r="T206" i="13" s="1"/>
  <c r="V206" i="13" s="1"/>
  <c r="Y205" i="13"/>
  <c r="Z205" i="13" s="1"/>
  <c r="S205" i="13"/>
  <c r="U205" i="13" s="1"/>
  <c r="AD205" i="13" s="1"/>
  <c r="Y204" i="13"/>
  <c r="Z204" i="13" s="1"/>
  <c r="S204" i="13"/>
  <c r="U204" i="13" s="1"/>
  <c r="AD204" i="13" s="1"/>
  <c r="Y203" i="13"/>
  <c r="Z203" i="13" s="1"/>
  <c r="S203" i="13"/>
  <c r="T203" i="13" s="1"/>
  <c r="V203" i="13" s="1"/>
  <c r="Y202" i="13"/>
  <c r="Z202" i="13" s="1"/>
  <c r="S202" i="13"/>
  <c r="U202" i="13" s="1"/>
  <c r="AD202" i="13" s="1"/>
  <c r="Y201" i="13"/>
  <c r="Z201" i="13" s="1"/>
  <c r="S201" i="13"/>
  <c r="T201" i="13" s="1"/>
  <c r="V201" i="13" s="1"/>
  <c r="Y200" i="13"/>
  <c r="Z200" i="13" s="1"/>
  <c r="S200" i="13"/>
  <c r="T200" i="13" s="1"/>
  <c r="Y199" i="13"/>
  <c r="Z199" i="13" s="1"/>
  <c r="S199" i="13"/>
  <c r="U199" i="13" s="1"/>
  <c r="AD199" i="13" s="1"/>
  <c r="Y198" i="13"/>
  <c r="Z198" i="13" s="1"/>
  <c r="S198" i="13"/>
  <c r="U198" i="13" s="1"/>
  <c r="AD198" i="13" s="1"/>
  <c r="Y197" i="13"/>
  <c r="Z197" i="13" s="1"/>
  <c r="S197" i="13"/>
  <c r="T197" i="13" s="1"/>
  <c r="Y196" i="13"/>
  <c r="Z196" i="13" s="1"/>
  <c r="S196" i="13"/>
  <c r="U196" i="13" s="1"/>
  <c r="AD196" i="13" s="1"/>
  <c r="Y195" i="13"/>
  <c r="Z195" i="13" s="1"/>
  <c r="S195" i="13"/>
  <c r="U195" i="13" s="1"/>
  <c r="AD195" i="13" s="1"/>
  <c r="Y194" i="13"/>
  <c r="Z194" i="13" s="1"/>
  <c r="S194" i="13"/>
  <c r="U194" i="13" s="1"/>
  <c r="AD194" i="13" s="1"/>
  <c r="Y193" i="13"/>
  <c r="Z193" i="13" s="1"/>
  <c r="S193" i="13"/>
  <c r="U193" i="13" s="1"/>
  <c r="AD193" i="13" s="1"/>
  <c r="Y192" i="13"/>
  <c r="Z192" i="13" s="1"/>
  <c r="S192" i="13"/>
  <c r="U192" i="13" s="1"/>
  <c r="AD192" i="13" s="1"/>
  <c r="Y191" i="13"/>
  <c r="Z191" i="13" s="1"/>
  <c r="S191" i="13"/>
  <c r="T191" i="13" s="1"/>
  <c r="V191" i="13" s="1"/>
  <c r="Y190" i="13"/>
  <c r="Z190" i="13" s="1"/>
  <c r="S190" i="13"/>
  <c r="U190" i="13" s="1"/>
  <c r="AD190" i="13" s="1"/>
  <c r="Y189" i="13"/>
  <c r="Z189" i="13" s="1"/>
  <c r="S189" i="13"/>
  <c r="T189" i="13" s="1"/>
  <c r="Y188" i="13"/>
  <c r="Z188" i="13" s="1"/>
  <c r="S188" i="13"/>
  <c r="T188" i="13" s="1"/>
  <c r="Y187" i="13"/>
  <c r="Z187" i="13" s="1"/>
  <c r="S187" i="13"/>
  <c r="U187" i="13" s="1"/>
  <c r="AD187" i="13" s="1"/>
  <c r="Y186" i="13"/>
  <c r="Z186" i="13" s="1"/>
  <c r="S186" i="13"/>
  <c r="U186" i="13" s="1"/>
  <c r="AD186" i="13" s="1"/>
  <c r="Y185" i="13"/>
  <c r="Z185" i="13" s="1"/>
  <c r="S185" i="13"/>
  <c r="T185" i="13" s="1"/>
  <c r="Y184" i="13"/>
  <c r="Z184" i="13" s="1"/>
  <c r="S184" i="13"/>
  <c r="U184" i="13" s="1"/>
  <c r="AD184" i="13" s="1"/>
  <c r="Y183" i="13"/>
  <c r="Z183" i="13" s="1"/>
  <c r="S183" i="13"/>
  <c r="T183" i="13" s="1"/>
  <c r="Y182" i="13"/>
  <c r="Z182" i="13" s="1"/>
  <c r="S182" i="13"/>
  <c r="T182" i="13" s="1"/>
  <c r="V182" i="13" s="1"/>
  <c r="Y181" i="13"/>
  <c r="Z181" i="13" s="1"/>
  <c r="S181" i="13"/>
  <c r="U181" i="13" s="1"/>
  <c r="AD181" i="13" s="1"/>
  <c r="Y180" i="13"/>
  <c r="Z180" i="13" s="1"/>
  <c r="S180" i="13"/>
  <c r="U180" i="13" s="1"/>
  <c r="AD180" i="13" s="1"/>
  <c r="Y179" i="13"/>
  <c r="Z179" i="13" s="1"/>
  <c r="S179" i="13"/>
  <c r="T179" i="13" s="1"/>
  <c r="Y178" i="13"/>
  <c r="Z178" i="13" s="1"/>
  <c r="S178" i="13"/>
  <c r="U178" i="13" s="1"/>
  <c r="AD178" i="13" s="1"/>
  <c r="Y177" i="13"/>
  <c r="Z177" i="13" s="1"/>
  <c r="S177" i="13"/>
  <c r="U177" i="13" s="1"/>
  <c r="AD177" i="13" s="1"/>
  <c r="Y176" i="13"/>
  <c r="Z176" i="13" s="1"/>
  <c r="S176" i="13"/>
  <c r="U176" i="13" s="1"/>
  <c r="AD176" i="13" s="1"/>
  <c r="Y175" i="13"/>
  <c r="Z175" i="13" s="1"/>
  <c r="S175" i="13"/>
  <c r="U175" i="13" s="1"/>
  <c r="AD175" i="13" s="1"/>
  <c r="Y174" i="13"/>
  <c r="Z174" i="13" s="1"/>
  <c r="S174" i="13"/>
  <c r="U174" i="13" s="1"/>
  <c r="AD174" i="13" s="1"/>
  <c r="Y173" i="13"/>
  <c r="Z173" i="13" s="1"/>
  <c r="S173" i="13"/>
  <c r="T173" i="13" s="1"/>
  <c r="Y172" i="13"/>
  <c r="Z172" i="13" s="1"/>
  <c r="S172" i="13"/>
  <c r="U172" i="13" s="1"/>
  <c r="AD172" i="13" s="1"/>
  <c r="Y171" i="13"/>
  <c r="Z171" i="13" s="1"/>
  <c r="S171" i="13"/>
  <c r="U171" i="13" s="1"/>
  <c r="AD171" i="13" s="1"/>
  <c r="Y170" i="13"/>
  <c r="Z170" i="13" s="1"/>
  <c r="S170" i="13"/>
  <c r="U170" i="13" s="1"/>
  <c r="AD170" i="13" s="1"/>
  <c r="Y169" i="13"/>
  <c r="Z169" i="13" s="1"/>
  <c r="S169" i="13"/>
  <c r="U169" i="13" s="1"/>
  <c r="AD169" i="13" s="1"/>
  <c r="Y168" i="13"/>
  <c r="Z168" i="13" s="1"/>
  <c r="S168" i="13"/>
  <c r="T168" i="13" s="1"/>
  <c r="V168" i="13" s="1"/>
  <c r="Y167" i="13"/>
  <c r="Z167" i="13" s="1"/>
  <c r="S167" i="13"/>
  <c r="U167" i="13" s="1"/>
  <c r="AD167" i="13" s="1"/>
  <c r="Y166" i="13"/>
  <c r="Z166" i="13" s="1"/>
  <c r="S166" i="13"/>
  <c r="U166" i="13" s="1"/>
  <c r="AD166" i="13" s="1"/>
  <c r="Y165" i="13"/>
  <c r="Z165" i="13" s="1"/>
  <c r="S165" i="13"/>
  <c r="U165" i="13" s="1"/>
  <c r="AD165" i="13" s="1"/>
  <c r="Y164" i="13"/>
  <c r="Z164" i="13" s="1"/>
  <c r="S164" i="13"/>
  <c r="U164" i="13" s="1"/>
  <c r="AD164" i="13" s="1"/>
  <c r="Y163" i="13"/>
  <c r="Z163" i="13" s="1"/>
  <c r="S163" i="13"/>
  <c r="U163" i="13" s="1"/>
  <c r="AD163" i="13" s="1"/>
  <c r="Y162" i="13"/>
  <c r="Z162" i="13" s="1"/>
  <c r="S162" i="13"/>
  <c r="T162" i="13" s="1"/>
  <c r="Y161" i="13"/>
  <c r="Z161" i="13" s="1"/>
  <c r="S161" i="13"/>
  <c r="U161" i="13" s="1"/>
  <c r="AD161" i="13" s="1"/>
  <c r="Y160" i="13"/>
  <c r="Z160" i="13" s="1"/>
  <c r="S160" i="13"/>
  <c r="U160" i="13" s="1"/>
  <c r="AD160" i="13" s="1"/>
  <c r="Y159" i="13"/>
  <c r="Z159" i="13" s="1"/>
  <c r="S159" i="13"/>
  <c r="T159" i="13" s="1"/>
  <c r="Y158" i="13"/>
  <c r="Z158" i="13" s="1"/>
  <c r="S158" i="13"/>
  <c r="U158" i="13" s="1"/>
  <c r="AD158" i="13" s="1"/>
  <c r="Y157" i="13"/>
  <c r="Z157" i="13" s="1"/>
  <c r="S157" i="13"/>
  <c r="U157" i="13" s="1"/>
  <c r="AD157" i="13" s="1"/>
  <c r="Y156" i="13"/>
  <c r="Z156" i="13" s="1"/>
  <c r="S156" i="13"/>
  <c r="T156" i="13" s="1"/>
  <c r="Y155" i="13"/>
  <c r="Z155" i="13" s="1"/>
  <c r="S155" i="13"/>
  <c r="U155" i="13" s="1"/>
  <c r="AD155" i="13" s="1"/>
  <c r="Y154" i="13"/>
  <c r="Z154" i="13" s="1"/>
  <c r="S154" i="13"/>
  <c r="T154" i="13" s="1"/>
  <c r="Y153" i="13"/>
  <c r="Z153" i="13" s="1"/>
  <c r="S153" i="13"/>
  <c r="U153" i="13" s="1"/>
  <c r="AD153" i="13" s="1"/>
  <c r="Y152" i="13"/>
  <c r="Z152" i="13" s="1"/>
  <c r="S152" i="13"/>
  <c r="U152" i="13" s="1"/>
  <c r="AD152" i="13" s="1"/>
  <c r="Y151" i="13"/>
  <c r="Z151" i="13" s="1"/>
  <c r="S151" i="13"/>
  <c r="U151" i="13" s="1"/>
  <c r="AD151" i="13" s="1"/>
  <c r="Y150" i="13"/>
  <c r="Z150" i="13" s="1"/>
  <c r="S150" i="13"/>
  <c r="T150" i="13" s="1"/>
  <c r="Y149" i="13"/>
  <c r="Z149" i="13" s="1"/>
  <c r="S149" i="13"/>
  <c r="U149" i="13" s="1"/>
  <c r="AD149" i="13" s="1"/>
  <c r="Y148" i="13"/>
  <c r="Z148" i="13" s="1"/>
  <c r="S148" i="13"/>
  <c r="U148" i="13" s="1"/>
  <c r="AD148" i="13" s="1"/>
  <c r="Y147" i="13"/>
  <c r="Z147" i="13" s="1"/>
  <c r="S147" i="13"/>
  <c r="U147" i="13" s="1"/>
  <c r="AD147" i="13" s="1"/>
  <c r="Y146" i="13"/>
  <c r="Z146" i="13" s="1"/>
  <c r="S146" i="13"/>
  <c r="U146" i="13" s="1"/>
  <c r="AD146" i="13" s="1"/>
  <c r="Y145" i="13"/>
  <c r="Z145" i="13" s="1"/>
  <c r="S145" i="13"/>
  <c r="U145" i="13" s="1"/>
  <c r="AD145" i="13" s="1"/>
  <c r="Y144" i="13"/>
  <c r="Z144" i="13" s="1"/>
  <c r="S144" i="13"/>
  <c r="T144" i="13" s="1"/>
  <c r="Y143" i="13"/>
  <c r="Z143" i="13" s="1"/>
  <c r="S143" i="13"/>
  <c r="U143" i="13" s="1"/>
  <c r="AD143" i="13" s="1"/>
  <c r="Y142" i="13"/>
  <c r="Z142" i="13" s="1"/>
  <c r="S142" i="13"/>
  <c r="U142" i="13" s="1"/>
  <c r="AD142" i="13" s="1"/>
  <c r="Y141" i="13"/>
  <c r="Z141" i="13" s="1"/>
  <c r="S141" i="13"/>
  <c r="T141" i="13" s="1"/>
  <c r="V141" i="13" s="1"/>
  <c r="Y140" i="13"/>
  <c r="Z140" i="13" s="1"/>
  <c r="S140" i="13"/>
  <c r="U140" i="13" s="1"/>
  <c r="AD140" i="13" s="1"/>
  <c r="Y139" i="13"/>
  <c r="Z139" i="13" s="1"/>
  <c r="S139" i="13"/>
  <c r="U139" i="13" s="1"/>
  <c r="AD139" i="13" s="1"/>
  <c r="Y138" i="13"/>
  <c r="Z138" i="13" s="1"/>
  <c r="S138" i="13"/>
  <c r="T138" i="13" s="1"/>
  <c r="Y137" i="13"/>
  <c r="Z137" i="13" s="1"/>
  <c r="S137" i="13"/>
  <c r="U137" i="13" s="1"/>
  <c r="AD137" i="13" s="1"/>
  <c r="Y136" i="13"/>
  <c r="Z136" i="13" s="1"/>
  <c r="S136" i="13"/>
  <c r="T136" i="13" s="1"/>
  <c r="Y135" i="13"/>
  <c r="Z135" i="13" s="1"/>
  <c r="S135" i="13"/>
  <c r="U135" i="13" s="1"/>
  <c r="AD135" i="13" s="1"/>
  <c r="Y134" i="13"/>
  <c r="Z134" i="13" s="1"/>
  <c r="S134" i="13"/>
  <c r="U134" i="13" s="1"/>
  <c r="AD134" i="13" s="1"/>
  <c r="Y133" i="13"/>
  <c r="Z133" i="13" s="1"/>
  <c r="S133" i="13"/>
  <c r="U133" i="13" s="1"/>
  <c r="AD133" i="13" s="1"/>
  <c r="Y132" i="13"/>
  <c r="Z132" i="13" s="1"/>
  <c r="S132" i="13"/>
  <c r="T132" i="13" s="1"/>
  <c r="Y131" i="13"/>
  <c r="Z131" i="13" s="1"/>
  <c r="S131" i="13"/>
  <c r="U131" i="13" s="1"/>
  <c r="AD131" i="13" s="1"/>
  <c r="Y130" i="13"/>
  <c r="Z130" i="13" s="1"/>
  <c r="S130" i="13"/>
  <c r="U130" i="13" s="1"/>
  <c r="AD130" i="13" s="1"/>
  <c r="Y129" i="13"/>
  <c r="Z129" i="13" s="1"/>
  <c r="S129" i="13"/>
  <c r="U129" i="13" s="1"/>
  <c r="AD129" i="13" s="1"/>
  <c r="Y128" i="13"/>
  <c r="Z128" i="13" s="1"/>
  <c r="S128" i="13"/>
  <c r="U128" i="13" s="1"/>
  <c r="AD128" i="13" s="1"/>
  <c r="Y127" i="13"/>
  <c r="Z127" i="13" s="1"/>
  <c r="S127" i="13"/>
  <c r="U127" i="13" s="1"/>
  <c r="AD127" i="13" s="1"/>
  <c r="Y126" i="13"/>
  <c r="Z126" i="13" s="1"/>
  <c r="S126" i="13"/>
  <c r="T126" i="13" s="1"/>
  <c r="V126" i="13" s="1"/>
  <c r="Y125" i="13"/>
  <c r="Z125" i="13" s="1"/>
  <c r="S125" i="13"/>
  <c r="U125" i="13" s="1"/>
  <c r="AD125" i="13" s="1"/>
  <c r="Y124" i="13"/>
  <c r="Z124" i="13" s="1"/>
  <c r="S124" i="13"/>
  <c r="U124" i="13" s="1"/>
  <c r="AD124" i="13" s="1"/>
  <c r="Y123" i="13"/>
  <c r="Z123" i="13" s="1"/>
  <c r="S123" i="13"/>
  <c r="U123" i="13" s="1"/>
  <c r="AD123" i="13" s="1"/>
  <c r="Y122" i="13"/>
  <c r="Z122" i="13" s="1"/>
  <c r="S122" i="13"/>
  <c r="T122" i="13" s="1"/>
  <c r="Y121" i="13"/>
  <c r="Z121" i="13" s="1"/>
  <c r="S121" i="13"/>
  <c r="U121" i="13" s="1"/>
  <c r="AD121" i="13" s="1"/>
  <c r="Y120" i="13"/>
  <c r="Z120" i="13" s="1"/>
  <c r="S120" i="13"/>
  <c r="T120" i="13" s="1"/>
  <c r="Y119" i="13"/>
  <c r="Z119" i="13" s="1"/>
  <c r="S119" i="13"/>
  <c r="U119" i="13" s="1"/>
  <c r="AD119" i="13" s="1"/>
  <c r="Y118" i="13"/>
  <c r="Z118" i="13" s="1"/>
  <c r="S118" i="13"/>
  <c r="U118" i="13" s="1"/>
  <c r="AD118" i="13" s="1"/>
  <c r="Y117" i="13"/>
  <c r="Z117" i="13" s="1"/>
  <c r="S117" i="13"/>
  <c r="U117" i="13" s="1"/>
  <c r="AD117" i="13" s="1"/>
  <c r="Y116" i="13"/>
  <c r="Z116" i="13" s="1"/>
  <c r="S116" i="13"/>
  <c r="T116" i="13" s="1"/>
  <c r="Y115" i="13"/>
  <c r="Z115" i="13" s="1"/>
  <c r="S115" i="13"/>
  <c r="U115" i="13" s="1"/>
  <c r="AD115" i="13" s="1"/>
  <c r="Y114" i="13"/>
  <c r="Z114" i="13" s="1"/>
  <c r="S114" i="13"/>
  <c r="U114" i="13" s="1"/>
  <c r="AD114" i="13" s="1"/>
  <c r="Y113" i="13"/>
  <c r="Z113" i="13" s="1"/>
  <c r="S113" i="13"/>
  <c r="U113" i="13" s="1"/>
  <c r="AD113" i="13" s="1"/>
  <c r="Y112" i="13"/>
  <c r="Z112" i="13" s="1"/>
  <c r="S112" i="13"/>
  <c r="U112" i="13" s="1"/>
  <c r="AD112" i="13" s="1"/>
  <c r="Y111" i="13"/>
  <c r="Z111" i="13" s="1"/>
  <c r="S111" i="13"/>
  <c r="Y110" i="13"/>
  <c r="Z110" i="13" s="1"/>
  <c r="S110" i="13"/>
  <c r="T110" i="13" s="1"/>
  <c r="Y109" i="13"/>
  <c r="Z109" i="13" s="1"/>
  <c r="S109" i="13"/>
  <c r="U109" i="13" s="1"/>
  <c r="AD109" i="13" s="1"/>
  <c r="Y108" i="13"/>
  <c r="Z108" i="13" s="1"/>
  <c r="S108" i="13"/>
  <c r="U108" i="13" s="1"/>
  <c r="AD108" i="13" s="1"/>
  <c r="Y107" i="13"/>
  <c r="Z107" i="13" s="1"/>
  <c r="S107" i="13"/>
  <c r="U107" i="13" s="1"/>
  <c r="AD107" i="13" s="1"/>
  <c r="Y106" i="13"/>
  <c r="Z106" i="13" s="1"/>
  <c r="S106" i="13"/>
  <c r="U106" i="13" s="1"/>
  <c r="AD106" i="13" s="1"/>
  <c r="Y105" i="13"/>
  <c r="Z105" i="13" s="1"/>
  <c r="S105" i="13"/>
  <c r="U105" i="13" s="1"/>
  <c r="AD105" i="13" s="1"/>
  <c r="Y104" i="13"/>
  <c r="Z104" i="13" s="1"/>
  <c r="S104" i="13"/>
  <c r="Y103" i="13"/>
  <c r="Z103" i="13" s="1"/>
  <c r="S103" i="13"/>
  <c r="U103" i="13" s="1"/>
  <c r="AD103" i="13" s="1"/>
  <c r="Y102" i="13"/>
  <c r="Z102" i="13" s="1"/>
  <c r="S102" i="13"/>
  <c r="U102" i="13" s="1"/>
  <c r="AD102" i="13" s="1"/>
  <c r="Y101" i="13"/>
  <c r="Z101" i="13" s="1"/>
  <c r="S101" i="13"/>
  <c r="U101" i="13" s="1"/>
  <c r="AD101" i="13" s="1"/>
  <c r="Y100" i="13"/>
  <c r="Z100" i="13" s="1"/>
  <c r="S100" i="13"/>
  <c r="U100" i="13" s="1"/>
  <c r="AD100" i="13" s="1"/>
  <c r="Y99" i="13"/>
  <c r="Z99" i="13" s="1"/>
  <c r="S99" i="13"/>
  <c r="U99" i="13" s="1"/>
  <c r="AD99" i="13" s="1"/>
  <c r="Y98" i="13"/>
  <c r="Z98" i="13" s="1"/>
  <c r="S98" i="13"/>
  <c r="Y97" i="13"/>
  <c r="Z97" i="13" s="1"/>
  <c r="S97" i="13"/>
  <c r="U97" i="13" s="1"/>
  <c r="AD97" i="13" s="1"/>
  <c r="Y96" i="13"/>
  <c r="Z96" i="13" s="1"/>
  <c r="S96" i="13"/>
  <c r="T96" i="13" s="1"/>
  <c r="Y95" i="13"/>
  <c r="Z95" i="13" s="1"/>
  <c r="S95" i="13"/>
  <c r="T95" i="13" s="1"/>
  <c r="Y94" i="13"/>
  <c r="Z94" i="13" s="1"/>
  <c r="S94" i="13"/>
  <c r="U94" i="13" s="1"/>
  <c r="AD94" i="13" s="1"/>
  <c r="Y93" i="13"/>
  <c r="Z93" i="13" s="1"/>
  <c r="S93" i="13"/>
  <c r="U93" i="13" s="1"/>
  <c r="AD93" i="13" s="1"/>
  <c r="Y92" i="13"/>
  <c r="Z92" i="13" s="1"/>
  <c r="S92" i="13"/>
  <c r="U92" i="13" s="1"/>
  <c r="AD92" i="13" s="1"/>
  <c r="Y91" i="13"/>
  <c r="Z91" i="13" s="1"/>
  <c r="S91" i="13"/>
  <c r="Y90" i="13"/>
  <c r="Z90" i="13" s="1"/>
  <c r="S90" i="13"/>
  <c r="T90" i="13" s="1"/>
  <c r="Y89" i="13"/>
  <c r="Z89" i="13" s="1"/>
  <c r="S89" i="13"/>
  <c r="U89" i="13" s="1"/>
  <c r="AD89" i="13" s="1"/>
  <c r="Y88" i="13"/>
  <c r="Z88" i="13" s="1"/>
  <c r="S88" i="13"/>
  <c r="T88" i="13" s="1"/>
  <c r="Y87" i="13"/>
  <c r="Z87" i="13" s="1"/>
  <c r="S87" i="13"/>
  <c r="U87" i="13" s="1"/>
  <c r="AD87" i="13" s="1"/>
  <c r="Y86" i="13"/>
  <c r="Z86" i="13" s="1"/>
  <c r="S86" i="13"/>
  <c r="U86" i="13" s="1"/>
  <c r="AD86" i="13" s="1"/>
  <c r="Y85" i="13"/>
  <c r="Z85" i="13" s="1"/>
  <c r="S85" i="13"/>
  <c r="Y84" i="13"/>
  <c r="Z84" i="13" s="1"/>
  <c r="S84" i="13"/>
  <c r="T84" i="13" s="1"/>
  <c r="Y83" i="13"/>
  <c r="Z83" i="13" s="1"/>
  <c r="S83" i="13"/>
  <c r="U83" i="13" s="1"/>
  <c r="AD83" i="13" s="1"/>
  <c r="Y82" i="13"/>
  <c r="Z82" i="13" s="1"/>
  <c r="S82" i="13"/>
  <c r="U82" i="13" s="1"/>
  <c r="AD82" i="13" s="1"/>
  <c r="Y81" i="13"/>
  <c r="Z81" i="13" s="1"/>
  <c r="S81" i="13"/>
  <c r="U81" i="13" s="1"/>
  <c r="AD81" i="13" s="1"/>
  <c r="Y80" i="13"/>
  <c r="Z80" i="13" s="1"/>
  <c r="S80" i="13"/>
  <c r="U80" i="13" s="1"/>
  <c r="AD80" i="13" s="1"/>
  <c r="Y79" i="13"/>
  <c r="Z79" i="13" s="1"/>
  <c r="S79" i="13"/>
  <c r="T79" i="13" s="1"/>
  <c r="Y78" i="13"/>
  <c r="Z78" i="13" s="1"/>
  <c r="S78" i="13"/>
  <c r="U78" i="13" s="1"/>
  <c r="AD78" i="13" s="1"/>
  <c r="Y77" i="13"/>
  <c r="Z77" i="13" s="1"/>
  <c r="S77" i="13"/>
  <c r="U77" i="13" s="1"/>
  <c r="AD77" i="13" s="1"/>
  <c r="Y76" i="13"/>
  <c r="Z76" i="13" s="1"/>
  <c r="S76" i="13"/>
  <c r="T76" i="13" s="1"/>
  <c r="Y75" i="13"/>
  <c r="Z75" i="13" s="1"/>
  <c r="S75" i="13"/>
  <c r="U75" i="13" s="1"/>
  <c r="AD75" i="13" s="1"/>
  <c r="Y74" i="13"/>
  <c r="Z74" i="13" s="1"/>
  <c r="S74" i="13"/>
  <c r="U74" i="13" s="1"/>
  <c r="AD74" i="13" s="1"/>
  <c r="Y73" i="13"/>
  <c r="Z73" i="13" s="1"/>
  <c r="S73" i="13"/>
  <c r="T73" i="13" s="1"/>
  <c r="Y72" i="13"/>
  <c r="Z72" i="13" s="1"/>
  <c r="S72" i="13"/>
  <c r="U72" i="13" s="1"/>
  <c r="AD72" i="13" s="1"/>
  <c r="Y71" i="13"/>
  <c r="Z71" i="13" s="1"/>
  <c r="S71" i="13"/>
  <c r="T71" i="13" s="1"/>
  <c r="Y70" i="13"/>
  <c r="Z70" i="13" s="1"/>
  <c r="S70" i="13"/>
  <c r="T70" i="13" s="1"/>
  <c r="V70" i="13" s="1"/>
  <c r="Y69" i="13"/>
  <c r="Z69" i="13" s="1"/>
  <c r="S69" i="13"/>
  <c r="U69" i="13" s="1"/>
  <c r="AD69" i="13" s="1"/>
  <c r="Y68" i="13"/>
  <c r="Z68" i="13" s="1"/>
  <c r="S68" i="13"/>
  <c r="U68" i="13" s="1"/>
  <c r="AD68" i="13" s="1"/>
  <c r="Y67" i="13"/>
  <c r="Z67" i="13" s="1"/>
  <c r="S67" i="13"/>
  <c r="T67" i="13" s="1"/>
  <c r="Y66" i="13"/>
  <c r="Z66" i="13" s="1"/>
  <c r="S66" i="13"/>
  <c r="U66" i="13" s="1"/>
  <c r="AD66" i="13" s="1"/>
  <c r="Y65" i="13"/>
  <c r="Z65" i="13" s="1"/>
  <c r="S65" i="13"/>
  <c r="T65" i="13" s="1"/>
  <c r="Y64" i="13"/>
  <c r="Z64" i="13" s="1"/>
  <c r="S64" i="13"/>
  <c r="T64" i="13" s="1"/>
  <c r="Y63" i="13"/>
  <c r="Z63" i="13" s="1"/>
  <c r="S63" i="13"/>
  <c r="U63" i="13" s="1"/>
  <c r="AD63" i="13" s="1"/>
  <c r="Y62" i="13"/>
  <c r="Z62" i="13" s="1"/>
  <c r="S62" i="13"/>
  <c r="U62" i="13" s="1"/>
  <c r="AD62" i="13" s="1"/>
  <c r="Y61" i="13"/>
  <c r="Z61" i="13" s="1"/>
  <c r="S61" i="13"/>
  <c r="T61" i="13" s="1"/>
  <c r="Y60" i="13"/>
  <c r="Z60" i="13" s="1"/>
  <c r="S60" i="13"/>
  <c r="U60" i="13" s="1"/>
  <c r="AD60" i="13" s="1"/>
  <c r="Y59" i="13"/>
  <c r="Z59" i="13" s="1"/>
  <c r="S59" i="13"/>
  <c r="U59" i="13" s="1"/>
  <c r="AD59" i="13" s="1"/>
  <c r="Y58" i="13"/>
  <c r="Z58" i="13" s="1"/>
  <c r="S58" i="13"/>
  <c r="U58" i="13" s="1"/>
  <c r="AD58" i="13" s="1"/>
  <c r="Y57" i="13"/>
  <c r="Z57" i="13" s="1"/>
  <c r="S57" i="13"/>
  <c r="U57" i="13" s="1"/>
  <c r="AD57" i="13" s="1"/>
  <c r="Y56" i="13"/>
  <c r="Z56" i="13" s="1"/>
  <c r="S56" i="13"/>
  <c r="U56" i="13" s="1"/>
  <c r="AD56" i="13" s="1"/>
  <c r="Y55" i="13"/>
  <c r="Z55" i="13" s="1"/>
  <c r="S55" i="13"/>
  <c r="T55" i="13" s="1"/>
  <c r="Y54" i="13"/>
  <c r="Z54" i="13" s="1"/>
  <c r="S54" i="13"/>
  <c r="U54" i="13" s="1"/>
  <c r="AD54" i="13" s="1"/>
  <c r="Y53" i="13"/>
  <c r="Z53" i="13" s="1"/>
  <c r="S53" i="13"/>
  <c r="U53" i="13" s="1"/>
  <c r="AD53" i="13" s="1"/>
  <c r="Y52" i="13"/>
  <c r="Z52" i="13" s="1"/>
  <c r="S52" i="13"/>
  <c r="U52" i="13" s="1"/>
  <c r="AD52" i="13" s="1"/>
  <c r="Y51" i="13"/>
  <c r="Z51" i="13" s="1"/>
  <c r="S51" i="13"/>
  <c r="U51" i="13" s="1"/>
  <c r="AD51" i="13" s="1"/>
  <c r="Y50" i="13"/>
  <c r="Z50" i="13" s="1"/>
  <c r="S50" i="13"/>
  <c r="U50" i="13" s="1"/>
  <c r="AD50" i="13" s="1"/>
  <c r="Y49" i="13"/>
  <c r="Z49" i="13" s="1"/>
  <c r="S49" i="13"/>
  <c r="T49" i="13" s="1"/>
  <c r="Y48" i="13"/>
  <c r="Z48" i="13" s="1"/>
  <c r="S48" i="13"/>
  <c r="U48" i="13" s="1"/>
  <c r="AD48" i="13" s="1"/>
  <c r="Y47" i="13"/>
  <c r="Z47" i="13" s="1"/>
  <c r="S47" i="13"/>
  <c r="U47" i="13" s="1"/>
  <c r="AD47" i="13" s="1"/>
  <c r="Y46" i="13"/>
  <c r="Z46" i="13" s="1"/>
  <c r="S46" i="13"/>
  <c r="U46" i="13" s="1"/>
  <c r="AD46" i="13" s="1"/>
  <c r="Y45" i="13"/>
  <c r="Z45" i="13" s="1"/>
  <c r="S45" i="13"/>
  <c r="U45" i="13" s="1"/>
  <c r="AD45" i="13" s="1"/>
  <c r="Y44" i="13"/>
  <c r="Z44" i="13" s="1"/>
  <c r="S44" i="13"/>
  <c r="U44" i="13" s="1"/>
  <c r="AD44" i="13" s="1"/>
  <c r="Y43" i="13"/>
  <c r="Z43" i="13" s="1"/>
  <c r="S43" i="13"/>
  <c r="T43" i="13" s="1"/>
  <c r="Y42" i="13"/>
  <c r="Z42" i="13" s="1"/>
  <c r="S42" i="13"/>
  <c r="U42" i="13" s="1"/>
  <c r="AD42" i="13" s="1"/>
  <c r="Y41" i="13"/>
  <c r="Z41" i="13" s="1"/>
  <c r="S41" i="13"/>
  <c r="T41" i="13" s="1"/>
  <c r="V41" i="13" s="1"/>
  <c r="Y40" i="13"/>
  <c r="Z40" i="13" s="1"/>
  <c r="S40" i="13"/>
  <c r="T40" i="13" s="1"/>
  <c r="V40" i="13" s="1"/>
  <c r="Y39" i="13"/>
  <c r="Z39" i="13" s="1"/>
  <c r="S39" i="13"/>
  <c r="U39" i="13" s="1"/>
  <c r="AD39" i="13" s="1"/>
  <c r="Y38" i="13"/>
  <c r="Z38" i="13" s="1"/>
  <c r="S38" i="13"/>
  <c r="U38" i="13" s="1"/>
  <c r="AD38" i="13" s="1"/>
  <c r="Y37" i="13"/>
  <c r="Z37" i="13" s="1"/>
  <c r="S37" i="13"/>
  <c r="T37" i="13" s="1"/>
  <c r="Y36" i="13"/>
  <c r="Z36" i="13" s="1"/>
  <c r="S36" i="13"/>
  <c r="U36" i="13" s="1"/>
  <c r="AD36" i="13" s="1"/>
  <c r="Y35" i="13"/>
  <c r="Z35" i="13" s="1"/>
  <c r="S35" i="13"/>
  <c r="T35" i="13" s="1"/>
  <c r="Y34" i="13"/>
  <c r="Z34" i="13" s="1"/>
  <c r="S34" i="13"/>
  <c r="T34" i="13" s="1"/>
  <c r="Y33" i="13"/>
  <c r="Z33" i="13" s="1"/>
  <c r="S33" i="13"/>
  <c r="U33" i="13" s="1"/>
  <c r="AD33" i="13" s="1"/>
  <c r="Y32" i="13"/>
  <c r="Z32" i="13" s="1"/>
  <c r="S32" i="13"/>
  <c r="U32" i="13" s="1"/>
  <c r="AD32" i="13" s="1"/>
  <c r="Y31" i="13"/>
  <c r="Z31" i="13" s="1"/>
  <c r="S31" i="13"/>
  <c r="T31" i="13" s="1"/>
  <c r="Y30" i="13"/>
  <c r="Z30" i="13" s="1"/>
  <c r="S30" i="13"/>
  <c r="U30" i="13" s="1"/>
  <c r="AD30" i="13" s="1"/>
  <c r="Y29" i="13"/>
  <c r="Z29" i="13" s="1"/>
  <c r="S29" i="13"/>
  <c r="U29" i="13" s="1"/>
  <c r="AD29" i="13" s="1"/>
  <c r="Y28" i="13"/>
  <c r="Z28" i="13" s="1"/>
  <c r="S28" i="13"/>
  <c r="T28" i="13" s="1"/>
  <c r="Y27" i="13"/>
  <c r="Z27" i="13" s="1"/>
  <c r="S27" i="13"/>
  <c r="U27" i="13" s="1"/>
  <c r="AD27" i="13" s="1"/>
  <c r="Y26" i="13"/>
  <c r="Z26" i="13" s="1"/>
  <c r="S26" i="13"/>
  <c r="U26" i="13" s="1"/>
  <c r="AD26" i="13" s="1"/>
  <c r="Y25" i="13"/>
  <c r="Z25" i="13" s="1"/>
  <c r="S25" i="13"/>
  <c r="T25" i="13" s="1"/>
  <c r="Y24" i="13"/>
  <c r="Z24" i="13" s="1"/>
  <c r="S24" i="13"/>
  <c r="U24" i="13" s="1"/>
  <c r="AD24" i="13" s="1"/>
  <c r="Y23" i="13"/>
  <c r="Z23" i="13" s="1"/>
  <c r="S23" i="13"/>
  <c r="U23" i="13" s="1"/>
  <c r="AD23" i="13" s="1"/>
  <c r="Y22" i="13"/>
  <c r="Z22" i="13" s="1"/>
  <c r="S22" i="13"/>
  <c r="T22" i="13" s="1"/>
  <c r="Y21" i="13"/>
  <c r="Z21" i="13" s="1"/>
  <c r="S21" i="13"/>
  <c r="U21" i="13" s="1"/>
  <c r="AD21" i="13" s="1"/>
  <c r="Y20" i="13"/>
  <c r="Z20" i="13" s="1"/>
  <c r="S20" i="13"/>
  <c r="U20" i="13" s="1"/>
  <c r="AD20" i="13" s="1"/>
  <c r="Y19" i="13"/>
  <c r="Z19" i="13" s="1"/>
  <c r="S19" i="13"/>
  <c r="T19" i="13" s="1"/>
  <c r="Y18" i="13"/>
  <c r="Z18" i="13" s="1"/>
  <c r="S18" i="13"/>
  <c r="U18" i="13" s="1"/>
  <c r="AD18" i="13" s="1"/>
  <c r="Y17" i="13"/>
  <c r="Z17" i="13" s="1"/>
  <c r="S17" i="13"/>
  <c r="U17" i="13" s="1"/>
  <c r="AD17" i="13" s="1"/>
  <c r="Y16" i="13"/>
  <c r="Z16" i="13" s="1"/>
  <c r="S16" i="13"/>
  <c r="T16" i="13" s="1"/>
  <c r="Y15" i="13"/>
  <c r="Z15" i="13" s="1"/>
  <c r="S15" i="13"/>
  <c r="U15" i="13" s="1"/>
  <c r="AD15" i="13" s="1"/>
  <c r="Y14" i="13"/>
  <c r="Z14" i="13" s="1"/>
  <c r="S14" i="13"/>
  <c r="U14" i="13" s="1"/>
  <c r="AD14" i="13" s="1"/>
  <c r="Y13" i="13"/>
  <c r="Z13" i="13" s="1"/>
  <c r="S13" i="13"/>
  <c r="T13" i="13" s="1"/>
  <c r="V13" i="13" s="1"/>
  <c r="Y12" i="13"/>
  <c r="Z12" i="13" s="1"/>
  <c r="S12" i="13"/>
  <c r="U12" i="13" s="1"/>
  <c r="AD12" i="13" s="1"/>
  <c r="Y11" i="13"/>
  <c r="Z11" i="13" s="1"/>
  <c r="S11" i="13"/>
  <c r="T11" i="13" s="1"/>
  <c r="Y10" i="13"/>
  <c r="Z10" i="13" s="1"/>
  <c r="S10" i="13"/>
  <c r="T10" i="13" s="1"/>
  <c r="Y9" i="13"/>
  <c r="Z9" i="13" s="1"/>
  <c r="S9" i="13"/>
  <c r="U9" i="13" s="1"/>
  <c r="AD9" i="13" s="1"/>
  <c r="Y8" i="13"/>
  <c r="Z8" i="13" s="1"/>
  <c r="S8" i="13"/>
  <c r="U8" i="13" s="1"/>
  <c r="AD8" i="13" s="1"/>
  <c r="Y7" i="13"/>
  <c r="Z7" i="13" s="1"/>
  <c r="S7" i="13"/>
  <c r="T7" i="13" s="1"/>
  <c r="Y6" i="13"/>
  <c r="Z6" i="13" s="1"/>
  <c r="S6" i="13"/>
  <c r="U6" i="13" s="1"/>
  <c r="AD6" i="13" s="1"/>
  <c r="O5" i="13"/>
  <c r="O6" i="13"/>
  <c r="O7" i="13"/>
  <c r="O8" i="13"/>
  <c r="O9" i="13"/>
  <c r="O10" i="13"/>
  <c r="O11" i="13"/>
  <c r="O12" i="13"/>
  <c r="O13" i="13"/>
  <c r="O14" i="13"/>
  <c r="O15" i="13"/>
  <c r="O16" i="13"/>
  <c r="O17" i="13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O57" i="13"/>
  <c r="O58" i="13"/>
  <c r="O59" i="13"/>
  <c r="O60" i="13"/>
  <c r="O61" i="13"/>
  <c r="O62" i="13"/>
  <c r="O63" i="13"/>
  <c r="O64" i="13"/>
  <c r="O65" i="13"/>
  <c r="O66" i="13"/>
  <c r="O67" i="13"/>
  <c r="O68" i="13"/>
  <c r="O69" i="13"/>
  <c r="O70" i="13"/>
  <c r="O71" i="13"/>
  <c r="O72" i="13"/>
  <c r="O73" i="13"/>
  <c r="O74" i="13"/>
  <c r="O75" i="13"/>
  <c r="O76" i="13"/>
  <c r="O77" i="13"/>
  <c r="O78" i="13"/>
  <c r="O79" i="13"/>
  <c r="O80" i="13"/>
  <c r="O81" i="13"/>
  <c r="O82" i="13"/>
  <c r="O83" i="13"/>
  <c r="O84" i="13"/>
  <c r="O85" i="13"/>
  <c r="O86" i="13"/>
  <c r="O87" i="13"/>
  <c r="O88" i="13"/>
  <c r="O89" i="13"/>
  <c r="O90" i="13"/>
  <c r="O91" i="13"/>
  <c r="O92" i="13"/>
  <c r="O93" i="13"/>
  <c r="O94" i="13"/>
  <c r="O95" i="13"/>
  <c r="O96" i="13"/>
  <c r="O97" i="13"/>
  <c r="O98" i="13"/>
  <c r="O99" i="13"/>
  <c r="O100" i="13"/>
  <c r="O101" i="13"/>
  <c r="O102" i="13"/>
  <c r="O103" i="13"/>
  <c r="O104" i="13"/>
  <c r="O105" i="13"/>
  <c r="O106" i="13"/>
  <c r="O107" i="13"/>
  <c r="O108" i="13"/>
  <c r="O109" i="13"/>
  <c r="O110" i="13"/>
  <c r="O111" i="13"/>
  <c r="O112" i="13"/>
  <c r="O113" i="13"/>
  <c r="O114" i="13"/>
  <c r="O115" i="13"/>
  <c r="O116" i="13"/>
  <c r="O117" i="13"/>
  <c r="O118" i="13"/>
  <c r="O119" i="13"/>
  <c r="O120" i="13"/>
  <c r="O121" i="13"/>
  <c r="O122" i="13"/>
  <c r="O123" i="13"/>
  <c r="O124" i="13"/>
  <c r="O125" i="13"/>
  <c r="O126" i="13"/>
  <c r="O127" i="13"/>
  <c r="O128" i="13"/>
  <c r="O129" i="13"/>
  <c r="O130" i="13"/>
  <c r="O131" i="13"/>
  <c r="O132" i="13"/>
  <c r="O133" i="13"/>
  <c r="O134" i="13"/>
  <c r="O135" i="13"/>
  <c r="O136" i="13"/>
  <c r="O137" i="13"/>
  <c r="O138" i="13"/>
  <c r="O139" i="13"/>
  <c r="O140" i="13"/>
  <c r="O141" i="13"/>
  <c r="O142" i="13"/>
  <c r="O143" i="13"/>
  <c r="O144" i="13"/>
  <c r="O145" i="13"/>
  <c r="O146" i="13"/>
  <c r="O147" i="13"/>
  <c r="O148" i="13"/>
  <c r="O149" i="13"/>
  <c r="O150" i="13"/>
  <c r="O151" i="13"/>
  <c r="O152" i="13"/>
  <c r="O153" i="13"/>
  <c r="O154" i="13"/>
  <c r="O155" i="13"/>
  <c r="O156" i="13"/>
  <c r="O157" i="13"/>
  <c r="O158" i="13"/>
  <c r="O159" i="13"/>
  <c r="O160" i="13"/>
  <c r="O161" i="13"/>
  <c r="O162" i="13"/>
  <c r="O163" i="13"/>
  <c r="O164" i="13"/>
  <c r="O165" i="13"/>
  <c r="O166" i="13"/>
  <c r="O167" i="13"/>
  <c r="O168" i="13"/>
  <c r="O169" i="13"/>
  <c r="O170" i="13"/>
  <c r="O171" i="13"/>
  <c r="O172" i="13"/>
  <c r="O173" i="13"/>
  <c r="O174" i="13"/>
  <c r="O175" i="13"/>
  <c r="O176" i="13"/>
  <c r="O177" i="13"/>
  <c r="O178" i="13"/>
  <c r="O179" i="13"/>
  <c r="O180" i="13"/>
  <c r="O181" i="13"/>
  <c r="O182" i="13"/>
  <c r="O183" i="13"/>
  <c r="O184" i="13"/>
  <c r="O185" i="13"/>
  <c r="O186" i="13"/>
  <c r="O187" i="13"/>
  <c r="O188" i="13"/>
  <c r="O189" i="13"/>
  <c r="O190" i="13"/>
  <c r="O191" i="13"/>
  <c r="O192" i="13"/>
  <c r="O193" i="13"/>
  <c r="O194" i="13"/>
  <c r="O195" i="13"/>
  <c r="O196" i="13"/>
  <c r="O197" i="13"/>
  <c r="O198" i="13"/>
  <c r="O199" i="13"/>
  <c r="O200" i="13"/>
  <c r="O201" i="13"/>
  <c r="O202" i="13"/>
  <c r="O203" i="13"/>
  <c r="O204" i="13"/>
  <c r="O205" i="13"/>
  <c r="O206" i="13"/>
  <c r="O207" i="13"/>
  <c r="O208" i="13"/>
  <c r="O209" i="13"/>
  <c r="O210" i="13"/>
  <c r="O211" i="13"/>
  <c r="O212" i="13"/>
  <c r="O213" i="13"/>
  <c r="O214" i="13"/>
  <c r="O215" i="13"/>
  <c r="O216" i="13"/>
  <c r="O217" i="13"/>
  <c r="O218" i="13"/>
  <c r="O219" i="13"/>
  <c r="O220" i="13"/>
  <c r="O221" i="13"/>
  <c r="O222" i="13"/>
  <c r="O223" i="13"/>
  <c r="O224" i="13"/>
  <c r="O225" i="13"/>
  <c r="O226" i="13"/>
  <c r="O227" i="13"/>
  <c r="O228" i="13"/>
  <c r="O229" i="13"/>
  <c r="O230" i="13"/>
  <c r="O231" i="13"/>
  <c r="O232" i="13"/>
  <c r="O233" i="13"/>
  <c r="O234" i="13"/>
  <c r="O235" i="13"/>
  <c r="O236" i="13"/>
  <c r="O237" i="13"/>
  <c r="O238" i="13"/>
  <c r="O239" i="13"/>
  <c r="O240" i="13"/>
  <c r="O241" i="13"/>
  <c r="O242" i="13"/>
  <c r="O243" i="13"/>
  <c r="O244" i="13"/>
  <c r="O245" i="13"/>
  <c r="O246" i="13"/>
  <c r="O247" i="13"/>
  <c r="O248" i="13"/>
  <c r="O249" i="13"/>
  <c r="O250" i="13"/>
  <c r="O251" i="13"/>
  <c r="O252" i="13"/>
  <c r="O253" i="13"/>
  <c r="O254" i="13"/>
  <c r="O255" i="13"/>
  <c r="O256" i="13"/>
  <c r="O257" i="13"/>
  <c r="O258" i="13"/>
  <c r="O259" i="13"/>
  <c r="O260" i="13"/>
  <c r="O261" i="13"/>
  <c r="O262" i="13"/>
  <c r="O263" i="13"/>
  <c r="O264" i="13"/>
  <c r="O265" i="13"/>
  <c r="O266" i="13"/>
  <c r="O267" i="13"/>
  <c r="O268" i="13"/>
  <c r="O269" i="13"/>
  <c r="O270" i="13"/>
  <c r="O271" i="13"/>
  <c r="O272" i="13"/>
  <c r="O273" i="13"/>
  <c r="O274" i="13"/>
  <c r="O275" i="13"/>
  <c r="O276" i="13"/>
  <c r="O277" i="13"/>
  <c r="O278" i="13"/>
  <c r="O279" i="13"/>
  <c r="O280" i="13"/>
  <c r="O281" i="13"/>
  <c r="O282" i="13"/>
  <c r="O283" i="13"/>
  <c r="O284" i="13"/>
  <c r="O285" i="13"/>
  <c r="O286" i="13"/>
  <c r="O287" i="13"/>
  <c r="O288" i="13"/>
  <c r="O289" i="13"/>
  <c r="O290" i="13"/>
  <c r="O291" i="13"/>
  <c r="O292" i="13"/>
  <c r="O293" i="13"/>
  <c r="O294" i="13"/>
  <c r="O295" i="13"/>
  <c r="O296" i="13"/>
  <c r="O297" i="13"/>
  <c r="O298" i="13"/>
  <c r="O299" i="13"/>
  <c r="O300" i="13"/>
  <c r="O301" i="13"/>
  <c r="O302" i="13"/>
  <c r="O303" i="13"/>
  <c r="O304" i="13"/>
  <c r="O305" i="13"/>
  <c r="O306" i="13"/>
  <c r="O307" i="13"/>
  <c r="O308" i="13"/>
  <c r="O309" i="13"/>
  <c r="O310" i="13"/>
  <c r="O311" i="13"/>
  <c r="O312" i="13"/>
  <c r="O313" i="13"/>
  <c r="O314" i="13"/>
  <c r="O315" i="13"/>
  <c r="O316" i="13"/>
  <c r="O317" i="13"/>
  <c r="O318" i="13"/>
  <c r="O319" i="13"/>
  <c r="O320" i="13"/>
  <c r="O321" i="13"/>
  <c r="O322" i="13"/>
  <c r="O323" i="13"/>
  <c r="O324" i="13"/>
  <c r="O325" i="13"/>
  <c r="O326" i="13"/>
  <c r="O327" i="13"/>
  <c r="O328" i="13"/>
  <c r="O329" i="13"/>
  <c r="O330" i="13"/>
  <c r="O331" i="13"/>
  <c r="O332" i="13"/>
  <c r="O333" i="13"/>
  <c r="O334" i="13"/>
  <c r="O335" i="13"/>
  <c r="O336" i="13"/>
  <c r="O337" i="13"/>
  <c r="O338" i="13"/>
  <c r="O339" i="13"/>
  <c r="O340" i="13"/>
  <c r="O341" i="13"/>
  <c r="O342" i="13"/>
  <c r="O343" i="13"/>
  <c r="O344" i="13"/>
  <c r="O345" i="13"/>
  <c r="O346" i="13"/>
  <c r="O347" i="13"/>
  <c r="O348" i="13"/>
  <c r="O349" i="13"/>
  <c r="O350" i="13"/>
  <c r="O351" i="13"/>
  <c r="O352" i="13"/>
  <c r="O353" i="13"/>
  <c r="O354" i="13"/>
  <c r="O355" i="13"/>
  <c r="O356" i="13"/>
  <c r="O357" i="13"/>
  <c r="O358" i="13"/>
  <c r="O359" i="13"/>
  <c r="O360" i="13"/>
  <c r="O361" i="13"/>
  <c r="O362" i="13"/>
  <c r="O363" i="13"/>
  <c r="O364" i="13"/>
  <c r="O365" i="13"/>
  <c r="O366" i="13"/>
  <c r="O367" i="13"/>
  <c r="O368" i="13"/>
  <c r="O369" i="13"/>
  <c r="O370" i="13"/>
  <c r="O371" i="13"/>
  <c r="O372" i="13"/>
  <c r="O373" i="13"/>
  <c r="O374" i="13"/>
  <c r="O375" i="13"/>
  <c r="O376" i="13"/>
  <c r="O377" i="13"/>
  <c r="O378" i="13"/>
  <c r="O379" i="13"/>
  <c r="O380" i="13"/>
  <c r="O381" i="13"/>
  <c r="O382" i="13"/>
  <c r="O383" i="13"/>
  <c r="O384" i="13"/>
  <c r="O385" i="13"/>
  <c r="O386" i="13"/>
  <c r="O387" i="13"/>
  <c r="O388" i="13"/>
  <c r="O389" i="13"/>
  <c r="O390" i="13"/>
  <c r="O391" i="13"/>
  <c r="O392" i="13"/>
  <c r="O393" i="13"/>
  <c r="O394" i="13"/>
  <c r="O395" i="13"/>
  <c r="O396" i="13"/>
  <c r="O397" i="13"/>
  <c r="O398" i="13"/>
  <c r="O399" i="13"/>
  <c r="O400" i="13"/>
  <c r="O401" i="13"/>
  <c r="O402" i="13"/>
  <c r="O403" i="13"/>
  <c r="O404" i="13"/>
  <c r="O405" i="13"/>
  <c r="O406" i="13"/>
  <c r="O407" i="13"/>
  <c r="O408" i="13"/>
  <c r="O409" i="13"/>
  <c r="O410" i="13"/>
  <c r="O411" i="13"/>
  <c r="O412" i="13"/>
  <c r="O413" i="13"/>
  <c r="O414" i="13"/>
  <c r="O415" i="13"/>
  <c r="O416" i="13"/>
  <c r="O417" i="13"/>
  <c r="O418" i="13"/>
  <c r="O419" i="13"/>
  <c r="O420" i="13"/>
  <c r="O421" i="13"/>
  <c r="O422" i="13"/>
  <c r="O423" i="13"/>
  <c r="O425" i="13"/>
  <c r="O426" i="13"/>
  <c r="O427" i="13"/>
  <c r="O428" i="13"/>
  <c r="O429" i="13"/>
  <c r="O430" i="13"/>
  <c r="O431" i="13"/>
  <c r="O432" i="13"/>
  <c r="O433" i="13"/>
  <c r="O434" i="13"/>
  <c r="O435" i="13"/>
  <c r="O436" i="13"/>
  <c r="O437" i="13"/>
  <c r="O438" i="13"/>
  <c r="O439" i="13"/>
  <c r="O440" i="13"/>
  <c r="O441" i="13"/>
  <c r="O442" i="13"/>
  <c r="O443" i="13"/>
  <c r="O444" i="13"/>
  <c r="O445" i="13"/>
  <c r="O446" i="13"/>
  <c r="O447" i="13"/>
  <c r="O448" i="13"/>
  <c r="O449" i="13"/>
  <c r="O450" i="13"/>
  <c r="O451" i="13"/>
  <c r="O452" i="13"/>
  <c r="O453" i="13"/>
  <c r="O454" i="13"/>
  <c r="O455" i="13"/>
  <c r="O456" i="13"/>
  <c r="O457" i="13"/>
  <c r="O458" i="13"/>
  <c r="O459" i="13"/>
  <c r="O460" i="13"/>
  <c r="O461" i="13"/>
  <c r="O462" i="13"/>
  <c r="O463" i="13"/>
  <c r="O464" i="13"/>
  <c r="O465" i="13"/>
  <c r="O466" i="13"/>
  <c r="O467" i="13"/>
  <c r="O468" i="13"/>
  <c r="O469" i="13"/>
  <c r="O470" i="13"/>
  <c r="O471" i="13"/>
  <c r="O472" i="13"/>
  <c r="O473" i="13"/>
  <c r="O474" i="13"/>
  <c r="O475" i="13"/>
  <c r="O476" i="13"/>
  <c r="O477" i="13"/>
  <c r="O478" i="13"/>
  <c r="O479" i="13"/>
  <c r="O480" i="13"/>
  <c r="O481" i="13"/>
  <c r="O482" i="13"/>
  <c r="O483" i="13"/>
  <c r="O484" i="13"/>
  <c r="O485" i="13"/>
  <c r="O486" i="13"/>
  <c r="O487" i="13"/>
  <c r="O488" i="13"/>
  <c r="O489" i="13"/>
  <c r="O490" i="13"/>
  <c r="O491" i="13"/>
  <c r="O492" i="13"/>
  <c r="O493" i="13"/>
  <c r="O494" i="13"/>
  <c r="O495" i="13"/>
  <c r="O496" i="13"/>
  <c r="O497" i="13"/>
  <c r="O498" i="13"/>
  <c r="O499" i="13"/>
  <c r="O500" i="13"/>
  <c r="O501" i="13"/>
  <c r="O502" i="13"/>
  <c r="O503" i="13"/>
  <c r="O504" i="13"/>
  <c r="O505" i="13"/>
  <c r="O506" i="13"/>
  <c r="O507" i="13"/>
  <c r="O508" i="13"/>
  <c r="O509" i="13"/>
  <c r="O510" i="13"/>
  <c r="O511" i="13"/>
  <c r="O512" i="13"/>
  <c r="O513" i="13"/>
  <c r="O514" i="13"/>
  <c r="O515" i="13"/>
  <c r="O516" i="13"/>
  <c r="O517" i="13"/>
  <c r="O518" i="13"/>
  <c r="O519" i="13"/>
  <c r="O520" i="13"/>
  <c r="O521" i="13"/>
  <c r="O522" i="13"/>
  <c r="O523" i="13"/>
  <c r="O524" i="13"/>
  <c r="O525" i="13"/>
  <c r="O526" i="13"/>
  <c r="O527" i="13"/>
  <c r="O528" i="13"/>
  <c r="O529" i="13"/>
  <c r="O530" i="13"/>
  <c r="O531" i="13"/>
  <c r="O532" i="13"/>
  <c r="O533" i="13"/>
  <c r="O534" i="13"/>
  <c r="O535" i="13"/>
  <c r="O536" i="13"/>
  <c r="O537" i="13"/>
  <c r="O538" i="13"/>
  <c r="O539" i="13"/>
  <c r="O540" i="13"/>
  <c r="O541" i="13"/>
  <c r="O542" i="13"/>
  <c r="O543" i="13"/>
  <c r="O544" i="13"/>
  <c r="O545" i="13"/>
  <c r="O546" i="13"/>
  <c r="O547" i="13"/>
  <c r="O548" i="13"/>
  <c r="O549" i="13"/>
  <c r="O550" i="13"/>
  <c r="O551" i="13"/>
  <c r="O552" i="13"/>
  <c r="O553" i="13"/>
  <c r="O554" i="13"/>
  <c r="O555" i="13"/>
  <c r="O556" i="13"/>
  <c r="O557" i="13"/>
  <c r="O558" i="13"/>
  <c r="O559" i="13"/>
  <c r="O560" i="13"/>
  <c r="O561" i="13"/>
  <c r="O562" i="13"/>
  <c r="O563" i="13"/>
  <c r="O564" i="13"/>
  <c r="O565" i="13"/>
  <c r="O566" i="13"/>
  <c r="O567" i="13"/>
  <c r="O568" i="13"/>
  <c r="O569" i="13"/>
  <c r="O570" i="13"/>
  <c r="O571" i="13"/>
  <c r="O572" i="13"/>
  <c r="O573" i="13"/>
  <c r="O574" i="13"/>
  <c r="O575" i="13"/>
  <c r="O576" i="13"/>
  <c r="O577" i="13"/>
  <c r="O578" i="13"/>
  <c r="O579" i="13"/>
  <c r="O580" i="13"/>
  <c r="O581" i="13"/>
  <c r="O582" i="13"/>
  <c r="O583" i="13"/>
  <c r="O584" i="13"/>
  <c r="O585" i="13"/>
  <c r="O586" i="13"/>
  <c r="O587" i="13"/>
  <c r="O588" i="13"/>
  <c r="O589" i="13"/>
  <c r="O590" i="13"/>
  <c r="O591" i="13"/>
  <c r="O592" i="13"/>
  <c r="O593" i="13"/>
  <c r="O594" i="13"/>
  <c r="O595" i="13"/>
  <c r="O596" i="13"/>
  <c r="O597" i="13"/>
  <c r="O598" i="13"/>
  <c r="O599" i="13"/>
  <c r="O600" i="13"/>
  <c r="O601" i="13"/>
  <c r="O602" i="13"/>
  <c r="O603" i="13"/>
  <c r="O604" i="13"/>
  <c r="O605" i="13"/>
  <c r="O606" i="13"/>
  <c r="O607" i="13"/>
  <c r="O608" i="13"/>
  <c r="O609" i="13"/>
  <c r="O610" i="13"/>
  <c r="O611" i="13"/>
  <c r="O612" i="13"/>
  <c r="O613" i="13"/>
  <c r="O614" i="13"/>
  <c r="O615" i="13"/>
  <c r="O616" i="13"/>
  <c r="O617" i="13"/>
  <c r="O618" i="13"/>
  <c r="O619" i="13"/>
  <c r="O620" i="13"/>
  <c r="O621" i="13"/>
  <c r="O622" i="13"/>
  <c r="O623" i="13"/>
  <c r="O624" i="13"/>
  <c r="O625" i="13"/>
  <c r="O626" i="13"/>
  <c r="O627" i="13"/>
  <c r="O628" i="13"/>
  <c r="O629" i="13"/>
  <c r="O630" i="13"/>
  <c r="O631" i="13"/>
  <c r="O632" i="13"/>
  <c r="O633" i="13"/>
  <c r="O634" i="13"/>
  <c r="O635" i="13"/>
  <c r="O636" i="13"/>
  <c r="O637" i="13"/>
  <c r="O638" i="13"/>
  <c r="O639" i="13"/>
  <c r="O640" i="13"/>
  <c r="O641" i="13"/>
  <c r="O642" i="13"/>
  <c r="O643" i="13"/>
  <c r="O644" i="13"/>
  <c r="O645" i="13"/>
  <c r="O646" i="13"/>
  <c r="O647" i="13"/>
  <c r="O648" i="13"/>
  <c r="O649" i="13"/>
  <c r="O650" i="13"/>
  <c r="O651" i="13"/>
  <c r="O652" i="13"/>
  <c r="O653" i="13"/>
  <c r="O654" i="13"/>
  <c r="O655" i="13"/>
  <c r="O656" i="13"/>
  <c r="O657" i="13"/>
  <c r="O658" i="13"/>
  <c r="O659" i="13"/>
  <c r="O660" i="13"/>
  <c r="O661" i="13"/>
  <c r="O662" i="13"/>
  <c r="O663" i="13"/>
  <c r="O664" i="13"/>
  <c r="O665" i="13"/>
  <c r="O666" i="13"/>
  <c r="O667" i="13"/>
  <c r="O668" i="13"/>
  <c r="O669" i="13"/>
  <c r="O670" i="13"/>
  <c r="O671" i="13"/>
  <c r="O672" i="13"/>
  <c r="O673" i="13"/>
  <c r="O674" i="13"/>
  <c r="O675" i="13"/>
  <c r="O676" i="13"/>
  <c r="O677" i="13"/>
  <c r="O678" i="13"/>
  <c r="O679" i="13"/>
  <c r="O680" i="13"/>
  <c r="O681" i="13"/>
  <c r="O682" i="13"/>
  <c r="O683" i="13"/>
  <c r="O684" i="13"/>
  <c r="O685" i="13"/>
  <c r="O686" i="13"/>
  <c r="O687" i="13"/>
  <c r="O688" i="13"/>
  <c r="O689" i="13"/>
  <c r="O690" i="13"/>
  <c r="O691" i="13"/>
  <c r="O692" i="13"/>
  <c r="O693" i="13"/>
  <c r="O694" i="13"/>
  <c r="O695" i="13"/>
  <c r="O696" i="13"/>
  <c r="O697" i="13"/>
  <c r="O698" i="13"/>
  <c r="O699" i="13"/>
  <c r="O700" i="13"/>
  <c r="O701" i="13"/>
  <c r="O702" i="13"/>
  <c r="O703" i="13"/>
  <c r="O704" i="13"/>
  <c r="O705" i="13"/>
  <c r="O706" i="13"/>
  <c r="O707" i="13"/>
  <c r="O708" i="13"/>
  <c r="O709" i="13"/>
  <c r="O710" i="13"/>
  <c r="O711" i="13"/>
  <c r="O712" i="13"/>
  <c r="O713" i="13"/>
  <c r="O714" i="13"/>
  <c r="O715" i="13"/>
  <c r="O716" i="13"/>
  <c r="O717" i="13"/>
  <c r="O718" i="13"/>
  <c r="O719" i="13"/>
  <c r="O720" i="13"/>
  <c r="O721" i="13"/>
  <c r="O722" i="13"/>
  <c r="O723" i="13"/>
  <c r="O724" i="13"/>
  <c r="O725" i="13"/>
  <c r="O726" i="13"/>
  <c r="O727" i="13"/>
  <c r="O728" i="13"/>
  <c r="O729" i="13"/>
  <c r="O730" i="13"/>
  <c r="O731" i="13"/>
  <c r="O732" i="13"/>
  <c r="O733" i="13"/>
  <c r="O734" i="13"/>
  <c r="O735" i="13"/>
  <c r="O736" i="13"/>
  <c r="O737" i="13"/>
  <c r="O738" i="13"/>
  <c r="O739" i="13"/>
  <c r="O740" i="13"/>
  <c r="O741" i="13"/>
  <c r="O742" i="13"/>
  <c r="O743" i="13"/>
  <c r="O744" i="13"/>
  <c r="O745" i="13"/>
  <c r="O746" i="13"/>
  <c r="O747" i="13"/>
  <c r="O748" i="13"/>
  <c r="O749" i="13"/>
  <c r="O750" i="13"/>
  <c r="O751" i="13"/>
  <c r="O752" i="13"/>
  <c r="O753" i="13"/>
  <c r="O754" i="13"/>
  <c r="O755" i="13"/>
  <c r="O756" i="13"/>
  <c r="O757" i="13"/>
  <c r="O758" i="13"/>
  <c r="O759" i="13"/>
  <c r="O760" i="13"/>
  <c r="O761" i="13"/>
  <c r="O762" i="13"/>
  <c r="O763" i="13"/>
  <c r="O764" i="13"/>
  <c r="O765" i="13"/>
  <c r="O766" i="13"/>
  <c r="O767" i="13"/>
  <c r="O768" i="13"/>
  <c r="O769" i="13"/>
  <c r="O770" i="13"/>
  <c r="O771" i="13"/>
  <c r="O772" i="13"/>
  <c r="O773" i="13"/>
  <c r="O774" i="13"/>
  <c r="O775" i="13"/>
  <c r="O776" i="13"/>
  <c r="O777" i="13"/>
  <c r="O778" i="13"/>
  <c r="O779" i="13"/>
  <c r="O780" i="13"/>
  <c r="O781" i="13"/>
  <c r="O782" i="13"/>
  <c r="O783" i="13"/>
  <c r="O784" i="13"/>
  <c r="O785" i="13"/>
  <c r="O786" i="13"/>
  <c r="O787" i="13"/>
  <c r="O788" i="13"/>
  <c r="O789" i="13"/>
  <c r="O790" i="13"/>
  <c r="O791" i="13"/>
  <c r="O792" i="13"/>
  <c r="O793" i="13"/>
  <c r="O794" i="13"/>
  <c r="O795" i="13"/>
  <c r="O796" i="13"/>
  <c r="O797" i="13"/>
  <c r="O798" i="13"/>
  <c r="O799" i="13"/>
  <c r="O800" i="13"/>
  <c r="O801" i="13"/>
  <c r="O802" i="13"/>
  <c r="O803" i="13"/>
  <c r="O804" i="13"/>
  <c r="O805" i="13"/>
  <c r="O806" i="13"/>
  <c r="O807" i="13"/>
  <c r="O808" i="13"/>
  <c r="O809" i="13"/>
  <c r="O810" i="13"/>
  <c r="O811" i="13"/>
  <c r="O812" i="13"/>
  <c r="O813" i="13"/>
  <c r="O814" i="13"/>
  <c r="O815" i="13"/>
  <c r="O816" i="13"/>
  <c r="O817" i="13"/>
  <c r="O818" i="13"/>
  <c r="O819" i="13"/>
  <c r="O820" i="13"/>
  <c r="O821" i="13"/>
  <c r="O822" i="13"/>
  <c r="O823" i="13"/>
  <c r="O824" i="13"/>
  <c r="O825" i="13"/>
  <c r="O826" i="13"/>
  <c r="O827" i="13"/>
  <c r="O828" i="13"/>
  <c r="O829" i="13"/>
  <c r="O830" i="13"/>
  <c r="O831" i="13"/>
  <c r="O832" i="13"/>
  <c r="O833" i="13"/>
  <c r="O834" i="13"/>
  <c r="O835" i="13"/>
  <c r="O836" i="13"/>
  <c r="O837" i="13"/>
  <c r="O838" i="13"/>
  <c r="O839" i="13"/>
  <c r="O840" i="13"/>
  <c r="O841" i="13"/>
  <c r="O842" i="13"/>
  <c r="O843" i="13"/>
  <c r="O844" i="13"/>
  <c r="O845" i="13"/>
  <c r="O846" i="13"/>
  <c r="O847" i="13"/>
  <c r="O848" i="13"/>
  <c r="O849" i="13"/>
  <c r="O850" i="13"/>
  <c r="O851" i="13"/>
  <c r="O852" i="13"/>
  <c r="O853" i="13"/>
  <c r="O854" i="13"/>
  <c r="O855" i="13"/>
  <c r="O856" i="13"/>
  <c r="O857" i="13"/>
  <c r="O858" i="13"/>
  <c r="O859" i="13"/>
  <c r="O860" i="13"/>
  <c r="O861" i="13"/>
  <c r="O862" i="13"/>
  <c r="O863" i="13"/>
  <c r="O864" i="13"/>
  <c r="O865" i="13"/>
  <c r="O866" i="13"/>
  <c r="O867" i="13"/>
  <c r="O868" i="13"/>
  <c r="O869" i="13"/>
  <c r="O870" i="13"/>
  <c r="O871" i="13"/>
  <c r="O872" i="13"/>
  <c r="O873" i="13"/>
  <c r="O874" i="13"/>
  <c r="O875" i="13"/>
  <c r="O876" i="13"/>
  <c r="O877" i="13"/>
  <c r="O878" i="13"/>
  <c r="O879" i="13"/>
  <c r="O880" i="13"/>
  <c r="O881" i="13"/>
  <c r="S5" i="13"/>
  <c r="F18" i="19" l="1"/>
  <c r="F22" i="19"/>
  <c r="F20" i="19"/>
  <c r="F19" i="19"/>
  <c r="F21" i="19"/>
  <c r="U290" i="13"/>
  <c r="AD290" i="13" s="1"/>
  <c r="T515" i="13"/>
  <c r="V515" i="13" s="1"/>
  <c r="U40" i="13"/>
  <c r="AD40" i="13" s="1"/>
  <c r="T337" i="13"/>
  <c r="V337" i="13" s="1"/>
  <c r="T223" i="13"/>
  <c r="V223" i="13" s="1"/>
  <c r="AE223" i="13" s="1"/>
  <c r="U753" i="13"/>
  <c r="AD753" i="13" s="1"/>
  <c r="T655" i="13"/>
  <c r="V655" i="13" s="1"/>
  <c r="U849" i="13"/>
  <c r="AD849" i="13" s="1"/>
  <c r="U126" i="13"/>
  <c r="AD126" i="13" s="1"/>
  <c r="U689" i="13"/>
  <c r="AD689" i="13" s="1"/>
  <c r="T147" i="13"/>
  <c r="V147" i="13" s="1"/>
  <c r="T235" i="13"/>
  <c r="V235" i="13" s="1"/>
  <c r="U266" i="13"/>
  <c r="AD266" i="13" s="1"/>
  <c r="U658" i="13"/>
  <c r="AD658" i="13" s="1"/>
  <c r="T102" i="13"/>
  <c r="V102" i="13" s="1"/>
  <c r="U400" i="13"/>
  <c r="AD400" i="13" s="1"/>
  <c r="U615" i="13"/>
  <c r="AD615" i="13" s="1"/>
  <c r="U70" i="13"/>
  <c r="AD70" i="13" s="1"/>
  <c r="T306" i="13"/>
  <c r="V306" i="13" s="1"/>
  <c r="AE306" i="13" s="1"/>
  <c r="U503" i="13"/>
  <c r="AD503" i="13" s="1"/>
  <c r="T550" i="13"/>
  <c r="V550" i="13" s="1"/>
  <c r="AE550" i="13" s="1"/>
  <c r="U831" i="13"/>
  <c r="AD831" i="13" s="1"/>
  <c r="T265" i="13"/>
  <c r="V265" i="13" s="1"/>
  <c r="T276" i="13"/>
  <c r="V276" i="13" s="1"/>
  <c r="AE276" i="13" s="1"/>
  <c r="U379" i="13"/>
  <c r="AD379" i="13" s="1"/>
  <c r="T569" i="13"/>
  <c r="V569" i="13" s="1"/>
  <c r="U869" i="13"/>
  <c r="AD869" i="13" s="1"/>
  <c r="T53" i="13"/>
  <c r="V53" i="13" s="1"/>
  <c r="T313" i="13"/>
  <c r="V313" i="13" s="1"/>
  <c r="T628" i="13"/>
  <c r="V628" i="13" s="1"/>
  <c r="T359" i="13"/>
  <c r="V359" i="13" s="1"/>
  <c r="U492" i="13"/>
  <c r="AD492" i="13" s="1"/>
  <c r="T670" i="13"/>
  <c r="V670" i="13" s="1"/>
  <c r="AE670" i="13" s="1"/>
  <c r="U788" i="13"/>
  <c r="AD788" i="13" s="1"/>
  <c r="U845" i="13"/>
  <c r="AD845" i="13" s="1"/>
  <c r="T105" i="13"/>
  <c r="V105" i="13" s="1"/>
  <c r="T247" i="13"/>
  <c r="V247" i="13" s="1"/>
  <c r="T539" i="13"/>
  <c r="V539" i="13" s="1"/>
  <c r="T325" i="13"/>
  <c r="V325" i="13" s="1"/>
  <c r="T538" i="13"/>
  <c r="V538" i="13" s="1"/>
  <c r="AE538" i="13" s="1"/>
  <c r="T581" i="13"/>
  <c r="V581" i="13" s="1"/>
  <c r="AE581" i="13" s="1"/>
  <c r="U621" i="13"/>
  <c r="AD621" i="13" s="1"/>
  <c r="U632" i="13"/>
  <c r="AD632" i="13" s="1"/>
  <c r="T730" i="13"/>
  <c r="V730" i="13" s="1"/>
  <c r="U28" i="13"/>
  <c r="AD28" i="13" s="1"/>
  <c r="U41" i="13"/>
  <c r="AD41" i="13" s="1"/>
  <c r="T142" i="13"/>
  <c r="V142" i="13" s="1"/>
  <c r="U159" i="13"/>
  <c r="AD159" i="13" s="1"/>
  <c r="T215" i="13"/>
  <c r="V215" i="13" s="1"/>
  <c r="AE215" i="13" s="1"/>
  <c r="U271" i="13"/>
  <c r="AD271" i="13" s="1"/>
  <c r="T324" i="13"/>
  <c r="V324" i="13" s="1"/>
  <c r="AE324" i="13" s="1"/>
  <c r="T442" i="13"/>
  <c r="V442" i="13" s="1"/>
  <c r="T457" i="13"/>
  <c r="V457" i="13" s="1"/>
  <c r="AE457" i="13" s="1"/>
  <c r="T603" i="13"/>
  <c r="V603" i="13" s="1"/>
  <c r="U644" i="13"/>
  <c r="AD644" i="13" s="1"/>
  <c r="T663" i="13"/>
  <c r="V663" i="13" s="1"/>
  <c r="AE663" i="13" s="1"/>
  <c r="T698" i="13"/>
  <c r="V698" i="13" s="1"/>
  <c r="AE698" i="13" s="1"/>
  <c r="U707" i="13"/>
  <c r="AD707" i="13" s="1"/>
  <c r="T782" i="13"/>
  <c r="V782" i="13" s="1"/>
  <c r="AE782" i="13" s="1"/>
  <c r="T878" i="13"/>
  <c r="V878" i="13" s="1"/>
  <c r="AE878" i="13" s="1"/>
  <c r="T462" i="13"/>
  <c r="V462" i="13" s="1"/>
  <c r="T519" i="13"/>
  <c r="V519" i="13" s="1"/>
  <c r="U713" i="13"/>
  <c r="AD713" i="13" s="1"/>
  <c r="U65" i="13"/>
  <c r="AD65" i="13" s="1"/>
  <c r="U76" i="13"/>
  <c r="AD76" i="13" s="1"/>
  <c r="T114" i="13"/>
  <c r="V114" i="13" s="1"/>
  <c r="T241" i="13"/>
  <c r="V241" i="13" s="1"/>
  <c r="U355" i="13"/>
  <c r="AD355" i="13" s="1"/>
  <c r="U391" i="13"/>
  <c r="AD391" i="13" s="1"/>
  <c r="U486" i="13"/>
  <c r="AD486" i="13" s="1"/>
  <c r="T609" i="13"/>
  <c r="V609" i="13" s="1"/>
  <c r="AE609" i="13" s="1"/>
  <c r="U786" i="13"/>
  <c r="AD786" i="13" s="1"/>
  <c r="U807" i="13"/>
  <c r="AD807" i="13" s="1"/>
  <c r="T852" i="13"/>
  <c r="V852" i="13" s="1"/>
  <c r="H25" i="32"/>
  <c r="U22" i="13"/>
  <c r="AD22" i="13" s="1"/>
  <c r="T129" i="13"/>
  <c r="V129" i="13" s="1"/>
  <c r="U183" i="13"/>
  <c r="AD183" i="13" s="1"/>
  <c r="U218" i="13"/>
  <c r="AD218" i="13" s="1"/>
  <c r="T269" i="13"/>
  <c r="V269" i="13" s="1"/>
  <c r="U289" i="13"/>
  <c r="AD289" i="13" s="1"/>
  <c r="T307" i="13"/>
  <c r="V307" i="13" s="1"/>
  <c r="U318" i="13"/>
  <c r="AD318" i="13" s="1"/>
  <c r="U326" i="13"/>
  <c r="AD326" i="13" s="1"/>
  <c r="T349" i="13"/>
  <c r="V349" i="13" s="1"/>
  <c r="U480" i="13"/>
  <c r="AD480" i="13" s="1"/>
  <c r="U497" i="13"/>
  <c r="AD497" i="13" s="1"/>
  <c r="U522" i="13"/>
  <c r="AD522" i="13" s="1"/>
  <c r="U540" i="13"/>
  <c r="AD540" i="13" s="1"/>
  <c r="U610" i="13"/>
  <c r="AD610" i="13" s="1"/>
  <c r="U638" i="13"/>
  <c r="AD638" i="13" s="1"/>
  <c r="T667" i="13"/>
  <c r="V667" i="13" s="1"/>
  <c r="U712" i="13"/>
  <c r="AD712" i="13" s="1"/>
  <c r="U725" i="13"/>
  <c r="AD725" i="13" s="1"/>
  <c r="U740" i="13"/>
  <c r="AD740" i="13" s="1"/>
  <c r="T764" i="13"/>
  <c r="V764" i="13" s="1"/>
  <c r="AE764" i="13" s="1"/>
  <c r="T818" i="13"/>
  <c r="V818" i="13" s="1"/>
  <c r="T864" i="13"/>
  <c r="V864" i="13" s="1"/>
  <c r="AE864" i="13" s="1"/>
  <c r="U71" i="13"/>
  <c r="AD71" i="13" s="1"/>
  <c r="T101" i="13"/>
  <c r="V101" i="13" s="1"/>
  <c r="T108" i="13"/>
  <c r="V108" i="13" s="1"/>
  <c r="T234" i="13"/>
  <c r="V234" i="13" s="1"/>
  <c r="U301" i="13"/>
  <c r="AD301" i="13" s="1"/>
  <c r="T395" i="13"/>
  <c r="V395" i="13" s="1"/>
  <c r="T513" i="13"/>
  <c r="V513" i="13" s="1"/>
  <c r="U652" i="13"/>
  <c r="AD652" i="13" s="1"/>
  <c r="T657" i="13"/>
  <c r="V657" i="13" s="1"/>
  <c r="T687" i="13"/>
  <c r="V687" i="13" s="1"/>
  <c r="T776" i="13"/>
  <c r="V776" i="13" s="1"/>
  <c r="T798" i="13"/>
  <c r="V798" i="13" s="1"/>
  <c r="U801" i="13"/>
  <c r="AD801" i="13" s="1"/>
  <c r="T812" i="13"/>
  <c r="V812" i="13" s="1"/>
  <c r="T828" i="13"/>
  <c r="V828" i="13" s="1"/>
  <c r="U846" i="13"/>
  <c r="AD846" i="13" s="1"/>
  <c r="T856" i="13"/>
  <c r="V856" i="13" s="1"/>
  <c r="AE856" i="13" s="1"/>
  <c r="T872" i="13"/>
  <c r="V872" i="13" s="1"/>
  <c r="AE872" i="13" s="1"/>
  <c r="U425" i="13"/>
  <c r="AD425" i="13" s="1"/>
  <c r="T424" i="13"/>
  <c r="V424" i="13" s="1"/>
  <c r="AE424" i="13" s="1"/>
  <c r="U414" i="13"/>
  <c r="AD414" i="13" s="1"/>
  <c r="T411" i="13"/>
  <c r="V411" i="13" s="1"/>
  <c r="U95" i="13"/>
  <c r="AD95" i="13" s="1"/>
  <c r="U141" i="13"/>
  <c r="AD141" i="13" s="1"/>
  <c r="U188" i="13"/>
  <c r="AD188" i="13" s="1"/>
  <c r="U189" i="13"/>
  <c r="AD189" i="13" s="1"/>
  <c r="U212" i="13"/>
  <c r="AD212" i="13" s="1"/>
  <c r="U264" i="13"/>
  <c r="AD264" i="13" s="1"/>
  <c r="U308" i="13"/>
  <c r="AD308" i="13" s="1"/>
  <c r="U350" i="13"/>
  <c r="AD350" i="13" s="1"/>
  <c r="U413" i="13"/>
  <c r="AD413" i="13" s="1"/>
  <c r="T413" i="13"/>
  <c r="V413" i="13" s="1"/>
  <c r="U501" i="13"/>
  <c r="AD501" i="13" s="1"/>
  <c r="T501" i="13"/>
  <c r="T735" i="13"/>
  <c r="U735" i="13"/>
  <c r="AD735" i="13" s="1"/>
  <c r="T752" i="13"/>
  <c r="U752" i="13"/>
  <c r="AD752" i="13" s="1"/>
  <c r="U848" i="13"/>
  <c r="AD848" i="13" s="1"/>
  <c r="T848" i="13"/>
  <c r="U875" i="13"/>
  <c r="AD875" i="13" s="1"/>
  <c r="T875" i="13"/>
  <c r="U35" i="13"/>
  <c r="AD35" i="13" s="1"/>
  <c r="T47" i="13"/>
  <c r="V47" i="13" s="1"/>
  <c r="T52" i="13"/>
  <c r="V52" i="13" s="1"/>
  <c r="T89" i="13"/>
  <c r="V89" i="13" s="1"/>
  <c r="T107" i="13"/>
  <c r="V107" i="13" s="1"/>
  <c r="T113" i="13"/>
  <c r="V113" i="13" s="1"/>
  <c r="T125" i="13"/>
  <c r="V125" i="13" s="1"/>
  <c r="U136" i="13"/>
  <c r="AD136" i="13" s="1"/>
  <c r="T166" i="13"/>
  <c r="V166" i="13" s="1"/>
  <c r="T171" i="13"/>
  <c r="V171" i="13" s="1"/>
  <c r="U182" i="13"/>
  <c r="AD182" i="13" s="1"/>
  <c r="U211" i="13"/>
  <c r="AD211" i="13" s="1"/>
  <c r="T227" i="13"/>
  <c r="V227" i="13" s="1"/>
  <c r="U230" i="13"/>
  <c r="AD230" i="13" s="1"/>
  <c r="T251" i="13"/>
  <c r="V251" i="13" s="1"/>
  <c r="AE251" i="13" s="1"/>
  <c r="T263" i="13"/>
  <c r="V263" i="13" s="1"/>
  <c r="U278" i="13"/>
  <c r="AD278" i="13" s="1"/>
  <c r="U288" i="13"/>
  <c r="AD288" i="13" s="1"/>
  <c r="U300" i="13"/>
  <c r="AD300" i="13" s="1"/>
  <c r="T305" i="13"/>
  <c r="V305" i="13" s="1"/>
  <c r="U320" i="13"/>
  <c r="AD320" i="13" s="1"/>
  <c r="T371" i="13"/>
  <c r="V371" i="13" s="1"/>
  <c r="U378" i="13"/>
  <c r="AD378" i="13" s="1"/>
  <c r="T419" i="13"/>
  <c r="U419" i="13"/>
  <c r="AD419" i="13" s="1"/>
  <c r="U534" i="13"/>
  <c r="AD534" i="13" s="1"/>
  <c r="T534" i="13"/>
  <c r="V534" i="13" s="1"/>
  <c r="T546" i="13"/>
  <c r="U546" i="13"/>
  <c r="AD546" i="13" s="1"/>
  <c r="U551" i="13"/>
  <c r="AD551" i="13" s="1"/>
  <c r="T564" i="13"/>
  <c r="U564" i="13"/>
  <c r="AD564" i="13" s="1"/>
  <c r="T594" i="13"/>
  <c r="U594" i="13"/>
  <c r="AD594" i="13" s="1"/>
  <c r="U616" i="13"/>
  <c r="AD616" i="13" s="1"/>
  <c r="T616" i="13"/>
  <c r="V616" i="13" s="1"/>
  <c r="U675" i="13"/>
  <c r="AD675" i="13" s="1"/>
  <c r="U693" i="13"/>
  <c r="AD693" i="13" s="1"/>
  <c r="T819" i="13"/>
  <c r="U819" i="13"/>
  <c r="AD819" i="13" s="1"/>
  <c r="U830" i="13"/>
  <c r="AD830" i="13" s="1"/>
  <c r="T830" i="13"/>
  <c r="U16" i="13"/>
  <c r="AD16" i="13" s="1"/>
  <c r="U34" i="13"/>
  <c r="AD34" i="13" s="1"/>
  <c r="T46" i="13"/>
  <c r="V46" i="13" s="1"/>
  <c r="AE46" i="13" s="1"/>
  <c r="T77" i="13"/>
  <c r="V77" i="13" s="1"/>
  <c r="T82" i="13"/>
  <c r="V82" i="13" s="1"/>
  <c r="AE82" i="13" s="1"/>
  <c r="T106" i="13"/>
  <c r="V106" i="13" s="1"/>
  <c r="AE106" i="13" s="1"/>
  <c r="T160" i="13"/>
  <c r="V160" i="13" s="1"/>
  <c r="T165" i="13"/>
  <c r="V165" i="13" s="1"/>
  <c r="U201" i="13"/>
  <c r="AD201" i="13" s="1"/>
  <c r="T221" i="13"/>
  <c r="V221" i="13" s="1"/>
  <c r="U224" i="13"/>
  <c r="AD224" i="13" s="1"/>
  <c r="U242" i="13"/>
  <c r="AD242" i="13" s="1"/>
  <c r="T254" i="13"/>
  <c r="V254" i="13" s="1"/>
  <c r="AE254" i="13" s="1"/>
  <c r="U260" i="13"/>
  <c r="AD260" i="13" s="1"/>
  <c r="U270" i="13"/>
  <c r="AD270" i="13" s="1"/>
  <c r="T277" i="13"/>
  <c r="V277" i="13" s="1"/>
  <c r="T287" i="13"/>
  <c r="V287" i="13" s="1"/>
  <c r="T296" i="13"/>
  <c r="V296" i="13" s="1"/>
  <c r="AE296" i="13" s="1"/>
  <c r="T299" i="13"/>
  <c r="V299" i="13" s="1"/>
  <c r="T312" i="13"/>
  <c r="V312" i="13" s="1"/>
  <c r="AE312" i="13" s="1"/>
  <c r="T329" i="13"/>
  <c r="V329" i="13" s="1"/>
  <c r="T336" i="13"/>
  <c r="V336" i="13" s="1"/>
  <c r="AE336" i="13" s="1"/>
  <c r="U348" i="13"/>
  <c r="AD348" i="13" s="1"/>
  <c r="T348" i="13"/>
  <c r="V348" i="13" s="1"/>
  <c r="AE348" i="13" s="1"/>
  <c r="U377" i="13"/>
  <c r="AD377" i="13" s="1"/>
  <c r="T377" i="13"/>
  <c r="V377" i="13" s="1"/>
  <c r="T399" i="13"/>
  <c r="V399" i="13" s="1"/>
  <c r="U399" i="13"/>
  <c r="AD399" i="13" s="1"/>
  <c r="U439" i="13"/>
  <c r="AD439" i="13" s="1"/>
  <c r="U448" i="13"/>
  <c r="AD448" i="13" s="1"/>
  <c r="T448" i="13"/>
  <c r="U479" i="13"/>
  <c r="AD479" i="13" s="1"/>
  <c r="T479" i="13"/>
  <c r="V479" i="13" s="1"/>
  <c r="U521" i="13"/>
  <c r="AD521" i="13" s="1"/>
  <c r="T521" i="13"/>
  <c r="V521" i="13" s="1"/>
  <c r="AE521" i="13" s="1"/>
  <c r="T531" i="13"/>
  <c r="V531" i="13" s="1"/>
  <c r="AE531" i="13" s="1"/>
  <c r="U622" i="13"/>
  <c r="AD622" i="13" s="1"/>
  <c r="T622" i="13"/>
  <c r="V622" i="13" s="1"/>
  <c r="T645" i="13"/>
  <c r="V645" i="13" s="1"/>
  <c r="AE645" i="13" s="1"/>
  <c r="T688" i="13"/>
  <c r="V688" i="13" s="1"/>
  <c r="AE688" i="13" s="1"/>
  <c r="T758" i="13"/>
  <c r="V758" i="13" s="1"/>
  <c r="AE758" i="13" s="1"/>
  <c r="T770" i="13"/>
  <c r="U770" i="13"/>
  <c r="AD770" i="13" s="1"/>
  <c r="U858" i="13"/>
  <c r="AD858" i="13" s="1"/>
  <c r="T858" i="13"/>
  <c r="T870" i="13"/>
  <c r="V870" i="13" s="1"/>
  <c r="AE870" i="13" s="1"/>
  <c r="U11" i="13"/>
  <c r="AD11" i="13" s="1"/>
  <c r="U120" i="13"/>
  <c r="AD120" i="13" s="1"/>
  <c r="T148" i="13"/>
  <c r="V148" i="13" s="1"/>
  <c r="T195" i="13"/>
  <c r="V195" i="13" s="1"/>
  <c r="U200" i="13"/>
  <c r="AD200" i="13" s="1"/>
  <c r="T207" i="13"/>
  <c r="V207" i="13" s="1"/>
  <c r="T229" i="13"/>
  <c r="V229" i="13" s="1"/>
  <c r="U236" i="13"/>
  <c r="AD236" i="13" s="1"/>
  <c r="U253" i="13"/>
  <c r="AD253" i="13" s="1"/>
  <c r="T259" i="13"/>
  <c r="V259" i="13" s="1"/>
  <c r="T295" i="13"/>
  <c r="V295" i="13" s="1"/>
  <c r="U319" i="13"/>
  <c r="AD319" i="13" s="1"/>
  <c r="T341" i="13"/>
  <c r="V341" i="13" s="1"/>
  <c r="T366" i="13"/>
  <c r="V366" i="13" s="1"/>
  <c r="AE366" i="13" s="1"/>
  <c r="T389" i="13"/>
  <c r="V389" i="13" s="1"/>
  <c r="U426" i="13"/>
  <c r="AD426" i="13" s="1"/>
  <c r="U454" i="13"/>
  <c r="AD454" i="13" s="1"/>
  <c r="T454" i="13"/>
  <c r="T498" i="13"/>
  <c r="U498" i="13"/>
  <c r="AD498" i="13" s="1"/>
  <c r="U528" i="13"/>
  <c r="AD528" i="13" s="1"/>
  <c r="U533" i="13"/>
  <c r="AD533" i="13" s="1"/>
  <c r="T533" i="13"/>
  <c r="V533" i="13" s="1"/>
  <c r="T557" i="13"/>
  <c r="V557" i="13" s="1"/>
  <c r="T587" i="13"/>
  <c r="V587" i="13" s="1"/>
  <c r="AE587" i="13" s="1"/>
  <c r="U633" i="13"/>
  <c r="AD633" i="13" s="1"/>
  <c r="T633" i="13"/>
  <c r="V633" i="13" s="1"/>
  <c r="U640" i="13"/>
  <c r="AD640" i="13" s="1"/>
  <c r="U649" i="13"/>
  <c r="AD649" i="13" s="1"/>
  <c r="T649" i="13"/>
  <c r="T697" i="13"/>
  <c r="V697" i="13" s="1"/>
  <c r="U706" i="13"/>
  <c r="AD706" i="13" s="1"/>
  <c r="T706" i="13"/>
  <c r="U747" i="13"/>
  <c r="AD747" i="13" s="1"/>
  <c r="T747" i="13"/>
  <c r="T783" i="13"/>
  <c r="U783" i="13"/>
  <c r="AD783" i="13" s="1"/>
  <c r="T804" i="13"/>
  <c r="V804" i="13" s="1"/>
  <c r="T837" i="13"/>
  <c r="V837" i="13" s="1"/>
  <c r="U881" i="13"/>
  <c r="AD881" i="13" s="1"/>
  <c r="T361" i="13"/>
  <c r="V361" i="13" s="1"/>
  <c r="U361" i="13"/>
  <c r="AD361" i="13" s="1"/>
  <c r="T420" i="13"/>
  <c r="U420" i="13"/>
  <c r="AD420" i="13" s="1"/>
  <c r="T463" i="13"/>
  <c r="U463" i="13"/>
  <c r="AD463" i="13" s="1"/>
  <c r="T468" i="13"/>
  <c r="U468" i="13"/>
  <c r="AD468" i="13" s="1"/>
  <c r="U545" i="13"/>
  <c r="AD545" i="13" s="1"/>
  <c r="T545" i="13"/>
  <c r="U563" i="13"/>
  <c r="AD563" i="13" s="1"/>
  <c r="T563" i="13"/>
  <c r="U593" i="13"/>
  <c r="AD593" i="13" s="1"/>
  <c r="T593" i="13"/>
  <c r="T794" i="13"/>
  <c r="U794" i="13"/>
  <c r="AD794" i="13" s="1"/>
  <c r="U834" i="13"/>
  <c r="AD834" i="13" s="1"/>
  <c r="T834" i="13"/>
  <c r="U10" i="13"/>
  <c r="AD10" i="13" s="1"/>
  <c r="U64" i="13"/>
  <c r="AD64" i="13" s="1"/>
  <c r="U84" i="13"/>
  <c r="AD84" i="13" s="1"/>
  <c r="U96" i="13"/>
  <c r="AD96" i="13" s="1"/>
  <c r="T130" i="13"/>
  <c r="V130" i="13" s="1"/>
  <c r="U154" i="13"/>
  <c r="AD154" i="13" s="1"/>
  <c r="T194" i="13"/>
  <c r="V194" i="13" s="1"/>
  <c r="U228" i="13"/>
  <c r="AD228" i="13" s="1"/>
  <c r="T233" i="13"/>
  <c r="V233" i="13" s="1"/>
  <c r="T240" i="13"/>
  <c r="V240" i="13" s="1"/>
  <c r="AE240" i="13" s="1"/>
  <c r="T246" i="13"/>
  <c r="V246" i="13" s="1"/>
  <c r="U252" i="13"/>
  <c r="AD252" i="13" s="1"/>
  <c r="T258" i="13"/>
  <c r="V258" i="13" s="1"/>
  <c r="T294" i="13"/>
  <c r="V294" i="13" s="1"/>
  <c r="AE294" i="13" s="1"/>
  <c r="T314" i="13"/>
  <c r="V314" i="13" s="1"/>
  <c r="AE314" i="13" s="1"/>
  <c r="T317" i="13"/>
  <c r="V317" i="13" s="1"/>
  <c r="AE317" i="13" s="1"/>
  <c r="U338" i="13"/>
  <c r="AD338" i="13" s="1"/>
  <c r="T353" i="13"/>
  <c r="V353" i="13" s="1"/>
  <c r="U386" i="13"/>
  <c r="AD386" i="13" s="1"/>
  <c r="U527" i="13"/>
  <c r="AD527" i="13" s="1"/>
  <c r="U552" i="13"/>
  <c r="AD552" i="13" s="1"/>
  <c r="T582" i="13"/>
  <c r="U582" i="13"/>
  <c r="AD582" i="13" s="1"/>
  <c r="U639" i="13"/>
  <c r="AD639" i="13" s="1"/>
  <c r="U676" i="13"/>
  <c r="AD676" i="13" s="1"/>
  <c r="T694" i="13"/>
  <c r="V694" i="13" s="1"/>
  <c r="AE694" i="13" s="1"/>
  <c r="T724" i="13"/>
  <c r="V724" i="13" s="1"/>
  <c r="T738" i="13"/>
  <c r="V738" i="13" s="1"/>
  <c r="U824" i="13"/>
  <c r="AD824" i="13" s="1"/>
  <c r="T836" i="13"/>
  <c r="V836" i="13" s="1"/>
  <c r="T866" i="13"/>
  <c r="V866" i="13" s="1"/>
  <c r="U354" i="13"/>
  <c r="AD354" i="13" s="1"/>
  <c r="U360" i="13"/>
  <c r="AD360" i="13" s="1"/>
  <c r="T385" i="13"/>
  <c r="V385" i="13" s="1"/>
  <c r="U396" i="13"/>
  <c r="AD396" i="13" s="1"/>
  <c r="U433" i="13"/>
  <c r="AD433" i="13" s="1"/>
  <c r="U474" i="13"/>
  <c r="AD474" i="13" s="1"/>
  <c r="T509" i="13"/>
  <c r="V509" i="13" s="1"/>
  <c r="AE509" i="13" s="1"/>
  <c r="U646" i="13"/>
  <c r="AD646" i="13" s="1"/>
  <c r="T661" i="13"/>
  <c r="V661" i="13" s="1"/>
  <c r="U664" i="13"/>
  <c r="AD664" i="13" s="1"/>
  <c r="T669" i="13"/>
  <c r="V669" i="13" s="1"/>
  <c r="T685" i="13"/>
  <c r="V685" i="13" s="1"/>
  <c r="AE685" i="13" s="1"/>
  <c r="U695" i="13"/>
  <c r="AD695" i="13" s="1"/>
  <c r="T711" i="13"/>
  <c r="V711" i="13" s="1"/>
  <c r="T756" i="13"/>
  <c r="V756" i="13" s="1"/>
  <c r="U769" i="13"/>
  <c r="AD769" i="13" s="1"/>
  <c r="U777" i="13"/>
  <c r="AD777" i="13" s="1"/>
  <c r="U810" i="13"/>
  <c r="AD810" i="13" s="1"/>
  <c r="AE308" i="13"/>
  <c r="AE320" i="13"/>
  <c r="AE218" i="13"/>
  <c r="AE326" i="13"/>
  <c r="T356" i="13"/>
  <c r="V356" i="13" s="1"/>
  <c r="U356" i="13"/>
  <c r="AD356" i="13" s="1"/>
  <c r="U473" i="13"/>
  <c r="AD473" i="13" s="1"/>
  <c r="T473" i="13"/>
  <c r="T576" i="13"/>
  <c r="U576" i="13"/>
  <c r="AD576" i="13" s="1"/>
  <c r="U700" i="13"/>
  <c r="AD700" i="13" s="1"/>
  <c r="T700" i="13"/>
  <c r="T17" i="13"/>
  <c r="V17" i="13" s="1"/>
  <c r="T23" i="13"/>
  <c r="V23" i="13" s="1"/>
  <c r="T29" i="13"/>
  <c r="V29" i="13" s="1"/>
  <c r="T58" i="13"/>
  <c r="V58" i="13" s="1"/>
  <c r="T59" i="13"/>
  <c r="V59" i="13" s="1"/>
  <c r="T119" i="13"/>
  <c r="V119" i="13" s="1"/>
  <c r="T135" i="13"/>
  <c r="V135" i="13" s="1"/>
  <c r="T153" i="13"/>
  <c r="V153" i="13" s="1"/>
  <c r="T176" i="13"/>
  <c r="V176" i="13" s="1"/>
  <c r="AE176" i="13" s="1"/>
  <c r="T177" i="13"/>
  <c r="V177" i="13" s="1"/>
  <c r="T216" i="13"/>
  <c r="V216" i="13" s="1"/>
  <c r="AE216" i="13" s="1"/>
  <c r="T217" i="13"/>
  <c r="V217" i="13" s="1"/>
  <c r="T245" i="13"/>
  <c r="V245" i="13" s="1"/>
  <c r="T248" i="13"/>
  <c r="V248" i="13" s="1"/>
  <c r="T282" i="13"/>
  <c r="V282" i="13" s="1"/>
  <c r="AE282" i="13" s="1"/>
  <c r="T283" i="13"/>
  <c r="V283" i="13" s="1"/>
  <c r="U284" i="13"/>
  <c r="AD284" i="13" s="1"/>
  <c r="T323" i="13"/>
  <c r="V323" i="13" s="1"/>
  <c r="T330" i="13"/>
  <c r="V330" i="13" s="1"/>
  <c r="AE330" i="13" s="1"/>
  <c r="T331" i="13"/>
  <c r="V331" i="13" s="1"/>
  <c r="U332" i="13"/>
  <c r="AD332" i="13" s="1"/>
  <c r="T342" i="13"/>
  <c r="V342" i="13" s="1"/>
  <c r="T343" i="13"/>
  <c r="V343" i="13" s="1"/>
  <c r="U344" i="13"/>
  <c r="AD344" i="13" s="1"/>
  <c r="T367" i="13"/>
  <c r="V367" i="13" s="1"/>
  <c r="U372" i="13"/>
  <c r="AD372" i="13" s="1"/>
  <c r="T392" i="13"/>
  <c r="V392" i="13" s="1"/>
  <c r="AE392" i="13" s="1"/>
  <c r="U392" i="13"/>
  <c r="AD392" i="13" s="1"/>
  <c r="U431" i="13"/>
  <c r="AD431" i="13" s="1"/>
  <c r="T431" i="13"/>
  <c r="T436" i="13"/>
  <c r="V436" i="13" s="1"/>
  <c r="U491" i="13"/>
  <c r="AD491" i="13" s="1"/>
  <c r="T491" i="13"/>
  <c r="U544" i="13"/>
  <c r="AD544" i="13" s="1"/>
  <c r="T544" i="13"/>
  <c r="U651" i="13"/>
  <c r="AD651" i="13" s="1"/>
  <c r="T651" i="13"/>
  <c r="V651" i="13" s="1"/>
  <c r="U90" i="13"/>
  <c r="AD90" i="13" s="1"/>
  <c r="T99" i="13"/>
  <c r="V99" i="13" s="1"/>
  <c r="AE99" i="13" s="1"/>
  <c r="U213" i="13"/>
  <c r="AD213" i="13" s="1"/>
  <c r="U272" i="13"/>
  <c r="AD272" i="13" s="1"/>
  <c r="T281" i="13"/>
  <c r="V281" i="13" s="1"/>
  <c r="AE281" i="13" s="1"/>
  <c r="T397" i="13"/>
  <c r="V397" i="13" s="1"/>
  <c r="AE397" i="13" s="1"/>
  <c r="U397" i="13"/>
  <c r="AD397" i="13" s="1"/>
  <c r="U763" i="13"/>
  <c r="AD763" i="13" s="1"/>
  <c r="T763" i="13"/>
  <c r="U383" i="13"/>
  <c r="AD383" i="13" s="1"/>
  <c r="T383" i="13"/>
  <c r="V383" i="13" s="1"/>
  <c r="AE383" i="13" s="1"/>
  <c r="U365" i="13"/>
  <c r="AD365" i="13" s="1"/>
  <c r="T365" i="13"/>
  <c r="V365" i="13" s="1"/>
  <c r="AE365" i="13" s="1"/>
  <c r="T374" i="13"/>
  <c r="U374" i="13"/>
  <c r="AD374" i="13" s="1"/>
  <c r="T510" i="13"/>
  <c r="U510" i="13"/>
  <c r="AD510" i="13" s="1"/>
  <c r="U863" i="13"/>
  <c r="AD863" i="13" s="1"/>
  <c r="T863" i="13"/>
  <c r="T404" i="13"/>
  <c r="U404" i="13"/>
  <c r="AD404" i="13" s="1"/>
  <c r="T451" i="13"/>
  <c r="U451" i="13"/>
  <c r="AD451" i="13" s="1"/>
  <c r="T526" i="13"/>
  <c r="U526" i="13"/>
  <c r="AD526" i="13" s="1"/>
  <c r="U206" i="13"/>
  <c r="AD206" i="13" s="1"/>
  <c r="T257" i="13"/>
  <c r="V257" i="13" s="1"/>
  <c r="AE257" i="13" s="1"/>
  <c r="T293" i="13"/>
  <c r="V293" i="13" s="1"/>
  <c r="AE293" i="13" s="1"/>
  <c r="U302" i="13"/>
  <c r="AD302" i="13" s="1"/>
  <c r="T311" i="13"/>
  <c r="V311" i="13" s="1"/>
  <c r="T335" i="13"/>
  <c r="V335" i="13" s="1"/>
  <c r="T347" i="13"/>
  <c r="V347" i="13" s="1"/>
  <c r="U368" i="13"/>
  <c r="AD368" i="13" s="1"/>
  <c r="U373" i="13"/>
  <c r="AD373" i="13" s="1"/>
  <c r="T384" i="13"/>
  <c r="V384" i="13" s="1"/>
  <c r="AE384" i="13" s="1"/>
  <c r="U390" i="13"/>
  <c r="AD390" i="13" s="1"/>
  <c r="T407" i="13"/>
  <c r="V407" i="13" s="1"/>
  <c r="T432" i="13"/>
  <c r="V432" i="13" s="1"/>
  <c r="U444" i="13"/>
  <c r="AD444" i="13" s="1"/>
  <c r="T444" i="13"/>
  <c r="T604" i="13"/>
  <c r="V604" i="13" s="1"/>
  <c r="U604" i="13"/>
  <c r="AD604" i="13" s="1"/>
  <c r="U438" i="13"/>
  <c r="AD438" i="13" s="1"/>
  <c r="T438" i="13"/>
  <c r="U456" i="13"/>
  <c r="AD456" i="13" s="1"/>
  <c r="T456" i="13"/>
  <c r="V456" i="13" s="1"/>
  <c r="AE456" i="13" s="1"/>
  <c r="T588" i="13"/>
  <c r="U588" i="13"/>
  <c r="AD588" i="13" s="1"/>
  <c r="T608" i="13"/>
  <c r="U608" i="13"/>
  <c r="AD608" i="13" s="1"/>
  <c r="U733" i="13"/>
  <c r="AD733" i="13" s="1"/>
  <c r="T733" i="13"/>
  <c r="V733" i="13" s="1"/>
  <c r="AE733" i="13" s="1"/>
  <c r="U876" i="13"/>
  <c r="AD876" i="13" s="1"/>
  <c r="T876" i="13"/>
  <c r="V876" i="13" s="1"/>
  <c r="AE876" i="13" s="1"/>
  <c r="U362" i="13"/>
  <c r="AD362" i="13" s="1"/>
  <c r="U380" i="13"/>
  <c r="AD380" i="13" s="1"/>
  <c r="U682" i="13"/>
  <c r="AD682" i="13" s="1"/>
  <c r="T682" i="13"/>
  <c r="U728" i="13"/>
  <c r="AD728" i="13" s="1"/>
  <c r="T728" i="13"/>
  <c r="V728" i="13" s="1"/>
  <c r="U759" i="13"/>
  <c r="AD759" i="13" s="1"/>
  <c r="T759" i="13"/>
  <c r="U767" i="13"/>
  <c r="AD767" i="13" s="1"/>
  <c r="T767" i="13"/>
  <c r="U795" i="13"/>
  <c r="AD795" i="13" s="1"/>
  <c r="T795" i="13"/>
  <c r="V795" i="13" s="1"/>
  <c r="U843" i="13"/>
  <c r="AD843" i="13" s="1"/>
  <c r="T843" i="13"/>
  <c r="U867" i="13"/>
  <c r="AD867" i="13" s="1"/>
  <c r="T867" i="13"/>
  <c r="T430" i="13"/>
  <c r="V430" i="13" s="1"/>
  <c r="U445" i="13"/>
  <c r="AD445" i="13" s="1"/>
  <c r="U450" i="13"/>
  <c r="AD450" i="13" s="1"/>
  <c r="T450" i="13"/>
  <c r="T485" i="13"/>
  <c r="V485" i="13" s="1"/>
  <c r="U504" i="13"/>
  <c r="AD504" i="13" s="1"/>
  <c r="T508" i="13"/>
  <c r="U508" i="13"/>
  <c r="AD508" i="13" s="1"/>
  <c r="T516" i="13"/>
  <c r="U516" i="13"/>
  <c r="AD516" i="13" s="1"/>
  <c r="U558" i="13"/>
  <c r="AD558" i="13" s="1"/>
  <c r="T575" i="13"/>
  <c r="V575" i="13" s="1"/>
  <c r="AE575" i="13" s="1"/>
  <c r="U613" i="13"/>
  <c r="AD613" i="13" s="1"/>
  <c r="T613" i="13"/>
  <c r="V613" i="13" s="1"/>
  <c r="AE613" i="13" s="1"/>
  <c r="U627" i="13"/>
  <c r="AD627" i="13" s="1"/>
  <c r="T627" i="13"/>
  <c r="V627" i="13" s="1"/>
  <c r="T679" i="13"/>
  <c r="V679" i="13" s="1"/>
  <c r="T704" i="13"/>
  <c r="V704" i="13" s="1"/>
  <c r="T716" i="13"/>
  <c r="V716" i="13" s="1"/>
  <c r="T719" i="13"/>
  <c r="U719" i="13"/>
  <c r="AD719" i="13" s="1"/>
  <c r="T741" i="13"/>
  <c r="V741" i="13" s="1"/>
  <c r="T746" i="13"/>
  <c r="V746" i="13" s="1"/>
  <c r="T750" i="13"/>
  <c r="V750" i="13" s="1"/>
  <c r="AE753" i="13"/>
  <c r="T792" i="13"/>
  <c r="V792" i="13" s="1"/>
  <c r="U822" i="13"/>
  <c r="AD822" i="13" s="1"/>
  <c r="T822" i="13"/>
  <c r="T825" i="13"/>
  <c r="V825" i="13" s="1"/>
  <c r="U862" i="13"/>
  <c r="AD862" i="13" s="1"/>
  <c r="T862" i="13"/>
  <c r="T874" i="13"/>
  <c r="V874" i="13" s="1"/>
  <c r="U408" i="13"/>
  <c r="AD408" i="13" s="1"/>
  <c r="T408" i="13"/>
  <c r="T417" i="13"/>
  <c r="V417" i="13" s="1"/>
  <c r="T423" i="13"/>
  <c r="V423" i="13" s="1"/>
  <c r="T427" i="13"/>
  <c r="V427" i="13" s="1"/>
  <c r="U427" i="13"/>
  <c r="AD427" i="13" s="1"/>
  <c r="T570" i="13"/>
  <c r="U570" i="13"/>
  <c r="AD570" i="13" s="1"/>
  <c r="T631" i="13"/>
  <c r="V631" i="13" s="1"/>
  <c r="AE631" i="13" s="1"/>
  <c r="T637" i="13"/>
  <c r="V637" i="13" s="1"/>
  <c r="U643" i="13"/>
  <c r="AD643" i="13" s="1"/>
  <c r="T643" i="13"/>
  <c r="V643" i="13" s="1"/>
  <c r="AE643" i="13" s="1"/>
  <c r="U681" i="13"/>
  <c r="AD681" i="13" s="1"/>
  <c r="T681" i="13"/>
  <c r="T701" i="13"/>
  <c r="U701" i="13"/>
  <c r="AD701" i="13" s="1"/>
  <c r="U774" i="13"/>
  <c r="AD774" i="13" s="1"/>
  <c r="T774" i="13"/>
  <c r="T800" i="13"/>
  <c r="V800" i="13" s="1"/>
  <c r="T816" i="13"/>
  <c r="V816" i="13" s="1"/>
  <c r="U857" i="13"/>
  <c r="AD857" i="13" s="1"/>
  <c r="T857" i="13"/>
  <c r="T634" i="13"/>
  <c r="V634" i="13" s="1"/>
  <c r="AE634" i="13" s="1"/>
  <c r="U634" i="13"/>
  <c r="AD634" i="13" s="1"/>
  <c r="U673" i="13"/>
  <c r="AD673" i="13" s="1"/>
  <c r="T673" i="13"/>
  <c r="U718" i="13"/>
  <c r="AD718" i="13" s="1"/>
  <c r="T718" i="13"/>
  <c r="U731" i="13"/>
  <c r="AD731" i="13" s="1"/>
  <c r="T731" i="13"/>
  <c r="V731" i="13" s="1"/>
  <c r="U734" i="13"/>
  <c r="AD734" i="13" s="1"/>
  <c r="T734" i="13"/>
  <c r="U781" i="13"/>
  <c r="AD781" i="13" s="1"/>
  <c r="T781" i="13"/>
  <c r="T789" i="13"/>
  <c r="U789" i="13"/>
  <c r="AD789" i="13" s="1"/>
  <c r="T813" i="13"/>
  <c r="U813" i="13"/>
  <c r="AD813" i="13" s="1"/>
  <c r="U840" i="13"/>
  <c r="AD840" i="13" s="1"/>
  <c r="T840" i="13"/>
  <c r="U842" i="13"/>
  <c r="AD842" i="13" s="1"/>
  <c r="T842" i="13"/>
  <c r="V842" i="13" s="1"/>
  <c r="AE842" i="13" s="1"/>
  <c r="U861" i="13"/>
  <c r="AD861" i="13" s="1"/>
  <c r="T861" i="13"/>
  <c r="U851" i="13"/>
  <c r="AD851" i="13" s="1"/>
  <c r="T851" i="13"/>
  <c r="T460" i="13"/>
  <c r="V460" i="13" s="1"/>
  <c r="T466" i="13"/>
  <c r="V466" i="13" s="1"/>
  <c r="T471" i="13"/>
  <c r="V471" i="13" s="1"/>
  <c r="AE471" i="13" s="1"/>
  <c r="T477" i="13"/>
  <c r="V477" i="13" s="1"/>
  <c r="AE477" i="13" s="1"/>
  <c r="T483" i="13"/>
  <c r="V483" i="13" s="1"/>
  <c r="T489" i="13"/>
  <c r="V489" i="13" s="1"/>
  <c r="T495" i="13"/>
  <c r="V495" i="13" s="1"/>
  <c r="U806" i="13"/>
  <c r="AD806" i="13" s="1"/>
  <c r="T806" i="13"/>
  <c r="T744" i="13"/>
  <c r="V744" i="13" s="1"/>
  <c r="T761" i="13"/>
  <c r="V761" i="13" s="1"/>
  <c r="U771" i="13"/>
  <c r="AD771" i="13" s="1"/>
  <c r="T785" i="13"/>
  <c r="V785" i="13" s="1"/>
  <c r="AE13" i="13"/>
  <c r="AE70" i="13"/>
  <c r="AE40" i="13"/>
  <c r="T6" i="13"/>
  <c r="V6" i="13" s="1"/>
  <c r="U7" i="13"/>
  <c r="AD7" i="13" s="1"/>
  <c r="T12" i="13"/>
  <c r="V12" i="13" s="1"/>
  <c r="U13" i="13"/>
  <c r="AD13" i="13" s="1"/>
  <c r="T18" i="13"/>
  <c r="V18" i="13" s="1"/>
  <c r="U19" i="13"/>
  <c r="AD19" i="13" s="1"/>
  <c r="T24" i="13"/>
  <c r="V24" i="13" s="1"/>
  <c r="U25" i="13"/>
  <c r="AD25" i="13" s="1"/>
  <c r="T30" i="13"/>
  <c r="V30" i="13" s="1"/>
  <c r="U31" i="13"/>
  <c r="AD31" i="13" s="1"/>
  <c r="T36" i="13"/>
  <c r="V36" i="13" s="1"/>
  <c r="U37" i="13"/>
  <c r="AD37" i="13" s="1"/>
  <c r="T42" i="13"/>
  <c r="V42" i="13" s="1"/>
  <c r="U43" i="13"/>
  <c r="AD43" i="13" s="1"/>
  <c r="T48" i="13"/>
  <c r="V48" i="13" s="1"/>
  <c r="U49" i="13"/>
  <c r="AD49" i="13" s="1"/>
  <c r="T54" i="13"/>
  <c r="V54" i="13" s="1"/>
  <c r="U55" i="13"/>
  <c r="AD55" i="13" s="1"/>
  <c r="T60" i="13"/>
  <c r="V60" i="13" s="1"/>
  <c r="U61" i="13"/>
  <c r="AD61" i="13" s="1"/>
  <c r="T66" i="13"/>
  <c r="V66" i="13" s="1"/>
  <c r="U67" i="13"/>
  <c r="AD67" i="13" s="1"/>
  <c r="T72" i="13"/>
  <c r="V72" i="13" s="1"/>
  <c r="U73" i="13"/>
  <c r="AD73" i="13" s="1"/>
  <c r="T78" i="13"/>
  <c r="V78" i="13" s="1"/>
  <c r="U79" i="13"/>
  <c r="AD79" i="13" s="1"/>
  <c r="U85" i="13"/>
  <c r="AD85" i="13" s="1"/>
  <c r="T85" i="13"/>
  <c r="V85" i="13" s="1"/>
  <c r="U88" i="13"/>
  <c r="AD88" i="13" s="1"/>
  <c r="T93" i="13"/>
  <c r="V93" i="13" s="1"/>
  <c r="T94" i="13"/>
  <c r="V94" i="13" s="1"/>
  <c r="T98" i="13"/>
  <c r="U98" i="13"/>
  <c r="AD98" i="13" s="1"/>
  <c r="T100" i="13"/>
  <c r="V100" i="13" s="1"/>
  <c r="U111" i="13"/>
  <c r="AD111" i="13" s="1"/>
  <c r="T111" i="13"/>
  <c r="AE236" i="13"/>
  <c r="T104" i="13"/>
  <c r="U104" i="13"/>
  <c r="AD104" i="13" s="1"/>
  <c r="AE206" i="13"/>
  <c r="U91" i="13"/>
  <c r="AD91" i="13" s="1"/>
  <c r="T91" i="13"/>
  <c r="AE141" i="13"/>
  <c r="AE191" i="13"/>
  <c r="AE224" i="13"/>
  <c r="AE230" i="13"/>
  <c r="T9" i="13"/>
  <c r="V9" i="13" s="1"/>
  <c r="T15" i="13"/>
  <c r="V15" i="13" s="1"/>
  <c r="T21" i="13"/>
  <c r="V21" i="13" s="1"/>
  <c r="T27" i="13"/>
  <c r="V27" i="13" s="1"/>
  <c r="T33" i="13"/>
  <c r="V33" i="13" s="1"/>
  <c r="T39" i="13"/>
  <c r="V39" i="13" s="1"/>
  <c r="AE41" i="13"/>
  <c r="T45" i="13"/>
  <c r="V45" i="13" s="1"/>
  <c r="T51" i="13"/>
  <c r="V51" i="13" s="1"/>
  <c r="T57" i="13"/>
  <c r="V57" i="13" s="1"/>
  <c r="T63" i="13"/>
  <c r="V63" i="13" s="1"/>
  <c r="T69" i="13"/>
  <c r="V69" i="13" s="1"/>
  <c r="T75" i="13"/>
  <c r="V75" i="13" s="1"/>
  <c r="T81" i="13"/>
  <c r="V81" i="13" s="1"/>
  <c r="T83" i="13"/>
  <c r="V83" i="13" s="1"/>
  <c r="T86" i="13"/>
  <c r="V86" i="13" s="1"/>
  <c r="T8" i="13"/>
  <c r="V8" i="13" s="1"/>
  <c r="T14" i="13"/>
  <c r="V14" i="13" s="1"/>
  <c r="T20" i="13"/>
  <c r="V20" i="13" s="1"/>
  <c r="T26" i="13"/>
  <c r="V26" i="13" s="1"/>
  <c r="T32" i="13"/>
  <c r="V32" i="13" s="1"/>
  <c r="T38" i="13"/>
  <c r="V38" i="13" s="1"/>
  <c r="T44" i="13"/>
  <c r="V44" i="13" s="1"/>
  <c r="T50" i="13"/>
  <c r="V50" i="13" s="1"/>
  <c r="T56" i="13"/>
  <c r="V56" i="13" s="1"/>
  <c r="T62" i="13"/>
  <c r="V62" i="13" s="1"/>
  <c r="T68" i="13"/>
  <c r="V68" i="13" s="1"/>
  <c r="T74" i="13"/>
  <c r="V74" i="13" s="1"/>
  <c r="T80" i="13"/>
  <c r="V80" i="13" s="1"/>
  <c r="T87" i="13"/>
  <c r="V87" i="13" s="1"/>
  <c r="AE168" i="13"/>
  <c r="AE203" i="13"/>
  <c r="AE213" i="13"/>
  <c r="AE242" i="13"/>
  <c r="T92" i="13"/>
  <c r="V92" i="13" s="1"/>
  <c r="T112" i="13"/>
  <c r="V112" i="13" s="1"/>
  <c r="AE182" i="13"/>
  <c r="T97" i="13"/>
  <c r="V97" i="13" s="1"/>
  <c r="T103" i="13"/>
  <c r="V103" i="13" s="1"/>
  <c r="T109" i="13"/>
  <c r="V109" i="13" s="1"/>
  <c r="U110" i="13"/>
  <c r="AD110" i="13" s="1"/>
  <c r="T115" i="13"/>
  <c r="V115" i="13" s="1"/>
  <c r="U116" i="13"/>
  <c r="AD116" i="13" s="1"/>
  <c r="T121" i="13"/>
  <c r="V121" i="13" s="1"/>
  <c r="U122" i="13"/>
  <c r="AD122" i="13" s="1"/>
  <c r="T127" i="13"/>
  <c r="V127" i="13" s="1"/>
  <c r="T131" i="13"/>
  <c r="V131" i="13" s="1"/>
  <c r="U132" i="13"/>
  <c r="AD132" i="13" s="1"/>
  <c r="T137" i="13"/>
  <c r="V137" i="13" s="1"/>
  <c r="U138" i="13"/>
  <c r="AD138" i="13" s="1"/>
  <c r="T143" i="13"/>
  <c r="V143" i="13" s="1"/>
  <c r="U144" i="13"/>
  <c r="AD144" i="13" s="1"/>
  <c r="T149" i="13"/>
  <c r="V149" i="13" s="1"/>
  <c r="U150" i="13"/>
  <c r="AD150" i="13" s="1"/>
  <c r="T155" i="13"/>
  <c r="V155" i="13" s="1"/>
  <c r="U156" i="13"/>
  <c r="AD156" i="13" s="1"/>
  <c r="T161" i="13"/>
  <c r="V161" i="13" s="1"/>
  <c r="U162" i="13"/>
  <c r="AD162" i="13" s="1"/>
  <c r="T167" i="13"/>
  <c r="V167" i="13" s="1"/>
  <c r="U168" i="13"/>
  <c r="AD168" i="13" s="1"/>
  <c r="T172" i="13"/>
  <c r="V172" i="13" s="1"/>
  <c r="U173" i="13"/>
  <c r="AD173" i="13" s="1"/>
  <c r="T178" i="13"/>
  <c r="V178" i="13" s="1"/>
  <c r="U179" i="13"/>
  <c r="AD179" i="13" s="1"/>
  <c r="T184" i="13"/>
  <c r="V184" i="13" s="1"/>
  <c r="U185" i="13"/>
  <c r="AD185" i="13" s="1"/>
  <c r="T190" i="13"/>
  <c r="V190" i="13" s="1"/>
  <c r="U191" i="13"/>
  <c r="AD191" i="13" s="1"/>
  <c r="T196" i="13"/>
  <c r="V196" i="13" s="1"/>
  <c r="U197" i="13"/>
  <c r="AD197" i="13" s="1"/>
  <c r="T202" i="13"/>
  <c r="V202" i="13" s="1"/>
  <c r="U203" i="13"/>
  <c r="AD203" i="13" s="1"/>
  <c r="T209" i="13"/>
  <c r="V209" i="13" s="1"/>
  <c r="U210" i="13"/>
  <c r="AD210" i="13" s="1"/>
  <c r="AE228" i="13"/>
  <c r="AE260" i="13"/>
  <c r="AE328" i="13"/>
  <c r="AE338" i="13"/>
  <c r="AE360" i="13"/>
  <c r="AE364" i="13"/>
  <c r="AE378" i="13"/>
  <c r="AE382" i="13"/>
  <c r="AE396" i="13"/>
  <c r="T214" i="13"/>
  <c r="V214" i="13" s="1"/>
  <c r="U214" i="13"/>
  <c r="AD214" i="13" s="1"/>
  <c r="AE250" i="13"/>
  <c r="AE262" i="13"/>
  <c r="AE280" i="13"/>
  <c r="AE302" i="13"/>
  <c r="AE340" i="13"/>
  <c r="T226" i="13"/>
  <c r="V226" i="13" s="1"/>
  <c r="U226" i="13"/>
  <c r="AD226" i="13" s="1"/>
  <c r="AE268" i="13"/>
  <c r="AE288" i="13"/>
  <c r="AE300" i="13"/>
  <c r="AE304" i="13"/>
  <c r="AE318" i="13"/>
  <c r="AE354" i="13"/>
  <c r="AE358" i="13"/>
  <c r="AE372" i="13"/>
  <c r="AE376" i="13"/>
  <c r="AE390" i="13"/>
  <c r="AE394" i="13"/>
  <c r="T118" i="13"/>
  <c r="V118" i="13" s="1"/>
  <c r="T124" i="13"/>
  <c r="V124" i="13" s="1"/>
  <c r="AE126" i="13"/>
  <c r="T134" i="13"/>
  <c r="V134" i="13" s="1"/>
  <c r="T140" i="13"/>
  <c r="V140" i="13" s="1"/>
  <c r="T146" i="13"/>
  <c r="V146" i="13" s="1"/>
  <c r="T152" i="13"/>
  <c r="V152" i="13" s="1"/>
  <c r="T158" i="13"/>
  <c r="V158" i="13" s="1"/>
  <c r="T164" i="13"/>
  <c r="V164" i="13" s="1"/>
  <c r="T170" i="13"/>
  <c r="V170" i="13" s="1"/>
  <c r="T175" i="13"/>
  <c r="V175" i="13" s="1"/>
  <c r="T181" i="13"/>
  <c r="V181" i="13" s="1"/>
  <c r="T187" i="13"/>
  <c r="V187" i="13" s="1"/>
  <c r="T193" i="13"/>
  <c r="V193" i="13" s="1"/>
  <c r="T199" i="13"/>
  <c r="V199" i="13" s="1"/>
  <c r="AE201" i="13"/>
  <c r="T205" i="13"/>
  <c r="V205" i="13" s="1"/>
  <c r="T220" i="13"/>
  <c r="V220" i="13" s="1"/>
  <c r="U220" i="13"/>
  <c r="AD220" i="13" s="1"/>
  <c r="T222" i="13"/>
  <c r="V222" i="13" s="1"/>
  <c r="T232" i="13"/>
  <c r="U232" i="13"/>
  <c r="AD232" i="13" s="1"/>
  <c r="T239" i="13"/>
  <c r="V239" i="13" s="1"/>
  <c r="AE256" i="13"/>
  <c r="AE284" i="13"/>
  <c r="AE332" i="13"/>
  <c r="AE344" i="13"/>
  <c r="AE368" i="13"/>
  <c r="AE386" i="13"/>
  <c r="AE400" i="13"/>
  <c r="T117" i="13"/>
  <c r="V117" i="13" s="1"/>
  <c r="T123" i="13"/>
  <c r="V123" i="13" s="1"/>
  <c r="T128" i="13"/>
  <c r="V128" i="13" s="1"/>
  <c r="T133" i="13"/>
  <c r="V133" i="13" s="1"/>
  <c r="T139" i="13"/>
  <c r="V139" i="13" s="1"/>
  <c r="T145" i="13"/>
  <c r="V145" i="13" s="1"/>
  <c r="T151" i="13"/>
  <c r="V151" i="13" s="1"/>
  <c r="T157" i="13"/>
  <c r="V157" i="13" s="1"/>
  <c r="T163" i="13"/>
  <c r="V163" i="13" s="1"/>
  <c r="T169" i="13"/>
  <c r="V169" i="13" s="1"/>
  <c r="T174" i="13"/>
  <c r="V174" i="13" s="1"/>
  <c r="T180" i="13"/>
  <c r="V180" i="13" s="1"/>
  <c r="T186" i="13"/>
  <c r="V186" i="13" s="1"/>
  <c r="T192" i="13"/>
  <c r="V192" i="13" s="1"/>
  <c r="T198" i="13"/>
  <c r="V198" i="13" s="1"/>
  <c r="T204" i="13"/>
  <c r="V204" i="13" s="1"/>
  <c r="T238" i="13"/>
  <c r="V238" i="13" s="1"/>
  <c r="U238" i="13"/>
  <c r="AD238" i="13" s="1"/>
  <c r="AE272" i="13"/>
  <c r="AE286" i="13"/>
  <c r="AE292" i="13"/>
  <c r="AE298" i="13"/>
  <c r="AE334" i="13"/>
  <c r="AE346" i="13"/>
  <c r="AE352" i="13"/>
  <c r="AE370" i="13"/>
  <c r="AE388" i="13"/>
  <c r="T208" i="13"/>
  <c r="V208" i="13" s="1"/>
  <c r="U208" i="13"/>
  <c r="AD208" i="13" s="1"/>
  <c r="T244" i="13"/>
  <c r="V244" i="13" s="1"/>
  <c r="U244" i="13"/>
  <c r="AD244" i="13" s="1"/>
  <c r="AE252" i="13"/>
  <c r="AE264" i="13"/>
  <c r="AE270" i="13"/>
  <c r="AE274" i="13"/>
  <c r="AE322" i="13"/>
  <c r="AE362" i="13"/>
  <c r="AE380" i="13"/>
  <c r="AE398" i="13"/>
  <c r="T219" i="13"/>
  <c r="V219" i="13" s="1"/>
  <c r="T225" i="13"/>
  <c r="V225" i="13" s="1"/>
  <c r="T231" i="13"/>
  <c r="V231" i="13" s="1"/>
  <c r="T237" i="13"/>
  <c r="V237" i="13" s="1"/>
  <c r="T243" i="13"/>
  <c r="V243" i="13" s="1"/>
  <c r="T249" i="13"/>
  <c r="V249" i="13" s="1"/>
  <c r="U250" i="13"/>
  <c r="AD250" i="13" s="1"/>
  <c r="T255" i="13"/>
  <c r="V255" i="13" s="1"/>
  <c r="U256" i="13"/>
  <c r="AD256" i="13" s="1"/>
  <c r="T261" i="13"/>
  <c r="V261" i="13" s="1"/>
  <c r="U262" i="13"/>
  <c r="AD262" i="13" s="1"/>
  <c r="T267" i="13"/>
  <c r="V267" i="13" s="1"/>
  <c r="U268" i="13"/>
  <c r="AD268" i="13" s="1"/>
  <c r="T273" i="13"/>
  <c r="V273" i="13" s="1"/>
  <c r="U274" i="13"/>
  <c r="AD274" i="13" s="1"/>
  <c r="T279" i="13"/>
  <c r="V279" i="13" s="1"/>
  <c r="U280" i="13"/>
  <c r="AD280" i="13" s="1"/>
  <c r="T285" i="13"/>
  <c r="V285" i="13" s="1"/>
  <c r="U286" i="13"/>
  <c r="AD286" i="13" s="1"/>
  <c r="T291" i="13"/>
  <c r="V291" i="13" s="1"/>
  <c r="U292" i="13"/>
  <c r="AD292" i="13" s="1"/>
  <c r="T297" i="13"/>
  <c r="V297" i="13" s="1"/>
  <c r="U298" i="13"/>
  <c r="AD298" i="13" s="1"/>
  <c r="T303" i="13"/>
  <c r="V303" i="13" s="1"/>
  <c r="U304" i="13"/>
  <c r="AD304" i="13" s="1"/>
  <c r="T309" i="13"/>
  <c r="V309" i="13" s="1"/>
  <c r="U310" i="13"/>
  <c r="AD310" i="13" s="1"/>
  <c r="T315" i="13"/>
  <c r="V315" i="13" s="1"/>
  <c r="U316" i="13"/>
  <c r="AD316" i="13" s="1"/>
  <c r="T321" i="13"/>
  <c r="V321" i="13" s="1"/>
  <c r="U322" i="13"/>
  <c r="AD322" i="13" s="1"/>
  <c r="T327" i="13"/>
  <c r="V327" i="13" s="1"/>
  <c r="U328" i="13"/>
  <c r="AD328" i="13" s="1"/>
  <c r="T333" i="13"/>
  <c r="V333" i="13" s="1"/>
  <c r="U334" i="13"/>
  <c r="AD334" i="13" s="1"/>
  <c r="T339" i="13"/>
  <c r="V339" i="13" s="1"/>
  <c r="U340" i="13"/>
  <c r="AD340" i="13" s="1"/>
  <c r="T345" i="13"/>
  <c r="V345" i="13" s="1"/>
  <c r="U346" i="13"/>
  <c r="AD346" i="13" s="1"/>
  <c r="T351" i="13"/>
  <c r="V351" i="13" s="1"/>
  <c r="U352" i="13"/>
  <c r="AD352" i="13" s="1"/>
  <c r="T357" i="13"/>
  <c r="V357" i="13" s="1"/>
  <c r="U358" i="13"/>
  <c r="AD358" i="13" s="1"/>
  <c r="T363" i="13"/>
  <c r="V363" i="13" s="1"/>
  <c r="U364" i="13"/>
  <c r="AD364" i="13" s="1"/>
  <c r="T369" i="13"/>
  <c r="V369" i="13" s="1"/>
  <c r="U370" i="13"/>
  <c r="AD370" i="13" s="1"/>
  <c r="T375" i="13"/>
  <c r="V375" i="13" s="1"/>
  <c r="U376" i="13"/>
  <c r="AD376" i="13" s="1"/>
  <c r="T381" i="13"/>
  <c r="V381" i="13" s="1"/>
  <c r="U382" i="13"/>
  <c r="AD382" i="13" s="1"/>
  <c r="T387" i="13"/>
  <c r="V387" i="13" s="1"/>
  <c r="U388" i="13"/>
  <c r="AD388" i="13" s="1"/>
  <c r="T393" i="13"/>
  <c r="V393" i="13" s="1"/>
  <c r="U394" i="13"/>
  <c r="AD394" i="13" s="1"/>
  <c r="U398" i="13"/>
  <c r="AD398" i="13" s="1"/>
  <c r="T403" i="13"/>
  <c r="V403" i="13" s="1"/>
  <c r="U401" i="13"/>
  <c r="AD401" i="13" s="1"/>
  <c r="T401" i="13"/>
  <c r="V401" i="13" s="1"/>
  <c r="AE290" i="13"/>
  <c r="AE253" i="13"/>
  <c r="AE271" i="13"/>
  <c r="T275" i="13"/>
  <c r="V275" i="13" s="1"/>
  <c r="AE289" i="13"/>
  <c r="AE301" i="13"/>
  <c r="AE319" i="13"/>
  <c r="AE355" i="13"/>
  <c r="AE379" i="13"/>
  <c r="AE391" i="13"/>
  <c r="T402" i="13"/>
  <c r="V402" i="13" s="1"/>
  <c r="AE406" i="13"/>
  <c r="U405" i="13"/>
  <c r="AD405" i="13" s="1"/>
  <c r="U406" i="13"/>
  <c r="AD406" i="13" s="1"/>
  <c r="T410" i="13"/>
  <c r="V410" i="13" s="1"/>
  <c r="U410" i="13"/>
  <c r="AD410" i="13" s="1"/>
  <c r="T412" i="13"/>
  <c r="V412" i="13" s="1"/>
  <c r="T416" i="13"/>
  <c r="V416" i="13" s="1"/>
  <c r="U416" i="13"/>
  <c r="AD416" i="13" s="1"/>
  <c r="T418" i="13"/>
  <c r="V418" i="13" s="1"/>
  <c r="T422" i="13"/>
  <c r="V422" i="13" s="1"/>
  <c r="U422" i="13"/>
  <c r="AD422" i="13" s="1"/>
  <c r="T429" i="13"/>
  <c r="U429" i="13"/>
  <c r="AD429" i="13" s="1"/>
  <c r="AE482" i="13"/>
  <c r="AE494" i="13"/>
  <c r="AE520" i="13"/>
  <c r="U437" i="13"/>
  <c r="AD437" i="13" s="1"/>
  <c r="T437" i="13"/>
  <c r="AE540" i="13"/>
  <c r="T409" i="13"/>
  <c r="V409" i="13" s="1"/>
  <c r="T415" i="13"/>
  <c r="V415" i="13" s="1"/>
  <c r="T421" i="13"/>
  <c r="V421" i="13" s="1"/>
  <c r="T428" i="13"/>
  <c r="V428" i="13" s="1"/>
  <c r="T434" i="13"/>
  <c r="V434" i="13" s="1"/>
  <c r="U435" i="13"/>
  <c r="AD435" i="13" s="1"/>
  <c r="T440" i="13"/>
  <c r="V440" i="13" s="1"/>
  <c r="U441" i="13"/>
  <c r="AD441" i="13" s="1"/>
  <c r="T446" i="13"/>
  <c r="V446" i="13" s="1"/>
  <c r="U447" i="13"/>
  <c r="AD447" i="13" s="1"/>
  <c r="T452" i="13"/>
  <c r="V452" i="13" s="1"/>
  <c r="U453" i="13"/>
  <c r="AD453" i="13" s="1"/>
  <c r="T458" i="13"/>
  <c r="V458" i="13" s="1"/>
  <c r="U459" i="13"/>
  <c r="AD459" i="13" s="1"/>
  <c r="T464" i="13"/>
  <c r="V464" i="13" s="1"/>
  <c r="U465" i="13"/>
  <c r="AD465" i="13" s="1"/>
  <c r="T469" i="13"/>
  <c r="V469" i="13" s="1"/>
  <c r="U470" i="13"/>
  <c r="AD470" i="13" s="1"/>
  <c r="T475" i="13"/>
  <c r="V475" i="13" s="1"/>
  <c r="U476" i="13"/>
  <c r="AD476" i="13" s="1"/>
  <c r="T481" i="13"/>
  <c r="V481" i="13" s="1"/>
  <c r="U482" i="13"/>
  <c r="AD482" i="13" s="1"/>
  <c r="T487" i="13"/>
  <c r="V487" i="13" s="1"/>
  <c r="U488" i="13"/>
  <c r="AD488" i="13" s="1"/>
  <c r="T493" i="13"/>
  <c r="V493" i="13" s="1"/>
  <c r="U494" i="13"/>
  <c r="AD494" i="13" s="1"/>
  <c r="T499" i="13"/>
  <c r="V499" i="13" s="1"/>
  <c r="U500" i="13"/>
  <c r="AD500" i="13" s="1"/>
  <c r="U502" i="13"/>
  <c r="AD502" i="13" s="1"/>
  <c r="T507" i="13"/>
  <c r="V507" i="13" s="1"/>
  <c r="U517" i="13"/>
  <c r="AD517" i="13" s="1"/>
  <c r="T517" i="13"/>
  <c r="V517" i="13" s="1"/>
  <c r="U520" i="13"/>
  <c r="AD520" i="13" s="1"/>
  <c r="T525" i="13"/>
  <c r="V525" i="13" s="1"/>
  <c r="T556" i="13"/>
  <c r="V556" i="13" s="1"/>
  <c r="T512" i="13"/>
  <c r="V512" i="13" s="1"/>
  <c r="T530" i="13"/>
  <c r="V530" i="13" s="1"/>
  <c r="U555" i="13"/>
  <c r="AD555" i="13" s="1"/>
  <c r="T555" i="13"/>
  <c r="V555" i="13" s="1"/>
  <c r="AE584" i="13"/>
  <c r="AE621" i="13"/>
  <c r="U505" i="13"/>
  <c r="AD505" i="13" s="1"/>
  <c r="T505" i="13"/>
  <c r="U523" i="13"/>
  <c r="AD523" i="13" s="1"/>
  <c r="T523" i="13"/>
  <c r="V523" i="13" s="1"/>
  <c r="T536" i="13"/>
  <c r="V536" i="13" s="1"/>
  <c r="U536" i="13"/>
  <c r="AD536" i="13" s="1"/>
  <c r="T542" i="13"/>
  <c r="V542" i="13" s="1"/>
  <c r="U542" i="13"/>
  <c r="AD542" i="13" s="1"/>
  <c r="T548" i="13"/>
  <c r="U548" i="13"/>
  <c r="AD548" i="13" s="1"/>
  <c r="T443" i="13"/>
  <c r="V443" i="13" s="1"/>
  <c r="T449" i="13"/>
  <c r="V449" i="13" s="1"/>
  <c r="T455" i="13"/>
  <c r="V455" i="13" s="1"/>
  <c r="T461" i="13"/>
  <c r="V461" i="13" s="1"/>
  <c r="T467" i="13"/>
  <c r="V467" i="13" s="1"/>
  <c r="T472" i="13"/>
  <c r="V472" i="13" s="1"/>
  <c r="T478" i="13"/>
  <c r="V478" i="13" s="1"/>
  <c r="T484" i="13"/>
  <c r="V484" i="13" s="1"/>
  <c r="T490" i="13"/>
  <c r="V490" i="13" s="1"/>
  <c r="T496" i="13"/>
  <c r="V496" i="13" s="1"/>
  <c r="T514" i="13"/>
  <c r="V514" i="13" s="1"/>
  <c r="T518" i="13"/>
  <c r="V518" i="13" s="1"/>
  <c r="T532" i="13"/>
  <c r="V532" i="13" s="1"/>
  <c r="T537" i="13"/>
  <c r="V537" i="13" s="1"/>
  <c r="T543" i="13"/>
  <c r="V543" i="13" s="1"/>
  <c r="T549" i="13"/>
  <c r="V549" i="13" s="1"/>
  <c r="AE558" i="13"/>
  <c r="U511" i="13"/>
  <c r="AD511" i="13" s="1"/>
  <c r="T511" i="13"/>
  <c r="U529" i="13"/>
  <c r="AD529" i="13" s="1"/>
  <c r="T529" i="13"/>
  <c r="T506" i="13"/>
  <c r="V506" i="13" s="1"/>
  <c r="T524" i="13"/>
  <c r="V524" i="13" s="1"/>
  <c r="T535" i="13"/>
  <c r="V535" i="13" s="1"/>
  <c r="T541" i="13"/>
  <c r="V541" i="13" s="1"/>
  <c r="T547" i="13"/>
  <c r="V547" i="13" s="1"/>
  <c r="T553" i="13"/>
  <c r="V553" i="13" s="1"/>
  <c r="U554" i="13"/>
  <c r="AD554" i="13" s="1"/>
  <c r="T559" i="13"/>
  <c r="V559" i="13" s="1"/>
  <c r="U560" i="13"/>
  <c r="AD560" i="13" s="1"/>
  <c r="T565" i="13"/>
  <c r="V565" i="13" s="1"/>
  <c r="U566" i="13"/>
  <c r="AD566" i="13" s="1"/>
  <c r="T571" i="13"/>
  <c r="V571" i="13" s="1"/>
  <c r="U572" i="13"/>
  <c r="AD572" i="13" s="1"/>
  <c r="T577" i="13"/>
  <c r="V577" i="13" s="1"/>
  <c r="U578" i="13"/>
  <c r="AD578" i="13" s="1"/>
  <c r="T583" i="13"/>
  <c r="V583" i="13" s="1"/>
  <c r="U584" i="13"/>
  <c r="AD584" i="13" s="1"/>
  <c r="T589" i="13"/>
  <c r="V589" i="13" s="1"/>
  <c r="U590" i="13"/>
  <c r="AD590" i="13" s="1"/>
  <c r="T595" i="13"/>
  <c r="V595" i="13" s="1"/>
  <c r="U596" i="13"/>
  <c r="AD596" i="13" s="1"/>
  <c r="U599" i="13"/>
  <c r="AD599" i="13" s="1"/>
  <c r="T599" i="13"/>
  <c r="U602" i="13"/>
  <c r="AD602" i="13" s="1"/>
  <c r="T607" i="13"/>
  <c r="V607" i="13" s="1"/>
  <c r="U619" i="13"/>
  <c r="AD619" i="13" s="1"/>
  <c r="T620" i="13"/>
  <c r="V620" i="13" s="1"/>
  <c r="T625" i="13"/>
  <c r="V625" i="13" s="1"/>
  <c r="U626" i="13"/>
  <c r="AD626" i="13" s="1"/>
  <c r="AE672" i="13"/>
  <c r="T612" i="13"/>
  <c r="V612" i="13" s="1"/>
  <c r="AE615" i="13"/>
  <c r="U617" i="13"/>
  <c r="AD617" i="13" s="1"/>
  <c r="T617" i="13"/>
  <c r="V617" i="13" s="1"/>
  <c r="T630" i="13"/>
  <c r="U630" i="13"/>
  <c r="AD630" i="13" s="1"/>
  <c r="T636" i="13"/>
  <c r="U636" i="13"/>
  <c r="AD636" i="13" s="1"/>
  <c r="T642" i="13"/>
  <c r="V642" i="13" s="1"/>
  <c r="U642" i="13"/>
  <c r="AD642" i="13" s="1"/>
  <c r="U605" i="13"/>
  <c r="AD605" i="13" s="1"/>
  <c r="T605" i="13"/>
  <c r="T562" i="13"/>
  <c r="V562" i="13" s="1"/>
  <c r="T568" i="13"/>
  <c r="V568" i="13" s="1"/>
  <c r="T574" i="13"/>
  <c r="V574" i="13" s="1"/>
  <c r="T580" i="13"/>
  <c r="V580" i="13" s="1"/>
  <c r="T586" i="13"/>
  <c r="V586" i="13" s="1"/>
  <c r="T592" i="13"/>
  <c r="V592" i="13" s="1"/>
  <c r="T598" i="13"/>
  <c r="V598" i="13" s="1"/>
  <c r="T600" i="13"/>
  <c r="V600" i="13" s="1"/>
  <c r="T614" i="13"/>
  <c r="V614" i="13" s="1"/>
  <c r="AE650" i="13"/>
  <c r="AE689" i="13"/>
  <c r="T561" i="13"/>
  <c r="V561" i="13" s="1"/>
  <c r="T567" i="13"/>
  <c r="V567" i="13" s="1"/>
  <c r="T573" i="13"/>
  <c r="V573" i="13" s="1"/>
  <c r="T579" i="13"/>
  <c r="V579" i="13" s="1"/>
  <c r="T585" i="13"/>
  <c r="V585" i="13" s="1"/>
  <c r="T591" i="13"/>
  <c r="V591" i="13" s="1"/>
  <c r="T597" i="13"/>
  <c r="V597" i="13" s="1"/>
  <c r="T601" i="13"/>
  <c r="V601" i="13" s="1"/>
  <c r="U611" i="13"/>
  <c r="AD611" i="13" s="1"/>
  <c r="T611" i="13"/>
  <c r="T618" i="13"/>
  <c r="V618" i="13" s="1"/>
  <c r="U623" i="13"/>
  <c r="AD623" i="13" s="1"/>
  <c r="T623" i="13"/>
  <c r="U650" i="13"/>
  <c r="AD650" i="13" s="1"/>
  <c r="T606" i="13"/>
  <c r="V606" i="13" s="1"/>
  <c r="T624" i="13"/>
  <c r="V624" i="13" s="1"/>
  <c r="U624" i="13"/>
  <c r="AD624" i="13" s="1"/>
  <c r="T648" i="13"/>
  <c r="U648" i="13"/>
  <c r="AD648" i="13" s="1"/>
  <c r="T629" i="13"/>
  <c r="V629" i="13" s="1"/>
  <c r="T635" i="13"/>
  <c r="V635" i="13" s="1"/>
  <c r="T641" i="13"/>
  <c r="V641" i="13" s="1"/>
  <c r="T647" i="13"/>
  <c r="V647" i="13" s="1"/>
  <c r="T653" i="13"/>
  <c r="V653" i="13" s="1"/>
  <c r="U654" i="13"/>
  <c r="AD654" i="13" s="1"/>
  <c r="T659" i="13"/>
  <c r="V659" i="13" s="1"/>
  <c r="U660" i="13"/>
  <c r="AD660" i="13" s="1"/>
  <c r="T665" i="13"/>
  <c r="V665" i="13" s="1"/>
  <c r="U666" i="13"/>
  <c r="AD666" i="13" s="1"/>
  <c r="T671" i="13"/>
  <c r="V671" i="13" s="1"/>
  <c r="U672" i="13"/>
  <c r="AD672" i="13" s="1"/>
  <c r="T677" i="13"/>
  <c r="V677" i="13" s="1"/>
  <c r="U678" i="13"/>
  <c r="AD678" i="13" s="1"/>
  <c r="T683" i="13"/>
  <c r="V683" i="13" s="1"/>
  <c r="U684" i="13"/>
  <c r="AD684" i="13" s="1"/>
  <c r="T692" i="13"/>
  <c r="V692" i="13" s="1"/>
  <c r="U702" i="13"/>
  <c r="AD702" i="13" s="1"/>
  <c r="T702" i="13"/>
  <c r="U705" i="13"/>
  <c r="AD705" i="13" s="1"/>
  <c r="T710" i="13"/>
  <c r="V710" i="13" s="1"/>
  <c r="U714" i="13"/>
  <c r="AD714" i="13" s="1"/>
  <c r="T714" i="13"/>
  <c r="U717" i="13"/>
  <c r="AD717" i="13" s="1"/>
  <c r="T722" i="13"/>
  <c r="V722" i="13" s="1"/>
  <c r="T723" i="13"/>
  <c r="V723" i="13" s="1"/>
  <c r="T727" i="13"/>
  <c r="V727" i="13" s="1"/>
  <c r="U727" i="13"/>
  <c r="AD727" i="13" s="1"/>
  <c r="T729" i="13"/>
  <c r="V729" i="13" s="1"/>
  <c r="T743" i="13"/>
  <c r="U743" i="13"/>
  <c r="AD743" i="13" s="1"/>
  <c r="U690" i="13"/>
  <c r="AD690" i="13" s="1"/>
  <c r="T690" i="13"/>
  <c r="V690" i="13" s="1"/>
  <c r="U708" i="13"/>
  <c r="AD708" i="13" s="1"/>
  <c r="T708" i="13"/>
  <c r="U720" i="13"/>
  <c r="AD720" i="13" s="1"/>
  <c r="T720" i="13"/>
  <c r="T656" i="13"/>
  <c r="V656" i="13" s="1"/>
  <c r="T662" i="13"/>
  <c r="V662" i="13" s="1"/>
  <c r="T668" i="13"/>
  <c r="V668" i="13" s="1"/>
  <c r="T674" i="13"/>
  <c r="V674" i="13" s="1"/>
  <c r="T680" i="13"/>
  <c r="V680" i="13" s="1"/>
  <c r="T686" i="13"/>
  <c r="V686" i="13" s="1"/>
  <c r="T699" i="13"/>
  <c r="V699" i="13" s="1"/>
  <c r="T703" i="13"/>
  <c r="V703" i="13" s="1"/>
  <c r="T715" i="13"/>
  <c r="V715" i="13" s="1"/>
  <c r="T732" i="13"/>
  <c r="V732" i="13" s="1"/>
  <c r="U739" i="13"/>
  <c r="AD739" i="13" s="1"/>
  <c r="U696" i="13"/>
  <c r="AD696" i="13" s="1"/>
  <c r="T696" i="13"/>
  <c r="V696" i="13" s="1"/>
  <c r="T737" i="13"/>
  <c r="V737" i="13" s="1"/>
  <c r="U737" i="13"/>
  <c r="AD737" i="13" s="1"/>
  <c r="T691" i="13"/>
  <c r="V691" i="13" s="1"/>
  <c r="T709" i="13"/>
  <c r="V709" i="13" s="1"/>
  <c r="T721" i="13"/>
  <c r="V721" i="13" s="1"/>
  <c r="U745" i="13"/>
  <c r="AD745" i="13" s="1"/>
  <c r="T726" i="13"/>
  <c r="V726" i="13" s="1"/>
  <c r="T736" i="13"/>
  <c r="V736" i="13" s="1"/>
  <c r="T742" i="13"/>
  <c r="V742" i="13" s="1"/>
  <c r="T748" i="13"/>
  <c r="V748" i="13" s="1"/>
  <c r="U749" i="13"/>
  <c r="AD749" i="13" s="1"/>
  <c r="T754" i="13"/>
  <c r="V754" i="13" s="1"/>
  <c r="U755" i="13"/>
  <c r="AD755" i="13" s="1"/>
  <c r="U760" i="13"/>
  <c r="AD760" i="13" s="1"/>
  <c r="T765" i="13"/>
  <c r="V765" i="13" s="1"/>
  <c r="U766" i="13"/>
  <c r="AD766" i="13" s="1"/>
  <c r="U772" i="13"/>
  <c r="AD772" i="13" s="1"/>
  <c r="T772" i="13"/>
  <c r="U775" i="13"/>
  <c r="AD775" i="13" s="1"/>
  <c r="T780" i="13"/>
  <c r="V780" i="13" s="1"/>
  <c r="U778" i="13"/>
  <c r="AD778" i="13" s="1"/>
  <c r="T778" i="13"/>
  <c r="V778" i="13" s="1"/>
  <c r="AE809" i="13"/>
  <c r="T751" i="13"/>
  <c r="V751" i="13" s="1"/>
  <c r="T757" i="13"/>
  <c r="V757" i="13" s="1"/>
  <c r="T762" i="13"/>
  <c r="V762" i="13" s="1"/>
  <c r="T768" i="13"/>
  <c r="V768" i="13" s="1"/>
  <c r="T773" i="13"/>
  <c r="V773" i="13" s="1"/>
  <c r="T787" i="13"/>
  <c r="V787" i="13" s="1"/>
  <c r="U784" i="13"/>
  <c r="AD784" i="13" s="1"/>
  <c r="T784" i="13"/>
  <c r="T779" i="13"/>
  <c r="V779" i="13" s="1"/>
  <c r="T790" i="13"/>
  <c r="V790" i="13" s="1"/>
  <c r="U791" i="13"/>
  <c r="AD791" i="13" s="1"/>
  <c r="T796" i="13"/>
  <c r="V796" i="13" s="1"/>
  <c r="U797" i="13"/>
  <c r="AD797" i="13" s="1"/>
  <c r="T802" i="13"/>
  <c r="V802" i="13" s="1"/>
  <c r="U803" i="13"/>
  <c r="AD803" i="13" s="1"/>
  <c r="T808" i="13"/>
  <c r="V808" i="13" s="1"/>
  <c r="U809" i="13"/>
  <c r="AD809" i="13" s="1"/>
  <c r="T814" i="13"/>
  <c r="V814" i="13" s="1"/>
  <c r="U815" i="13"/>
  <c r="AD815" i="13" s="1"/>
  <c r="T820" i="13"/>
  <c r="V820" i="13" s="1"/>
  <c r="U821" i="13"/>
  <c r="AD821" i="13" s="1"/>
  <c r="T826" i="13"/>
  <c r="V826" i="13" s="1"/>
  <c r="U827" i="13"/>
  <c r="AD827" i="13" s="1"/>
  <c r="T832" i="13"/>
  <c r="V832" i="13" s="1"/>
  <c r="U833" i="13"/>
  <c r="AD833" i="13" s="1"/>
  <c r="T838" i="13"/>
  <c r="V838" i="13" s="1"/>
  <c r="U839" i="13"/>
  <c r="AD839" i="13" s="1"/>
  <c r="U844" i="13"/>
  <c r="AD844" i="13" s="1"/>
  <c r="T855" i="13"/>
  <c r="V855" i="13" s="1"/>
  <c r="U859" i="13"/>
  <c r="AD859" i="13" s="1"/>
  <c r="T859" i="13"/>
  <c r="T873" i="13"/>
  <c r="V873" i="13" s="1"/>
  <c r="U877" i="13"/>
  <c r="AD877" i="13" s="1"/>
  <c r="T877" i="13"/>
  <c r="U853" i="13"/>
  <c r="AD853" i="13" s="1"/>
  <c r="T853" i="13"/>
  <c r="U871" i="13"/>
  <c r="AD871" i="13" s="1"/>
  <c r="T871" i="13"/>
  <c r="V871" i="13" s="1"/>
  <c r="T793" i="13"/>
  <c r="V793" i="13" s="1"/>
  <c r="T799" i="13"/>
  <c r="V799" i="13" s="1"/>
  <c r="T805" i="13"/>
  <c r="V805" i="13" s="1"/>
  <c r="T811" i="13"/>
  <c r="V811" i="13" s="1"/>
  <c r="T817" i="13"/>
  <c r="V817" i="13" s="1"/>
  <c r="T823" i="13"/>
  <c r="V823" i="13" s="1"/>
  <c r="T829" i="13"/>
  <c r="V829" i="13" s="1"/>
  <c r="T835" i="13"/>
  <c r="V835" i="13" s="1"/>
  <c r="T841" i="13"/>
  <c r="V841" i="13" s="1"/>
  <c r="T850" i="13"/>
  <c r="V850" i="13" s="1"/>
  <c r="T860" i="13"/>
  <c r="V860" i="13" s="1"/>
  <c r="T868" i="13"/>
  <c r="V868" i="13" s="1"/>
  <c r="U879" i="13"/>
  <c r="AD879" i="13" s="1"/>
  <c r="T880" i="13"/>
  <c r="V880" i="13" s="1"/>
  <c r="U847" i="13"/>
  <c r="AD847" i="13" s="1"/>
  <c r="T847" i="13"/>
  <c r="U865" i="13"/>
  <c r="AD865" i="13" s="1"/>
  <c r="T865" i="13"/>
  <c r="T854" i="13"/>
  <c r="V854" i="13" s="1"/>
  <c r="B760" i="13"/>
  <c r="B761" i="13"/>
  <c r="B762" i="13"/>
  <c r="B763" i="13"/>
  <c r="B764" i="13"/>
  <c r="B765" i="13"/>
  <c r="B766" i="13"/>
  <c r="B767" i="13"/>
  <c r="B768" i="13"/>
  <c r="B769" i="13"/>
  <c r="B770" i="13"/>
  <c r="B771" i="13"/>
  <c r="B772" i="13"/>
  <c r="B773" i="13"/>
  <c r="B774" i="13"/>
  <c r="B775" i="13"/>
  <c r="B776" i="13"/>
  <c r="B777" i="13"/>
  <c r="B778" i="13"/>
  <c r="B779" i="13"/>
  <c r="B780" i="13"/>
  <c r="B781" i="13"/>
  <c r="B782" i="13"/>
  <c r="B783" i="13"/>
  <c r="B784" i="13"/>
  <c r="B785" i="13"/>
  <c r="B786" i="13"/>
  <c r="B787" i="13"/>
  <c r="B788" i="13"/>
  <c r="B789" i="13"/>
  <c r="B790" i="13"/>
  <c r="B791" i="13"/>
  <c r="B792" i="13"/>
  <c r="B793" i="13"/>
  <c r="B794" i="13"/>
  <c r="B795" i="13"/>
  <c r="B796" i="13"/>
  <c r="B797" i="13"/>
  <c r="B798" i="13"/>
  <c r="B799" i="13"/>
  <c r="B800" i="13"/>
  <c r="B801" i="13"/>
  <c r="B802" i="13"/>
  <c r="B803" i="13"/>
  <c r="B804" i="13"/>
  <c r="B805" i="13"/>
  <c r="B806" i="13"/>
  <c r="B807" i="13"/>
  <c r="B808" i="13"/>
  <c r="B809" i="13"/>
  <c r="B810" i="13"/>
  <c r="B811" i="13"/>
  <c r="B812" i="13"/>
  <c r="B813" i="13"/>
  <c r="B814" i="13"/>
  <c r="B815" i="13"/>
  <c r="B816" i="13"/>
  <c r="B817" i="13"/>
  <c r="B818" i="13"/>
  <c r="B819" i="13"/>
  <c r="B820" i="13"/>
  <c r="B821" i="13"/>
  <c r="B822" i="13"/>
  <c r="B823" i="13"/>
  <c r="B824" i="13"/>
  <c r="B825" i="13"/>
  <c r="B826" i="13"/>
  <c r="B827" i="13"/>
  <c r="B828" i="13"/>
  <c r="B829" i="13"/>
  <c r="B830" i="13"/>
  <c r="B831" i="13"/>
  <c r="B832" i="13"/>
  <c r="B833" i="13"/>
  <c r="B834" i="13"/>
  <c r="B835" i="13"/>
  <c r="B836" i="13"/>
  <c r="B837" i="13"/>
  <c r="B838" i="13"/>
  <c r="B839" i="13"/>
  <c r="B840" i="13"/>
  <c r="B841" i="13"/>
  <c r="B842" i="13"/>
  <c r="B843" i="13"/>
  <c r="B844" i="13"/>
  <c r="B845" i="13"/>
  <c r="B846" i="13"/>
  <c r="B847" i="13"/>
  <c r="B848" i="13"/>
  <c r="B849" i="13"/>
  <c r="B850" i="13"/>
  <c r="B851" i="13"/>
  <c r="B852" i="13"/>
  <c r="B853" i="13"/>
  <c r="B854" i="13"/>
  <c r="B855" i="13"/>
  <c r="B856" i="13"/>
  <c r="B857" i="13"/>
  <c r="B858" i="13"/>
  <c r="B859" i="13"/>
  <c r="B860" i="13"/>
  <c r="B861" i="13"/>
  <c r="B862" i="13"/>
  <c r="B863" i="13"/>
  <c r="B864" i="13"/>
  <c r="B865" i="13"/>
  <c r="B866" i="13"/>
  <c r="B867" i="13"/>
  <c r="B868" i="13"/>
  <c r="B869" i="13"/>
  <c r="B870" i="13"/>
  <c r="B871" i="13"/>
  <c r="B872" i="13"/>
  <c r="B873" i="13"/>
  <c r="B874" i="13"/>
  <c r="B875" i="13"/>
  <c r="B876" i="13"/>
  <c r="B877" i="13"/>
  <c r="B878" i="13"/>
  <c r="B879" i="13"/>
  <c r="B880" i="13"/>
  <c r="B881" i="13"/>
  <c r="B532" i="13"/>
  <c r="B533" i="13"/>
  <c r="B534" i="13"/>
  <c r="B535" i="13"/>
  <c r="B536" i="13"/>
  <c r="B537" i="13"/>
  <c r="B538" i="13"/>
  <c r="B539" i="13"/>
  <c r="B540" i="13"/>
  <c r="B541" i="13"/>
  <c r="B542" i="13"/>
  <c r="B543" i="13"/>
  <c r="B544" i="13"/>
  <c r="B545" i="13"/>
  <c r="B546" i="13"/>
  <c r="B547" i="13"/>
  <c r="B548" i="13"/>
  <c r="B549" i="13"/>
  <c r="B550" i="13"/>
  <c r="B551" i="13"/>
  <c r="B552" i="13"/>
  <c r="B553" i="13"/>
  <c r="B554" i="13"/>
  <c r="B555" i="13"/>
  <c r="B556" i="13"/>
  <c r="B557" i="13"/>
  <c r="B558" i="13"/>
  <c r="B559" i="13"/>
  <c r="B560" i="13"/>
  <c r="B561" i="13"/>
  <c r="B562" i="13"/>
  <c r="B563" i="13"/>
  <c r="B564" i="13"/>
  <c r="B565" i="13"/>
  <c r="B566" i="13"/>
  <c r="B567" i="13"/>
  <c r="B568" i="13"/>
  <c r="B569" i="13"/>
  <c r="B570" i="13"/>
  <c r="B571" i="13"/>
  <c r="B572" i="13"/>
  <c r="B573" i="13"/>
  <c r="B574" i="13"/>
  <c r="B575" i="13"/>
  <c r="B576" i="13"/>
  <c r="B577" i="13"/>
  <c r="B578" i="13"/>
  <c r="B579" i="13"/>
  <c r="B580" i="13"/>
  <c r="B581" i="13"/>
  <c r="B582" i="13"/>
  <c r="B583" i="13"/>
  <c r="B584" i="13"/>
  <c r="B585" i="13"/>
  <c r="B586" i="13"/>
  <c r="B587" i="13"/>
  <c r="B588" i="13"/>
  <c r="B589" i="13"/>
  <c r="B590" i="13"/>
  <c r="B591" i="13"/>
  <c r="B592" i="13"/>
  <c r="B593" i="13"/>
  <c r="B594" i="13"/>
  <c r="B595" i="13"/>
  <c r="B596" i="13"/>
  <c r="B597" i="13"/>
  <c r="B598" i="13"/>
  <c r="B599" i="13"/>
  <c r="B600" i="13"/>
  <c r="B601" i="13"/>
  <c r="B602" i="13"/>
  <c r="B603" i="13"/>
  <c r="B604" i="13"/>
  <c r="B605" i="13"/>
  <c r="B606" i="13"/>
  <c r="B607" i="13"/>
  <c r="B608" i="13"/>
  <c r="B609" i="13"/>
  <c r="B610" i="13"/>
  <c r="B611" i="13"/>
  <c r="B612" i="13"/>
  <c r="B613" i="13"/>
  <c r="B614" i="13"/>
  <c r="B615" i="13"/>
  <c r="B616" i="13"/>
  <c r="B617" i="13"/>
  <c r="B618" i="13"/>
  <c r="B619" i="13"/>
  <c r="B620" i="13"/>
  <c r="B621" i="13"/>
  <c r="B622" i="13"/>
  <c r="B623" i="13"/>
  <c r="B624" i="13"/>
  <c r="B625" i="13"/>
  <c r="B626" i="13"/>
  <c r="B627" i="13"/>
  <c r="B628" i="13"/>
  <c r="B629" i="13"/>
  <c r="B630" i="13"/>
  <c r="B631" i="13"/>
  <c r="B632" i="13"/>
  <c r="B633" i="13"/>
  <c r="B634" i="13"/>
  <c r="B635" i="13"/>
  <c r="B636" i="13"/>
  <c r="B637" i="13"/>
  <c r="B638" i="13"/>
  <c r="B639" i="13"/>
  <c r="B640" i="13"/>
  <c r="B641" i="13"/>
  <c r="B642" i="13"/>
  <c r="B643" i="13"/>
  <c r="B644" i="13"/>
  <c r="B645" i="13"/>
  <c r="B646" i="13"/>
  <c r="B647" i="13"/>
  <c r="B648" i="13"/>
  <c r="B649" i="13"/>
  <c r="B650" i="13"/>
  <c r="B651" i="13"/>
  <c r="B652" i="13"/>
  <c r="B653" i="13"/>
  <c r="B654" i="13"/>
  <c r="B655" i="13"/>
  <c r="B656" i="13"/>
  <c r="B657" i="13"/>
  <c r="B658" i="13"/>
  <c r="B659" i="13"/>
  <c r="B660" i="13"/>
  <c r="B661" i="13"/>
  <c r="B662" i="13"/>
  <c r="B663" i="13"/>
  <c r="B664" i="13"/>
  <c r="B665" i="13"/>
  <c r="B666" i="13"/>
  <c r="B667" i="13"/>
  <c r="B668" i="13"/>
  <c r="B669" i="13"/>
  <c r="B670" i="13"/>
  <c r="B671" i="13"/>
  <c r="B672" i="13"/>
  <c r="B673" i="13"/>
  <c r="B674" i="13"/>
  <c r="B675" i="13"/>
  <c r="B676" i="13"/>
  <c r="B677" i="13"/>
  <c r="B678" i="13"/>
  <c r="B679" i="13"/>
  <c r="B680" i="13"/>
  <c r="B681" i="13"/>
  <c r="B682" i="13"/>
  <c r="B683" i="13"/>
  <c r="B684" i="13"/>
  <c r="B685" i="13"/>
  <c r="B686" i="13"/>
  <c r="B687" i="13"/>
  <c r="B688" i="13"/>
  <c r="B689" i="13"/>
  <c r="B690" i="13"/>
  <c r="B691" i="13"/>
  <c r="B692" i="13"/>
  <c r="B693" i="13"/>
  <c r="B694" i="13"/>
  <c r="B695" i="13"/>
  <c r="B696" i="13"/>
  <c r="B697" i="13"/>
  <c r="B698" i="13"/>
  <c r="B699" i="13"/>
  <c r="B700" i="13"/>
  <c r="B701" i="13"/>
  <c r="B702" i="13"/>
  <c r="B703" i="13"/>
  <c r="B704" i="13"/>
  <c r="B705" i="13"/>
  <c r="B706" i="13"/>
  <c r="B707" i="13"/>
  <c r="B708" i="13"/>
  <c r="B709" i="13"/>
  <c r="B710" i="13"/>
  <c r="B711" i="13"/>
  <c r="B712" i="13"/>
  <c r="B713" i="13"/>
  <c r="B714" i="13"/>
  <c r="B715" i="13"/>
  <c r="B716" i="13"/>
  <c r="B717" i="13"/>
  <c r="B718" i="13"/>
  <c r="B719" i="13"/>
  <c r="B720" i="13"/>
  <c r="B721" i="13"/>
  <c r="B722" i="13"/>
  <c r="B723" i="13"/>
  <c r="B724" i="13"/>
  <c r="B725" i="13"/>
  <c r="B726" i="13"/>
  <c r="B727" i="13"/>
  <c r="B728" i="13"/>
  <c r="B729" i="13"/>
  <c r="B730" i="13"/>
  <c r="B731" i="13"/>
  <c r="B732" i="13"/>
  <c r="B733" i="13"/>
  <c r="B734" i="13"/>
  <c r="B735" i="13"/>
  <c r="B736" i="13"/>
  <c r="B737" i="13"/>
  <c r="B738" i="13"/>
  <c r="B739" i="13"/>
  <c r="B740" i="13"/>
  <c r="B741" i="13"/>
  <c r="B742" i="13"/>
  <c r="B743" i="13"/>
  <c r="B744" i="13"/>
  <c r="B745" i="13"/>
  <c r="B746" i="13"/>
  <c r="B747" i="13"/>
  <c r="B748" i="13"/>
  <c r="B749" i="13"/>
  <c r="B750" i="13"/>
  <c r="B751" i="13"/>
  <c r="B752" i="13"/>
  <c r="B753" i="13"/>
  <c r="B754" i="13"/>
  <c r="B755" i="13"/>
  <c r="B756" i="13"/>
  <c r="B757" i="13"/>
  <c r="B758" i="13"/>
  <c r="B759" i="13"/>
  <c r="B427" i="13"/>
  <c r="B428" i="13"/>
  <c r="B429" i="13"/>
  <c r="B430" i="13"/>
  <c r="B431" i="13"/>
  <c r="B432" i="13"/>
  <c r="B433" i="13"/>
  <c r="B434" i="13"/>
  <c r="B435" i="13"/>
  <c r="B436" i="13"/>
  <c r="B437" i="13"/>
  <c r="B438" i="13"/>
  <c r="B439" i="13"/>
  <c r="B440" i="13"/>
  <c r="B441" i="13"/>
  <c r="B442" i="13"/>
  <c r="B443" i="13"/>
  <c r="B444" i="13"/>
  <c r="B445" i="13"/>
  <c r="B446" i="13"/>
  <c r="B447" i="13"/>
  <c r="B448" i="13"/>
  <c r="B449" i="13"/>
  <c r="B450" i="13"/>
  <c r="B451" i="13"/>
  <c r="B452" i="13"/>
  <c r="B453" i="13"/>
  <c r="B454" i="13"/>
  <c r="B455" i="13"/>
  <c r="B456" i="13"/>
  <c r="B457" i="13"/>
  <c r="B458" i="13"/>
  <c r="B459" i="13"/>
  <c r="B460" i="13"/>
  <c r="B461" i="13"/>
  <c r="B462" i="13"/>
  <c r="B463" i="13"/>
  <c r="B464" i="13"/>
  <c r="B465" i="13"/>
  <c r="B466" i="13"/>
  <c r="B467" i="13"/>
  <c r="B468" i="13"/>
  <c r="B469" i="13"/>
  <c r="B470" i="13"/>
  <c r="B471" i="13"/>
  <c r="B472" i="13"/>
  <c r="B473" i="13"/>
  <c r="B474" i="13"/>
  <c r="B475" i="13"/>
  <c r="B476" i="13"/>
  <c r="B477" i="13"/>
  <c r="B478" i="13"/>
  <c r="B479" i="13"/>
  <c r="B480" i="13"/>
  <c r="B481" i="13"/>
  <c r="B482" i="13"/>
  <c r="B483" i="13"/>
  <c r="B484" i="13"/>
  <c r="B485" i="13"/>
  <c r="B486" i="13"/>
  <c r="B487" i="13"/>
  <c r="B488" i="13"/>
  <c r="B489" i="13"/>
  <c r="B490" i="13"/>
  <c r="B491" i="13"/>
  <c r="B492" i="13"/>
  <c r="B493" i="13"/>
  <c r="B494" i="13"/>
  <c r="B495" i="13"/>
  <c r="B496" i="13"/>
  <c r="B497" i="13"/>
  <c r="B498" i="13"/>
  <c r="B499" i="13"/>
  <c r="B500" i="13"/>
  <c r="B501" i="13"/>
  <c r="B502" i="13"/>
  <c r="B503" i="13"/>
  <c r="B504" i="13"/>
  <c r="B505" i="13"/>
  <c r="B506" i="13"/>
  <c r="B507" i="13"/>
  <c r="B508" i="13"/>
  <c r="B509" i="13"/>
  <c r="B510" i="13"/>
  <c r="B511" i="13"/>
  <c r="B512" i="13"/>
  <c r="B513" i="13"/>
  <c r="B514" i="13"/>
  <c r="B515" i="13"/>
  <c r="B516" i="13"/>
  <c r="B517" i="13"/>
  <c r="B518" i="13"/>
  <c r="B519" i="13"/>
  <c r="B520" i="13"/>
  <c r="B521" i="13"/>
  <c r="B522" i="13"/>
  <c r="B523" i="13"/>
  <c r="B524" i="13"/>
  <c r="B525" i="13"/>
  <c r="B526" i="13"/>
  <c r="B527" i="13"/>
  <c r="B528" i="13"/>
  <c r="B529" i="13"/>
  <c r="B530" i="13"/>
  <c r="B531" i="13"/>
  <c r="B405" i="13"/>
  <c r="B406" i="13"/>
  <c r="B407" i="13"/>
  <c r="B408" i="13"/>
  <c r="B409" i="13"/>
  <c r="B410" i="13"/>
  <c r="B411" i="13"/>
  <c r="B412" i="13"/>
  <c r="B413" i="13"/>
  <c r="B414" i="13"/>
  <c r="B415" i="13"/>
  <c r="B416" i="13"/>
  <c r="B417" i="13"/>
  <c r="B418" i="13"/>
  <c r="B419" i="13"/>
  <c r="B420" i="13"/>
  <c r="B421" i="13"/>
  <c r="B422" i="13"/>
  <c r="B423" i="13"/>
  <c r="B425" i="13"/>
  <c r="B426" i="13"/>
  <c r="B195" i="13"/>
  <c r="B196" i="13"/>
  <c r="B197" i="13"/>
  <c r="B198" i="13"/>
  <c r="B199" i="13"/>
  <c r="B200" i="13"/>
  <c r="B201" i="13"/>
  <c r="B202" i="13"/>
  <c r="B203" i="13"/>
  <c r="B204" i="13"/>
  <c r="B205" i="13"/>
  <c r="B206" i="13"/>
  <c r="B207" i="13"/>
  <c r="B208" i="13"/>
  <c r="B209" i="13"/>
  <c r="B210" i="13"/>
  <c r="B211" i="13"/>
  <c r="B212" i="13"/>
  <c r="B213" i="13"/>
  <c r="B214" i="13"/>
  <c r="B215" i="13"/>
  <c r="B216" i="13"/>
  <c r="B217" i="13"/>
  <c r="B218" i="13"/>
  <c r="B219" i="13"/>
  <c r="B220" i="13"/>
  <c r="B221" i="13"/>
  <c r="B222" i="13"/>
  <c r="B223" i="13"/>
  <c r="B224" i="13"/>
  <c r="B225" i="13"/>
  <c r="B226" i="13"/>
  <c r="B227" i="13"/>
  <c r="B228" i="13"/>
  <c r="B229" i="13"/>
  <c r="B230" i="13"/>
  <c r="B231" i="13"/>
  <c r="B232" i="13"/>
  <c r="B233" i="13"/>
  <c r="B234" i="13"/>
  <c r="B235" i="13"/>
  <c r="B236" i="13"/>
  <c r="B237" i="13"/>
  <c r="B238" i="13"/>
  <c r="B239" i="13"/>
  <c r="B240" i="13"/>
  <c r="B241" i="13"/>
  <c r="B242" i="13"/>
  <c r="B243" i="13"/>
  <c r="B244" i="13"/>
  <c r="B245" i="13"/>
  <c r="B246" i="13"/>
  <c r="B247" i="13"/>
  <c r="B248" i="13"/>
  <c r="B249" i="13"/>
  <c r="B250" i="13"/>
  <c r="B251" i="13"/>
  <c r="B252" i="13"/>
  <c r="B253" i="13"/>
  <c r="B254" i="13"/>
  <c r="B255" i="13"/>
  <c r="B256" i="13"/>
  <c r="B257" i="13"/>
  <c r="B258" i="13"/>
  <c r="B259" i="13"/>
  <c r="B260" i="13"/>
  <c r="B261" i="13"/>
  <c r="B262" i="13"/>
  <c r="B263" i="13"/>
  <c r="B264" i="13"/>
  <c r="B265" i="13"/>
  <c r="B266" i="13"/>
  <c r="B267" i="13"/>
  <c r="B268" i="13"/>
  <c r="B269" i="13"/>
  <c r="B270" i="13"/>
  <c r="B271" i="13"/>
  <c r="B272" i="13"/>
  <c r="B273" i="13"/>
  <c r="B274" i="13"/>
  <c r="B275" i="13"/>
  <c r="B276" i="13"/>
  <c r="B277" i="13"/>
  <c r="B278" i="13"/>
  <c r="B279" i="13"/>
  <c r="B280" i="13"/>
  <c r="B281" i="13"/>
  <c r="B282" i="13"/>
  <c r="B283" i="13"/>
  <c r="B284" i="13"/>
  <c r="B285" i="13"/>
  <c r="B286" i="13"/>
  <c r="B287" i="13"/>
  <c r="B288" i="13"/>
  <c r="B289" i="13"/>
  <c r="B290" i="13"/>
  <c r="B291" i="13"/>
  <c r="B292" i="13"/>
  <c r="B293" i="13"/>
  <c r="B294" i="13"/>
  <c r="B295" i="13"/>
  <c r="B296" i="13"/>
  <c r="B297" i="13"/>
  <c r="B298" i="13"/>
  <c r="B299" i="13"/>
  <c r="B300" i="13"/>
  <c r="B301" i="13"/>
  <c r="B302" i="13"/>
  <c r="B303" i="13"/>
  <c r="B304" i="13"/>
  <c r="B305" i="13"/>
  <c r="B306" i="13"/>
  <c r="B307" i="13"/>
  <c r="B308" i="13"/>
  <c r="B309" i="13"/>
  <c r="B310" i="13"/>
  <c r="B311" i="13"/>
  <c r="B312" i="13"/>
  <c r="B313" i="13"/>
  <c r="B314" i="13"/>
  <c r="B315" i="13"/>
  <c r="B316" i="13"/>
  <c r="B317" i="13"/>
  <c r="B318" i="13"/>
  <c r="B319" i="13"/>
  <c r="B320" i="13"/>
  <c r="B321" i="13"/>
  <c r="B322" i="13"/>
  <c r="B323" i="13"/>
  <c r="B324" i="13"/>
  <c r="B325" i="13"/>
  <c r="B326" i="13"/>
  <c r="B327" i="13"/>
  <c r="B328" i="13"/>
  <c r="B329" i="13"/>
  <c r="B330" i="13"/>
  <c r="B331" i="13"/>
  <c r="B332" i="13"/>
  <c r="B333" i="13"/>
  <c r="B334" i="13"/>
  <c r="B335" i="13"/>
  <c r="B336" i="13"/>
  <c r="B337" i="13"/>
  <c r="B338" i="13"/>
  <c r="B339" i="13"/>
  <c r="B340" i="13"/>
  <c r="B341" i="13"/>
  <c r="B342" i="13"/>
  <c r="B343" i="13"/>
  <c r="B344" i="13"/>
  <c r="B345" i="13"/>
  <c r="B346" i="13"/>
  <c r="B347" i="13"/>
  <c r="B348" i="13"/>
  <c r="B349" i="13"/>
  <c r="B350" i="13"/>
  <c r="B351" i="13"/>
  <c r="B352" i="13"/>
  <c r="B353" i="13"/>
  <c r="B354" i="13"/>
  <c r="B355" i="13"/>
  <c r="B356" i="13"/>
  <c r="B357" i="13"/>
  <c r="B358" i="13"/>
  <c r="B359" i="13"/>
  <c r="B360" i="13"/>
  <c r="B361" i="13"/>
  <c r="B362" i="13"/>
  <c r="B363" i="13"/>
  <c r="B364" i="13"/>
  <c r="B365" i="13"/>
  <c r="B366" i="13"/>
  <c r="B367" i="13"/>
  <c r="B368" i="13"/>
  <c r="B369" i="13"/>
  <c r="B370" i="13"/>
  <c r="B371" i="13"/>
  <c r="B372" i="13"/>
  <c r="B373" i="13"/>
  <c r="B374" i="13"/>
  <c r="B375" i="13"/>
  <c r="B376" i="13"/>
  <c r="B377" i="13"/>
  <c r="B378" i="13"/>
  <c r="B379" i="13"/>
  <c r="B380" i="13"/>
  <c r="B381" i="13"/>
  <c r="B382" i="13"/>
  <c r="B383" i="13"/>
  <c r="B384" i="13"/>
  <c r="B385" i="13"/>
  <c r="B386" i="13"/>
  <c r="B387" i="13"/>
  <c r="B388" i="13"/>
  <c r="B389" i="13"/>
  <c r="B390" i="13"/>
  <c r="B391" i="13"/>
  <c r="B392" i="13"/>
  <c r="B393" i="13"/>
  <c r="B394" i="13"/>
  <c r="B395" i="13"/>
  <c r="B396" i="13"/>
  <c r="B397" i="13"/>
  <c r="B398" i="13"/>
  <c r="B399" i="13"/>
  <c r="B400" i="13"/>
  <c r="B401" i="13"/>
  <c r="B402" i="13"/>
  <c r="B403" i="13"/>
  <c r="B404" i="13"/>
  <c r="B191" i="13"/>
  <c r="B192" i="13"/>
  <c r="B193" i="13"/>
  <c r="B194" i="13"/>
  <c r="C761" i="13"/>
  <c r="C762" i="13"/>
  <c r="C763" i="13"/>
  <c r="C764" i="13"/>
  <c r="C765" i="13"/>
  <c r="C766" i="13"/>
  <c r="C767" i="13"/>
  <c r="C768" i="13"/>
  <c r="C769" i="13"/>
  <c r="C770" i="13"/>
  <c r="C771" i="13"/>
  <c r="C772" i="13"/>
  <c r="C773" i="13"/>
  <c r="C774" i="13"/>
  <c r="C775" i="13"/>
  <c r="C776" i="13"/>
  <c r="C777" i="13"/>
  <c r="C778" i="13"/>
  <c r="C779" i="13"/>
  <c r="C780" i="13"/>
  <c r="C781" i="13"/>
  <c r="C782" i="13"/>
  <c r="C783" i="13"/>
  <c r="C784" i="13"/>
  <c r="C785" i="13"/>
  <c r="C786" i="13"/>
  <c r="C787" i="13"/>
  <c r="C788" i="13"/>
  <c r="C789" i="13"/>
  <c r="C790" i="13"/>
  <c r="C791" i="13"/>
  <c r="C792" i="13"/>
  <c r="C793" i="13"/>
  <c r="C794" i="13"/>
  <c r="C795" i="13"/>
  <c r="C796" i="13"/>
  <c r="C797" i="13"/>
  <c r="C798" i="13"/>
  <c r="C799" i="13"/>
  <c r="C800" i="13"/>
  <c r="C801" i="13"/>
  <c r="C802" i="13"/>
  <c r="C803" i="13"/>
  <c r="C804" i="13"/>
  <c r="C805" i="13"/>
  <c r="C806" i="13"/>
  <c r="C807" i="13"/>
  <c r="C808" i="13"/>
  <c r="C809" i="13"/>
  <c r="C810" i="13"/>
  <c r="C811" i="13"/>
  <c r="C812" i="13"/>
  <c r="C813" i="13"/>
  <c r="C814" i="13"/>
  <c r="C815" i="13"/>
  <c r="C816" i="13"/>
  <c r="C817" i="13"/>
  <c r="C818" i="13"/>
  <c r="C819" i="13"/>
  <c r="C820" i="13"/>
  <c r="C821" i="13"/>
  <c r="C822" i="13"/>
  <c r="C823" i="13"/>
  <c r="C824" i="13"/>
  <c r="C825" i="13"/>
  <c r="C826" i="13"/>
  <c r="C827" i="13"/>
  <c r="C828" i="13"/>
  <c r="C829" i="13"/>
  <c r="C830" i="13"/>
  <c r="C831" i="13"/>
  <c r="C832" i="13"/>
  <c r="C833" i="13"/>
  <c r="C834" i="13"/>
  <c r="C835" i="13"/>
  <c r="C836" i="13"/>
  <c r="C837" i="13"/>
  <c r="C838" i="13"/>
  <c r="C839" i="13"/>
  <c r="C840" i="13"/>
  <c r="C841" i="13"/>
  <c r="C842" i="13"/>
  <c r="C843" i="13"/>
  <c r="C844" i="13"/>
  <c r="C845" i="13"/>
  <c r="C846" i="13"/>
  <c r="C847" i="13"/>
  <c r="C848" i="13"/>
  <c r="C849" i="13"/>
  <c r="C850" i="13"/>
  <c r="C851" i="13"/>
  <c r="C852" i="13"/>
  <c r="C853" i="13"/>
  <c r="C854" i="13"/>
  <c r="C855" i="13"/>
  <c r="C856" i="13"/>
  <c r="C857" i="13"/>
  <c r="C858" i="13"/>
  <c r="C859" i="13"/>
  <c r="C860" i="13"/>
  <c r="C861" i="13"/>
  <c r="C862" i="13"/>
  <c r="C863" i="13"/>
  <c r="C864" i="13"/>
  <c r="C865" i="13"/>
  <c r="C866" i="13"/>
  <c r="C867" i="13"/>
  <c r="C868" i="13"/>
  <c r="C869" i="13"/>
  <c r="C870" i="13"/>
  <c r="C871" i="13"/>
  <c r="C872" i="13"/>
  <c r="C873" i="13"/>
  <c r="C874" i="13"/>
  <c r="C875" i="13"/>
  <c r="C876" i="13"/>
  <c r="C877" i="13"/>
  <c r="C878" i="13"/>
  <c r="C879" i="13"/>
  <c r="C880" i="13"/>
  <c r="C881" i="13"/>
  <c r="D761" i="13"/>
  <c r="D762" i="13"/>
  <c r="D763" i="13"/>
  <c r="D764" i="13"/>
  <c r="D765" i="13"/>
  <c r="D766" i="13"/>
  <c r="D767" i="13"/>
  <c r="D768" i="13"/>
  <c r="D769" i="13"/>
  <c r="D770" i="13"/>
  <c r="D771" i="13"/>
  <c r="D772" i="13"/>
  <c r="D773" i="13"/>
  <c r="D774" i="13"/>
  <c r="D775" i="13"/>
  <c r="D776" i="13"/>
  <c r="D777" i="13"/>
  <c r="D778" i="13"/>
  <c r="D779" i="13"/>
  <c r="D780" i="13"/>
  <c r="D781" i="13"/>
  <c r="D782" i="13"/>
  <c r="D783" i="13"/>
  <c r="D784" i="13"/>
  <c r="D785" i="13"/>
  <c r="D786" i="13"/>
  <c r="D787" i="13"/>
  <c r="D788" i="13"/>
  <c r="D789" i="13"/>
  <c r="D790" i="13"/>
  <c r="D791" i="13"/>
  <c r="D792" i="13"/>
  <c r="D793" i="13"/>
  <c r="D794" i="13"/>
  <c r="D795" i="13"/>
  <c r="D796" i="13"/>
  <c r="D797" i="13"/>
  <c r="D798" i="13"/>
  <c r="D799" i="13"/>
  <c r="D800" i="13"/>
  <c r="D801" i="13"/>
  <c r="D802" i="13"/>
  <c r="D803" i="13"/>
  <c r="D804" i="13"/>
  <c r="D805" i="13"/>
  <c r="D806" i="13"/>
  <c r="D807" i="13"/>
  <c r="D808" i="13"/>
  <c r="D809" i="13"/>
  <c r="D810" i="13"/>
  <c r="D811" i="13"/>
  <c r="D812" i="13"/>
  <c r="D813" i="13"/>
  <c r="D814" i="13"/>
  <c r="D815" i="13"/>
  <c r="D816" i="13"/>
  <c r="D817" i="13"/>
  <c r="D818" i="13"/>
  <c r="D819" i="13"/>
  <c r="D820" i="13"/>
  <c r="D821" i="13"/>
  <c r="D822" i="13"/>
  <c r="D823" i="13"/>
  <c r="D824" i="13"/>
  <c r="D825" i="13"/>
  <c r="D826" i="13"/>
  <c r="D827" i="13"/>
  <c r="D828" i="13"/>
  <c r="D829" i="13"/>
  <c r="D830" i="13"/>
  <c r="D831" i="13"/>
  <c r="D832" i="13"/>
  <c r="D833" i="13"/>
  <c r="D834" i="13"/>
  <c r="D835" i="13"/>
  <c r="D836" i="13"/>
  <c r="D837" i="13"/>
  <c r="D838" i="13"/>
  <c r="D839" i="13"/>
  <c r="D840" i="13"/>
  <c r="D841" i="13"/>
  <c r="D842" i="13"/>
  <c r="D843" i="13"/>
  <c r="D844" i="13"/>
  <c r="D845" i="13"/>
  <c r="D846" i="13"/>
  <c r="D847" i="13"/>
  <c r="D848" i="13"/>
  <c r="D849" i="13"/>
  <c r="D850" i="13"/>
  <c r="D851" i="13"/>
  <c r="D852" i="13"/>
  <c r="D853" i="13"/>
  <c r="D854" i="13"/>
  <c r="D855" i="13"/>
  <c r="D856" i="13"/>
  <c r="D857" i="13"/>
  <c r="D858" i="13"/>
  <c r="D859" i="13"/>
  <c r="D860" i="13"/>
  <c r="D861" i="13"/>
  <c r="D862" i="13"/>
  <c r="D863" i="13"/>
  <c r="D864" i="13"/>
  <c r="D865" i="13"/>
  <c r="D866" i="13"/>
  <c r="D867" i="13"/>
  <c r="D868" i="13"/>
  <c r="D869" i="13"/>
  <c r="D870" i="13"/>
  <c r="D871" i="13"/>
  <c r="D872" i="13"/>
  <c r="D873" i="13"/>
  <c r="D874" i="13"/>
  <c r="D875" i="13"/>
  <c r="D876" i="13"/>
  <c r="D877" i="13"/>
  <c r="D878" i="13"/>
  <c r="D879" i="13"/>
  <c r="D880" i="13"/>
  <c r="D881" i="13"/>
  <c r="E761" i="13"/>
  <c r="E762" i="13"/>
  <c r="E763" i="13"/>
  <c r="E764" i="13"/>
  <c r="E765" i="13"/>
  <c r="E766" i="13"/>
  <c r="E767" i="13"/>
  <c r="E768" i="13"/>
  <c r="E769" i="13"/>
  <c r="E770" i="13"/>
  <c r="E771" i="13"/>
  <c r="E772" i="13"/>
  <c r="E773" i="13"/>
  <c r="E774" i="13"/>
  <c r="E775" i="13"/>
  <c r="E776" i="13"/>
  <c r="E777" i="13"/>
  <c r="E778" i="13"/>
  <c r="E779" i="13"/>
  <c r="E780" i="13"/>
  <c r="E781" i="13"/>
  <c r="E782" i="13"/>
  <c r="E783" i="13"/>
  <c r="E784" i="13"/>
  <c r="E785" i="13"/>
  <c r="E786" i="13"/>
  <c r="E787" i="13"/>
  <c r="E788" i="13"/>
  <c r="E789" i="13"/>
  <c r="E790" i="13"/>
  <c r="E791" i="13"/>
  <c r="E792" i="13"/>
  <c r="E793" i="13"/>
  <c r="E794" i="13"/>
  <c r="E795" i="13"/>
  <c r="E796" i="13"/>
  <c r="E797" i="13"/>
  <c r="E798" i="13"/>
  <c r="E799" i="13"/>
  <c r="E800" i="13"/>
  <c r="E801" i="13"/>
  <c r="E802" i="13"/>
  <c r="E803" i="13"/>
  <c r="E804" i="13"/>
  <c r="E805" i="13"/>
  <c r="E806" i="13"/>
  <c r="E807" i="13"/>
  <c r="E808" i="13"/>
  <c r="E809" i="13"/>
  <c r="E810" i="13"/>
  <c r="E811" i="13"/>
  <c r="E812" i="13"/>
  <c r="E813" i="13"/>
  <c r="E814" i="13"/>
  <c r="E815" i="13"/>
  <c r="E816" i="13"/>
  <c r="E817" i="13"/>
  <c r="E818" i="13"/>
  <c r="E819" i="13"/>
  <c r="E820" i="13"/>
  <c r="E821" i="13"/>
  <c r="E822" i="13"/>
  <c r="E823" i="13"/>
  <c r="E824" i="13"/>
  <c r="E825" i="13"/>
  <c r="E826" i="13"/>
  <c r="E827" i="13"/>
  <c r="E828" i="13"/>
  <c r="E829" i="13"/>
  <c r="E830" i="13"/>
  <c r="E831" i="13"/>
  <c r="E832" i="13"/>
  <c r="E833" i="13"/>
  <c r="E834" i="13"/>
  <c r="E835" i="13"/>
  <c r="E836" i="13"/>
  <c r="E837" i="13"/>
  <c r="E838" i="13"/>
  <c r="E839" i="13"/>
  <c r="E840" i="13"/>
  <c r="E841" i="13"/>
  <c r="E842" i="13"/>
  <c r="E843" i="13"/>
  <c r="E844" i="13"/>
  <c r="E845" i="13"/>
  <c r="E846" i="13"/>
  <c r="E847" i="13"/>
  <c r="E848" i="13"/>
  <c r="E849" i="13"/>
  <c r="E850" i="13"/>
  <c r="E851" i="13"/>
  <c r="E852" i="13"/>
  <c r="E853" i="13"/>
  <c r="E854" i="13"/>
  <c r="E855" i="13"/>
  <c r="E856" i="13"/>
  <c r="E857" i="13"/>
  <c r="E858" i="13"/>
  <c r="E859" i="13"/>
  <c r="E860" i="13"/>
  <c r="E861" i="13"/>
  <c r="E862" i="13"/>
  <c r="E863" i="13"/>
  <c r="E864" i="13"/>
  <c r="E865" i="13"/>
  <c r="E866" i="13"/>
  <c r="E867" i="13"/>
  <c r="E868" i="13"/>
  <c r="E869" i="13"/>
  <c r="E870" i="13"/>
  <c r="E871" i="13"/>
  <c r="E872" i="13"/>
  <c r="E873" i="13"/>
  <c r="E874" i="13"/>
  <c r="E875" i="13"/>
  <c r="E876" i="13"/>
  <c r="E877" i="13"/>
  <c r="E878" i="13"/>
  <c r="E879" i="13"/>
  <c r="E880" i="13"/>
  <c r="E881" i="13"/>
  <c r="C760" i="13"/>
  <c r="D760" i="13"/>
  <c r="E760" i="13"/>
  <c r="C533" i="13"/>
  <c r="C534" i="13"/>
  <c r="C535" i="13"/>
  <c r="C536" i="13"/>
  <c r="C537" i="13"/>
  <c r="C538" i="13"/>
  <c r="C539" i="13"/>
  <c r="C540" i="13"/>
  <c r="C541" i="13"/>
  <c r="C542" i="13"/>
  <c r="C543" i="13"/>
  <c r="C544" i="13"/>
  <c r="C545" i="13"/>
  <c r="C546" i="13"/>
  <c r="C547" i="13"/>
  <c r="C548" i="13"/>
  <c r="C549" i="13"/>
  <c r="C550" i="13"/>
  <c r="C551" i="13"/>
  <c r="C552" i="13"/>
  <c r="C553" i="13"/>
  <c r="C554" i="13"/>
  <c r="C555" i="13"/>
  <c r="C556" i="13"/>
  <c r="C557" i="13"/>
  <c r="C558" i="13"/>
  <c r="C559" i="13"/>
  <c r="C560" i="13"/>
  <c r="C561" i="13"/>
  <c r="C562" i="13"/>
  <c r="C563" i="13"/>
  <c r="C564" i="13"/>
  <c r="C565" i="13"/>
  <c r="C566" i="13"/>
  <c r="C567" i="13"/>
  <c r="C568" i="13"/>
  <c r="C569" i="13"/>
  <c r="C570" i="13"/>
  <c r="C571" i="13"/>
  <c r="C572" i="13"/>
  <c r="C573" i="13"/>
  <c r="C574" i="13"/>
  <c r="C575" i="13"/>
  <c r="C576" i="13"/>
  <c r="C577" i="13"/>
  <c r="C578" i="13"/>
  <c r="C579" i="13"/>
  <c r="C580" i="13"/>
  <c r="C581" i="13"/>
  <c r="C582" i="13"/>
  <c r="C583" i="13"/>
  <c r="C584" i="13"/>
  <c r="C585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C606" i="13"/>
  <c r="C607" i="13"/>
  <c r="C608" i="13"/>
  <c r="C609" i="13"/>
  <c r="C610" i="13"/>
  <c r="C611" i="13"/>
  <c r="C612" i="13"/>
  <c r="C613" i="13"/>
  <c r="C614" i="13"/>
  <c r="C615" i="13"/>
  <c r="C616" i="13"/>
  <c r="C617" i="13"/>
  <c r="C618" i="13"/>
  <c r="C619" i="13"/>
  <c r="C620" i="13"/>
  <c r="C621" i="13"/>
  <c r="C622" i="13"/>
  <c r="C623" i="13"/>
  <c r="C624" i="13"/>
  <c r="C625" i="13"/>
  <c r="C626" i="13"/>
  <c r="C627" i="13"/>
  <c r="C628" i="13"/>
  <c r="C629" i="13"/>
  <c r="C630" i="13"/>
  <c r="C631" i="13"/>
  <c r="C632" i="13"/>
  <c r="C633" i="13"/>
  <c r="C634" i="13"/>
  <c r="C635" i="13"/>
  <c r="C636" i="13"/>
  <c r="C637" i="13"/>
  <c r="C638" i="13"/>
  <c r="C639" i="13"/>
  <c r="C640" i="13"/>
  <c r="C641" i="13"/>
  <c r="C642" i="13"/>
  <c r="C643" i="13"/>
  <c r="C644" i="13"/>
  <c r="C645" i="13"/>
  <c r="C646" i="13"/>
  <c r="C647" i="13"/>
  <c r="C648" i="13"/>
  <c r="C649" i="13"/>
  <c r="C650" i="13"/>
  <c r="C651" i="13"/>
  <c r="C652" i="13"/>
  <c r="C653" i="13"/>
  <c r="C654" i="13"/>
  <c r="C655" i="13"/>
  <c r="C656" i="13"/>
  <c r="C657" i="13"/>
  <c r="C658" i="13"/>
  <c r="C659" i="13"/>
  <c r="C660" i="13"/>
  <c r="C661" i="13"/>
  <c r="C662" i="13"/>
  <c r="C663" i="13"/>
  <c r="C664" i="13"/>
  <c r="C665" i="13"/>
  <c r="C666" i="13"/>
  <c r="C667" i="13"/>
  <c r="C668" i="13"/>
  <c r="C669" i="13"/>
  <c r="C670" i="13"/>
  <c r="C671" i="13"/>
  <c r="C672" i="13"/>
  <c r="C673" i="13"/>
  <c r="C674" i="13"/>
  <c r="C675" i="13"/>
  <c r="C676" i="13"/>
  <c r="C677" i="13"/>
  <c r="C678" i="13"/>
  <c r="C679" i="13"/>
  <c r="C680" i="13"/>
  <c r="C681" i="13"/>
  <c r="C682" i="13"/>
  <c r="C683" i="13"/>
  <c r="C684" i="13"/>
  <c r="C685" i="13"/>
  <c r="C686" i="13"/>
  <c r="C687" i="13"/>
  <c r="C688" i="13"/>
  <c r="C689" i="13"/>
  <c r="C690" i="13"/>
  <c r="C691" i="13"/>
  <c r="C692" i="13"/>
  <c r="C693" i="13"/>
  <c r="C694" i="13"/>
  <c r="C695" i="13"/>
  <c r="C696" i="13"/>
  <c r="C697" i="13"/>
  <c r="C698" i="13"/>
  <c r="C699" i="13"/>
  <c r="C700" i="13"/>
  <c r="C701" i="13"/>
  <c r="C702" i="13"/>
  <c r="C703" i="13"/>
  <c r="C704" i="13"/>
  <c r="C705" i="13"/>
  <c r="C706" i="13"/>
  <c r="C707" i="13"/>
  <c r="C708" i="13"/>
  <c r="C709" i="13"/>
  <c r="C710" i="13"/>
  <c r="C711" i="13"/>
  <c r="C712" i="13"/>
  <c r="C713" i="13"/>
  <c r="C714" i="13"/>
  <c r="C715" i="13"/>
  <c r="C716" i="13"/>
  <c r="C717" i="13"/>
  <c r="C718" i="13"/>
  <c r="C719" i="13"/>
  <c r="C720" i="13"/>
  <c r="C721" i="13"/>
  <c r="C722" i="13"/>
  <c r="C723" i="13"/>
  <c r="C724" i="13"/>
  <c r="C725" i="13"/>
  <c r="C726" i="13"/>
  <c r="C727" i="13"/>
  <c r="C728" i="13"/>
  <c r="C729" i="13"/>
  <c r="C730" i="13"/>
  <c r="C731" i="13"/>
  <c r="C732" i="13"/>
  <c r="C733" i="13"/>
  <c r="C734" i="13"/>
  <c r="C735" i="13"/>
  <c r="C736" i="13"/>
  <c r="C737" i="13"/>
  <c r="C738" i="13"/>
  <c r="C739" i="13"/>
  <c r="C740" i="13"/>
  <c r="C741" i="13"/>
  <c r="C742" i="13"/>
  <c r="C743" i="13"/>
  <c r="C744" i="13"/>
  <c r="C745" i="13"/>
  <c r="C746" i="13"/>
  <c r="C747" i="13"/>
  <c r="C748" i="13"/>
  <c r="C749" i="13"/>
  <c r="C750" i="13"/>
  <c r="C751" i="13"/>
  <c r="C752" i="13"/>
  <c r="C753" i="13"/>
  <c r="C754" i="13"/>
  <c r="C755" i="13"/>
  <c r="C756" i="13"/>
  <c r="C757" i="13"/>
  <c r="C758" i="13"/>
  <c r="C759" i="13"/>
  <c r="D533" i="13"/>
  <c r="D534" i="13"/>
  <c r="D535" i="13"/>
  <c r="D536" i="13"/>
  <c r="D537" i="13"/>
  <c r="D538" i="13"/>
  <c r="D539" i="13"/>
  <c r="D540" i="13"/>
  <c r="D541" i="13"/>
  <c r="D542" i="13"/>
  <c r="D543" i="13"/>
  <c r="D544" i="13"/>
  <c r="D545" i="13"/>
  <c r="D546" i="13"/>
  <c r="D547" i="13"/>
  <c r="D548" i="13"/>
  <c r="D549" i="13"/>
  <c r="D550" i="13"/>
  <c r="D551" i="13"/>
  <c r="D552" i="13"/>
  <c r="D553" i="13"/>
  <c r="D554" i="13"/>
  <c r="D555" i="13"/>
  <c r="D556" i="13"/>
  <c r="D557" i="13"/>
  <c r="D558" i="13"/>
  <c r="D559" i="13"/>
  <c r="D560" i="13"/>
  <c r="D561" i="13"/>
  <c r="D562" i="13"/>
  <c r="D563" i="13"/>
  <c r="D564" i="13"/>
  <c r="D565" i="13"/>
  <c r="D566" i="13"/>
  <c r="D567" i="13"/>
  <c r="D568" i="13"/>
  <c r="D569" i="13"/>
  <c r="D570" i="13"/>
  <c r="D571" i="13"/>
  <c r="D572" i="13"/>
  <c r="D573" i="13"/>
  <c r="D574" i="13"/>
  <c r="D575" i="13"/>
  <c r="D576" i="13"/>
  <c r="D577" i="13"/>
  <c r="D578" i="13"/>
  <c r="D579" i="13"/>
  <c r="D580" i="13"/>
  <c r="D581" i="13"/>
  <c r="D582" i="13"/>
  <c r="D583" i="13"/>
  <c r="D584" i="13"/>
  <c r="D58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D606" i="13"/>
  <c r="D607" i="13"/>
  <c r="D608" i="13"/>
  <c r="D609" i="13"/>
  <c r="D610" i="13"/>
  <c r="D611" i="13"/>
  <c r="D612" i="13"/>
  <c r="D613" i="13"/>
  <c r="D614" i="13"/>
  <c r="D615" i="13"/>
  <c r="D616" i="13"/>
  <c r="D617" i="13"/>
  <c r="D618" i="13"/>
  <c r="D619" i="13"/>
  <c r="D620" i="13"/>
  <c r="D621" i="13"/>
  <c r="D622" i="13"/>
  <c r="D623" i="13"/>
  <c r="D624" i="13"/>
  <c r="D625" i="13"/>
  <c r="D626" i="13"/>
  <c r="D627" i="13"/>
  <c r="D628" i="13"/>
  <c r="D629" i="13"/>
  <c r="D630" i="13"/>
  <c r="D631" i="13"/>
  <c r="D632" i="13"/>
  <c r="D633" i="13"/>
  <c r="D634" i="13"/>
  <c r="D635" i="13"/>
  <c r="D636" i="13"/>
  <c r="D637" i="13"/>
  <c r="D638" i="13"/>
  <c r="D639" i="13"/>
  <c r="D640" i="13"/>
  <c r="D641" i="13"/>
  <c r="D642" i="13"/>
  <c r="D643" i="13"/>
  <c r="D644" i="13"/>
  <c r="D645" i="13"/>
  <c r="D646" i="13"/>
  <c r="D647" i="13"/>
  <c r="D648" i="13"/>
  <c r="D649" i="13"/>
  <c r="D650" i="13"/>
  <c r="D651" i="13"/>
  <c r="D652" i="13"/>
  <c r="D653" i="13"/>
  <c r="D654" i="13"/>
  <c r="D655" i="13"/>
  <c r="D656" i="13"/>
  <c r="D657" i="13"/>
  <c r="D658" i="13"/>
  <c r="D659" i="13"/>
  <c r="D660" i="13"/>
  <c r="D661" i="13"/>
  <c r="D662" i="13"/>
  <c r="D663" i="13"/>
  <c r="D664" i="13"/>
  <c r="D665" i="13"/>
  <c r="D666" i="13"/>
  <c r="D667" i="13"/>
  <c r="D668" i="13"/>
  <c r="D669" i="13"/>
  <c r="D670" i="13"/>
  <c r="D671" i="13"/>
  <c r="D672" i="13"/>
  <c r="D673" i="13"/>
  <c r="D674" i="13"/>
  <c r="D675" i="13"/>
  <c r="D676" i="13"/>
  <c r="D677" i="13"/>
  <c r="D678" i="13"/>
  <c r="D679" i="13"/>
  <c r="D680" i="13"/>
  <c r="D681" i="13"/>
  <c r="D682" i="13"/>
  <c r="D683" i="13"/>
  <c r="D684" i="13"/>
  <c r="D685" i="13"/>
  <c r="D686" i="13"/>
  <c r="D687" i="13"/>
  <c r="D688" i="13"/>
  <c r="D689" i="13"/>
  <c r="D690" i="13"/>
  <c r="D691" i="13"/>
  <c r="D692" i="13"/>
  <c r="D693" i="13"/>
  <c r="D694" i="13"/>
  <c r="D695" i="13"/>
  <c r="D696" i="13"/>
  <c r="D697" i="13"/>
  <c r="D698" i="13"/>
  <c r="D699" i="13"/>
  <c r="D700" i="13"/>
  <c r="D701" i="13"/>
  <c r="D702" i="13"/>
  <c r="D703" i="13"/>
  <c r="D704" i="13"/>
  <c r="D705" i="13"/>
  <c r="D706" i="13"/>
  <c r="D707" i="13"/>
  <c r="D708" i="13"/>
  <c r="D709" i="13"/>
  <c r="D710" i="13"/>
  <c r="D711" i="13"/>
  <c r="D712" i="13"/>
  <c r="D713" i="13"/>
  <c r="D714" i="13"/>
  <c r="D715" i="13"/>
  <c r="D716" i="13"/>
  <c r="D717" i="13"/>
  <c r="D718" i="13"/>
  <c r="D719" i="13"/>
  <c r="D720" i="13"/>
  <c r="D721" i="13"/>
  <c r="D722" i="13"/>
  <c r="D723" i="13"/>
  <c r="D724" i="13"/>
  <c r="D725" i="13"/>
  <c r="D726" i="13"/>
  <c r="D727" i="13"/>
  <c r="D728" i="13"/>
  <c r="D729" i="13"/>
  <c r="D730" i="13"/>
  <c r="D731" i="13"/>
  <c r="D732" i="13"/>
  <c r="D733" i="13"/>
  <c r="D734" i="13"/>
  <c r="D735" i="13"/>
  <c r="D736" i="13"/>
  <c r="D737" i="13"/>
  <c r="D738" i="13"/>
  <c r="D739" i="13"/>
  <c r="D740" i="13"/>
  <c r="D741" i="13"/>
  <c r="D742" i="13"/>
  <c r="D743" i="13"/>
  <c r="D744" i="13"/>
  <c r="D745" i="13"/>
  <c r="D746" i="13"/>
  <c r="D747" i="13"/>
  <c r="D748" i="13"/>
  <c r="D749" i="13"/>
  <c r="D750" i="13"/>
  <c r="D751" i="13"/>
  <c r="D752" i="13"/>
  <c r="D753" i="13"/>
  <c r="D754" i="13"/>
  <c r="D755" i="13"/>
  <c r="D756" i="13"/>
  <c r="D757" i="13"/>
  <c r="D758" i="13"/>
  <c r="D759" i="13"/>
  <c r="E533" i="13"/>
  <c r="E534" i="13"/>
  <c r="E535" i="13"/>
  <c r="E536" i="13"/>
  <c r="E537" i="13"/>
  <c r="E538" i="13"/>
  <c r="E539" i="13"/>
  <c r="E540" i="13"/>
  <c r="E541" i="13"/>
  <c r="E542" i="13"/>
  <c r="E543" i="13"/>
  <c r="E544" i="13"/>
  <c r="E545" i="13"/>
  <c r="E546" i="13"/>
  <c r="E547" i="13"/>
  <c r="E548" i="13"/>
  <c r="E549" i="13"/>
  <c r="E550" i="13"/>
  <c r="E551" i="13"/>
  <c r="E552" i="13"/>
  <c r="E553" i="13"/>
  <c r="E554" i="13"/>
  <c r="E555" i="13"/>
  <c r="E556" i="13"/>
  <c r="E557" i="13"/>
  <c r="E558" i="13"/>
  <c r="E559" i="13"/>
  <c r="E560" i="13"/>
  <c r="E561" i="13"/>
  <c r="E562" i="13"/>
  <c r="E563" i="13"/>
  <c r="E564" i="13"/>
  <c r="E565" i="13"/>
  <c r="E566" i="13"/>
  <c r="E567" i="13"/>
  <c r="E568" i="13"/>
  <c r="E569" i="13"/>
  <c r="E570" i="13"/>
  <c r="E571" i="13"/>
  <c r="E572" i="13"/>
  <c r="E573" i="13"/>
  <c r="E574" i="13"/>
  <c r="E575" i="13"/>
  <c r="E576" i="13"/>
  <c r="E577" i="13"/>
  <c r="E578" i="13"/>
  <c r="E579" i="13"/>
  <c r="E580" i="13"/>
  <c r="E581" i="13"/>
  <c r="E582" i="13"/>
  <c r="E583" i="13"/>
  <c r="E584" i="13"/>
  <c r="E58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E606" i="13"/>
  <c r="E607" i="13"/>
  <c r="E608" i="13"/>
  <c r="E609" i="13"/>
  <c r="E610" i="13"/>
  <c r="E611" i="13"/>
  <c r="E612" i="13"/>
  <c r="E613" i="13"/>
  <c r="E614" i="13"/>
  <c r="E615" i="13"/>
  <c r="E616" i="13"/>
  <c r="E617" i="13"/>
  <c r="E618" i="13"/>
  <c r="E619" i="13"/>
  <c r="E620" i="13"/>
  <c r="E621" i="13"/>
  <c r="E622" i="13"/>
  <c r="E623" i="13"/>
  <c r="E624" i="13"/>
  <c r="E625" i="13"/>
  <c r="E626" i="13"/>
  <c r="E627" i="13"/>
  <c r="E628" i="13"/>
  <c r="E629" i="13"/>
  <c r="E630" i="13"/>
  <c r="E631" i="13"/>
  <c r="E632" i="13"/>
  <c r="E633" i="13"/>
  <c r="E634" i="13"/>
  <c r="E635" i="13"/>
  <c r="E636" i="13"/>
  <c r="E637" i="13"/>
  <c r="E638" i="13"/>
  <c r="E639" i="13"/>
  <c r="E640" i="13"/>
  <c r="E641" i="13"/>
  <c r="E642" i="13"/>
  <c r="E643" i="13"/>
  <c r="E644" i="13"/>
  <c r="E645" i="13"/>
  <c r="E646" i="13"/>
  <c r="E647" i="13"/>
  <c r="E648" i="13"/>
  <c r="E649" i="13"/>
  <c r="E650" i="13"/>
  <c r="E651" i="13"/>
  <c r="E652" i="13"/>
  <c r="E653" i="13"/>
  <c r="E654" i="13"/>
  <c r="E655" i="13"/>
  <c r="E656" i="13"/>
  <c r="E657" i="13"/>
  <c r="E658" i="13"/>
  <c r="E659" i="13"/>
  <c r="E660" i="13"/>
  <c r="E661" i="13"/>
  <c r="E662" i="13"/>
  <c r="E663" i="13"/>
  <c r="E664" i="13"/>
  <c r="E665" i="13"/>
  <c r="E666" i="13"/>
  <c r="E667" i="13"/>
  <c r="E668" i="13"/>
  <c r="E669" i="13"/>
  <c r="E670" i="13"/>
  <c r="E671" i="13"/>
  <c r="E672" i="13"/>
  <c r="E673" i="13"/>
  <c r="E674" i="13"/>
  <c r="E675" i="13"/>
  <c r="E676" i="13"/>
  <c r="E677" i="13"/>
  <c r="E678" i="13"/>
  <c r="E679" i="13"/>
  <c r="E680" i="13"/>
  <c r="E681" i="13"/>
  <c r="E682" i="13"/>
  <c r="E683" i="13"/>
  <c r="E684" i="13"/>
  <c r="E685" i="13"/>
  <c r="E686" i="13"/>
  <c r="E687" i="13"/>
  <c r="E688" i="13"/>
  <c r="E689" i="13"/>
  <c r="E690" i="13"/>
  <c r="E691" i="13"/>
  <c r="E692" i="13"/>
  <c r="E693" i="13"/>
  <c r="E694" i="13"/>
  <c r="E695" i="13"/>
  <c r="E696" i="13"/>
  <c r="E697" i="13"/>
  <c r="E698" i="13"/>
  <c r="E699" i="13"/>
  <c r="E700" i="13"/>
  <c r="E701" i="13"/>
  <c r="E702" i="13"/>
  <c r="E703" i="13"/>
  <c r="E704" i="13"/>
  <c r="E705" i="13"/>
  <c r="E706" i="13"/>
  <c r="E707" i="13"/>
  <c r="E708" i="13"/>
  <c r="E709" i="13"/>
  <c r="E710" i="13"/>
  <c r="E711" i="13"/>
  <c r="E712" i="13"/>
  <c r="E713" i="13"/>
  <c r="E714" i="13"/>
  <c r="E715" i="13"/>
  <c r="E716" i="13"/>
  <c r="E717" i="13"/>
  <c r="E718" i="13"/>
  <c r="E719" i="13"/>
  <c r="E720" i="13"/>
  <c r="E721" i="13"/>
  <c r="E722" i="13"/>
  <c r="E723" i="13"/>
  <c r="E724" i="13"/>
  <c r="E725" i="13"/>
  <c r="E726" i="13"/>
  <c r="E727" i="13"/>
  <c r="E728" i="13"/>
  <c r="E729" i="13"/>
  <c r="E730" i="13"/>
  <c r="E731" i="13"/>
  <c r="E732" i="13"/>
  <c r="E733" i="13"/>
  <c r="E734" i="13"/>
  <c r="E735" i="13"/>
  <c r="E736" i="13"/>
  <c r="E737" i="13"/>
  <c r="E738" i="13"/>
  <c r="E739" i="13"/>
  <c r="E740" i="13"/>
  <c r="E741" i="13"/>
  <c r="E742" i="13"/>
  <c r="E743" i="13"/>
  <c r="E744" i="13"/>
  <c r="E745" i="13"/>
  <c r="E746" i="13"/>
  <c r="E747" i="13"/>
  <c r="E748" i="13"/>
  <c r="E749" i="13"/>
  <c r="E750" i="13"/>
  <c r="E751" i="13"/>
  <c r="E752" i="13"/>
  <c r="E753" i="13"/>
  <c r="E754" i="13"/>
  <c r="E755" i="13"/>
  <c r="E756" i="13"/>
  <c r="E757" i="13"/>
  <c r="E758" i="13"/>
  <c r="E759" i="13"/>
  <c r="C532" i="13"/>
  <c r="D532" i="13"/>
  <c r="E532" i="13"/>
  <c r="C531" i="13"/>
  <c r="C530" i="13"/>
  <c r="C529" i="13"/>
  <c r="C528" i="13"/>
  <c r="C527" i="13"/>
  <c r="C526" i="13"/>
  <c r="C525" i="13"/>
  <c r="C524" i="13"/>
  <c r="C523" i="13"/>
  <c r="C522" i="13"/>
  <c r="C521" i="13"/>
  <c r="C520" i="13"/>
  <c r="C519" i="13"/>
  <c r="C518" i="13"/>
  <c r="C517" i="13"/>
  <c r="C516" i="13"/>
  <c r="C515" i="13"/>
  <c r="C514" i="13"/>
  <c r="C513" i="13"/>
  <c r="C512" i="13"/>
  <c r="C511" i="13"/>
  <c r="C510" i="13"/>
  <c r="C509" i="13"/>
  <c r="C508" i="13"/>
  <c r="C507" i="13"/>
  <c r="C506" i="13"/>
  <c r="C505" i="13"/>
  <c r="C504" i="13"/>
  <c r="C503" i="13"/>
  <c r="C502" i="13"/>
  <c r="C501" i="13"/>
  <c r="C500" i="13"/>
  <c r="C499" i="13"/>
  <c r="C498" i="13"/>
  <c r="C497" i="13"/>
  <c r="C496" i="13"/>
  <c r="C495" i="13"/>
  <c r="C494" i="13"/>
  <c r="C493" i="13"/>
  <c r="C492" i="13"/>
  <c r="C491" i="13"/>
  <c r="C490" i="13"/>
  <c r="C489" i="13"/>
  <c r="C488" i="13"/>
  <c r="C487" i="13"/>
  <c r="C486" i="13"/>
  <c r="C485" i="13"/>
  <c r="C484" i="13"/>
  <c r="C483" i="13"/>
  <c r="C482" i="13"/>
  <c r="C481" i="13"/>
  <c r="C480" i="13"/>
  <c r="C479" i="13"/>
  <c r="C478" i="13"/>
  <c r="C477" i="13"/>
  <c r="C476" i="13"/>
  <c r="C475" i="13"/>
  <c r="C474" i="13"/>
  <c r="C473" i="13"/>
  <c r="C472" i="13"/>
  <c r="C471" i="13"/>
  <c r="C470" i="13"/>
  <c r="C469" i="13"/>
  <c r="C468" i="13"/>
  <c r="C467" i="13"/>
  <c r="C466" i="13"/>
  <c r="C465" i="13"/>
  <c r="C464" i="13"/>
  <c r="C463" i="13"/>
  <c r="C462" i="13"/>
  <c r="C461" i="13"/>
  <c r="C460" i="13"/>
  <c r="C459" i="13"/>
  <c r="C458" i="13"/>
  <c r="C457" i="13"/>
  <c r="C456" i="13"/>
  <c r="C455" i="13"/>
  <c r="C454" i="13"/>
  <c r="C453" i="13"/>
  <c r="C452" i="13"/>
  <c r="C451" i="13"/>
  <c r="C450" i="13"/>
  <c r="C449" i="13"/>
  <c r="C448" i="13"/>
  <c r="C447" i="13"/>
  <c r="C446" i="13"/>
  <c r="C445" i="13"/>
  <c r="C444" i="13"/>
  <c r="C443" i="13"/>
  <c r="C442" i="13"/>
  <c r="C441" i="13"/>
  <c r="C440" i="13"/>
  <c r="C439" i="13"/>
  <c r="C438" i="13"/>
  <c r="C437" i="13"/>
  <c r="C436" i="13"/>
  <c r="C435" i="13"/>
  <c r="C434" i="13"/>
  <c r="C433" i="13"/>
  <c r="C432" i="13"/>
  <c r="C431" i="13"/>
  <c r="C430" i="13"/>
  <c r="C429" i="13"/>
  <c r="C428" i="13"/>
  <c r="C427" i="13"/>
  <c r="D427" i="13"/>
  <c r="D428" i="13"/>
  <c r="D429" i="13"/>
  <c r="D430" i="13"/>
  <c r="D431" i="13"/>
  <c r="D432" i="13"/>
  <c r="D433" i="13"/>
  <c r="D434" i="13"/>
  <c r="D435" i="13"/>
  <c r="D436" i="13"/>
  <c r="D437" i="13"/>
  <c r="D438" i="13"/>
  <c r="D439" i="13"/>
  <c r="D440" i="13"/>
  <c r="D441" i="13"/>
  <c r="D442" i="13"/>
  <c r="D443" i="13"/>
  <c r="D444" i="13"/>
  <c r="D445" i="13"/>
  <c r="D446" i="13"/>
  <c r="D447" i="13"/>
  <c r="D448" i="13"/>
  <c r="D449" i="13"/>
  <c r="D450" i="13"/>
  <c r="D451" i="13"/>
  <c r="D452" i="13"/>
  <c r="D453" i="13"/>
  <c r="D454" i="13"/>
  <c r="D455" i="13"/>
  <c r="D456" i="13"/>
  <c r="D457" i="13"/>
  <c r="D458" i="13"/>
  <c r="D459" i="13"/>
  <c r="D460" i="13"/>
  <c r="D461" i="13"/>
  <c r="D462" i="13"/>
  <c r="D463" i="13"/>
  <c r="D464" i="13"/>
  <c r="D465" i="13"/>
  <c r="D466" i="13"/>
  <c r="D467" i="13"/>
  <c r="D468" i="13"/>
  <c r="D469" i="13"/>
  <c r="D470" i="13"/>
  <c r="D471" i="13"/>
  <c r="D472" i="13"/>
  <c r="D473" i="13"/>
  <c r="D474" i="13"/>
  <c r="D475" i="13"/>
  <c r="D476" i="13"/>
  <c r="D477" i="13"/>
  <c r="D478" i="13"/>
  <c r="D479" i="13"/>
  <c r="D480" i="13"/>
  <c r="D481" i="13"/>
  <c r="D482" i="13"/>
  <c r="D483" i="13"/>
  <c r="D484" i="13"/>
  <c r="D485" i="13"/>
  <c r="D486" i="13"/>
  <c r="D487" i="13"/>
  <c r="D488" i="13"/>
  <c r="D489" i="13"/>
  <c r="D490" i="13"/>
  <c r="D491" i="13"/>
  <c r="D492" i="13"/>
  <c r="D493" i="13"/>
  <c r="D494" i="13"/>
  <c r="D495" i="13"/>
  <c r="D496" i="13"/>
  <c r="D497" i="13"/>
  <c r="D498" i="13"/>
  <c r="D499" i="13"/>
  <c r="D500" i="13"/>
  <c r="D501" i="13"/>
  <c r="D502" i="13"/>
  <c r="D503" i="13"/>
  <c r="D504" i="13"/>
  <c r="D505" i="13"/>
  <c r="D506" i="13"/>
  <c r="D507" i="13"/>
  <c r="D508" i="13"/>
  <c r="D509" i="13"/>
  <c r="D510" i="13"/>
  <c r="D511" i="13"/>
  <c r="D512" i="13"/>
  <c r="D513" i="13"/>
  <c r="D514" i="13"/>
  <c r="D515" i="13"/>
  <c r="D516" i="13"/>
  <c r="D517" i="13"/>
  <c r="D518" i="13"/>
  <c r="D519" i="13"/>
  <c r="D520" i="13"/>
  <c r="D521" i="13"/>
  <c r="D522" i="13"/>
  <c r="D523" i="13"/>
  <c r="D524" i="13"/>
  <c r="D525" i="13"/>
  <c r="D526" i="13"/>
  <c r="D527" i="13"/>
  <c r="D528" i="13"/>
  <c r="D529" i="13"/>
  <c r="D530" i="13"/>
  <c r="D531" i="13"/>
  <c r="E427" i="13"/>
  <c r="E428" i="13"/>
  <c r="E429" i="13"/>
  <c r="E430" i="13"/>
  <c r="E431" i="13"/>
  <c r="E432" i="13"/>
  <c r="E433" i="13"/>
  <c r="E434" i="13"/>
  <c r="E435" i="13"/>
  <c r="E436" i="13"/>
  <c r="E437" i="13"/>
  <c r="E438" i="13"/>
  <c r="E439" i="13"/>
  <c r="E440" i="13"/>
  <c r="E441" i="13"/>
  <c r="E442" i="13"/>
  <c r="E443" i="13"/>
  <c r="E444" i="13"/>
  <c r="E445" i="13"/>
  <c r="E446" i="13"/>
  <c r="E447" i="13"/>
  <c r="E448" i="13"/>
  <c r="E449" i="13"/>
  <c r="E450" i="13"/>
  <c r="E451" i="13"/>
  <c r="E452" i="13"/>
  <c r="E453" i="13"/>
  <c r="E454" i="13"/>
  <c r="E455" i="13"/>
  <c r="E456" i="13"/>
  <c r="E457" i="13"/>
  <c r="E458" i="13"/>
  <c r="E459" i="13"/>
  <c r="E460" i="13"/>
  <c r="E461" i="13"/>
  <c r="E462" i="13"/>
  <c r="E463" i="13"/>
  <c r="E464" i="13"/>
  <c r="E465" i="13"/>
  <c r="E466" i="13"/>
  <c r="E467" i="13"/>
  <c r="E468" i="13"/>
  <c r="E469" i="13"/>
  <c r="E470" i="13"/>
  <c r="E471" i="13"/>
  <c r="E472" i="13"/>
  <c r="E473" i="13"/>
  <c r="E474" i="13"/>
  <c r="E475" i="13"/>
  <c r="E476" i="13"/>
  <c r="E477" i="13"/>
  <c r="E478" i="13"/>
  <c r="E479" i="13"/>
  <c r="E480" i="13"/>
  <c r="E481" i="13"/>
  <c r="E482" i="13"/>
  <c r="E483" i="13"/>
  <c r="E484" i="13"/>
  <c r="E485" i="13"/>
  <c r="E486" i="13"/>
  <c r="E487" i="13"/>
  <c r="E488" i="13"/>
  <c r="E489" i="13"/>
  <c r="E490" i="13"/>
  <c r="E491" i="13"/>
  <c r="E492" i="13"/>
  <c r="E493" i="13"/>
  <c r="E494" i="13"/>
  <c r="E495" i="13"/>
  <c r="E496" i="13"/>
  <c r="E497" i="13"/>
  <c r="E498" i="13"/>
  <c r="E499" i="13"/>
  <c r="E500" i="13"/>
  <c r="E501" i="13"/>
  <c r="E502" i="13"/>
  <c r="E503" i="13"/>
  <c r="E504" i="13"/>
  <c r="E505" i="13"/>
  <c r="E506" i="13"/>
  <c r="E507" i="13"/>
  <c r="E508" i="13"/>
  <c r="E509" i="13"/>
  <c r="E510" i="13"/>
  <c r="E511" i="13"/>
  <c r="E512" i="13"/>
  <c r="E513" i="13"/>
  <c r="E514" i="13"/>
  <c r="E515" i="13"/>
  <c r="E516" i="13"/>
  <c r="E517" i="13"/>
  <c r="E518" i="13"/>
  <c r="E519" i="13"/>
  <c r="E520" i="13"/>
  <c r="E521" i="13"/>
  <c r="E522" i="13"/>
  <c r="E523" i="13"/>
  <c r="E524" i="13"/>
  <c r="E525" i="13"/>
  <c r="E526" i="13"/>
  <c r="E527" i="13"/>
  <c r="E528" i="13"/>
  <c r="E529" i="13"/>
  <c r="E530" i="13"/>
  <c r="E531" i="13"/>
  <c r="C426" i="13"/>
  <c r="C425" i="13"/>
  <c r="C423" i="13"/>
  <c r="C422" i="13"/>
  <c r="C421" i="13"/>
  <c r="C420" i="13"/>
  <c r="C419" i="13"/>
  <c r="C418" i="13"/>
  <c r="C417" i="13"/>
  <c r="C416" i="13"/>
  <c r="C415" i="13"/>
  <c r="C414" i="13"/>
  <c r="C413" i="13"/>
  <c r="C412" i="13"/>
  <c r="C411" i="13"/>
  <c r="C410" i="13"/>
  <c r="C409" i="13"/>
  <c r="C408" i="13"/>
  <c r="C407" i="13"/>
  <c r="C406" i="13"/>
  <c r="C405" i="13"/>
  <c r="D405" i="13"/>
  <c r="D406" i="13"/>
  <c r="D407" i="13"/>
  <c r="D408" i="13"/>
  <c r="D409" i="13"/>
  <c r="D410" i="13"/>
  <c r="D411" i="13"/>
  <c r="D412" i="13"/>
  <c r="D413" i="13"/>
  <c r="D414" i="13"/>
  <c r="D415" i="13"/>
  <c r="D416" i="13"/>
  <c r="D417" i="13"/>
  <c r="D418" i="13"/>
  <c r="D419" i="13"/>
  <c r="D420" i="13"/>
  <c r="D421" i="13"/>
  <c r="D422" i="13"/>
  <c r="D423" i="13"/>
  <c r="D425" i="13"/>
  <c r="D426" i="13"/>
  <c r="E405" i="13"/>
  <c r="E406" i="13"/>
  <c r="E407" i="13"/>
  <c r="E408" i="13"/>
  <c r="E409" i="13"/>
  <c r="E410" i="13"/>
  <c r="E411" i="13"/>
  <c r="E412" i="13"/>
  <c r="E413" i="13"/>
  <c r="E414" i="13"/>
  <c r="E415" i="13"/>
  <c r="E416" i="13"/>
  <c r="E417" i="13"/>
  <c r="E418" i="13"/>
  <c r="E419" i="13"/>
  <c r="E420" i="13"/>
  <c r="E421" i="13"/>
  <c r="E422" i="13"/>
  <c r="E423" i="13"/>
  <c r="E425" i="13"/>
  <c r="E426" i="13"/>
  <c r="C190" i="13"/>
  <c r="B190" i="13"/>
  <c r="C189" i="13"/>
  <c r="B189" i="13"/>
  <c r="C188" i="13"/>
  <c r="B188" i="13"/>
  <c r="C187" i="13"/>
  <c r="B187" i="13"/>
  <c r="C186" i="13"/>
  <c r="B186" i="13"/>
  <c r="C185" i="13"/>
  <c r="B185" i="13"/>
  <c r="C184" i="13"/>
  <c r="B184" i="13"/>
  <c r="C183" i="13"/>
  <c r="B183" i="13"/>
  <c r="C182" i="13"/>
  <c r="B182" i="13"/>
  <c r="C181" i="13"/>
  <c r="B181" i="13"/>
  <c r="C180" i="13"/>
  <c r="B180" i="13"/>
  <c r="C179" i="13"/>
  <c r="B179" i="13"/>
  <c r="C178" i="13"/>
  <c r="B178" i="13"/>
  <c r="C177" i="13"/>
  <c r="B177" i="13"/>
  <c r="C176" i="13"/>
  <c r="B176" i="13"/>
  <c r="C175" i="13"/>
  <c r="B175" i="13"/>
  <c r="C174" i="13"/>
  <c r="B174" i="13"/>
  <c r="C173" i="13"/>
  <c r="B173" i="13"/>
  <c r="C172" i="13"/>
  <c r="B172" i="13"/>
  <c r="C171" i="13"/>
  <c r="B171" i="13"/>
  <c r="C170" i="13"/>
  <c r="B170" i="13"/>
  <c r="C169" i="13"/>
  <c r="B169" i="13"/>
  <c r="C168" i="13"/>
  <c r="B168" i="13"/>
  <c r="C167" i="13"/>
  <c r="B167" i="13"/>
  <c r="C166" i="13"/>
  <c r="B166" i="13"/>
  <c r="C165" i="13"/>
  <c r="B165" i="13"/>
  <c r="C164" i="13"/>
  <c r="B164" i="13"/>
  <c r="C163" i="13"/>
  <c r="B163" i="13"/>
  <c r="C162" i="13"/>
  <c r="B162" i="13"/>
  <c r="C161" i="13"/>
  <c r="B161" i="13"/>
  <c r="C160" i="13"/>
  <c r="B160" i="13"/>
  <c r="C159" i="13"/>
  <c r="B159" i="13"/>
  <c r="C158" i="13"/>
  <c r="B158" i="13"/>
  <c r="C157" i="13"/>
  <c r="B157" i="13"/>
  <c r="C156" i="13"/>
  <c r="B156" i="13"/>
  <c r="C155" i="13"/>
  <c r="B155" i="13"/>
  <c r="C154" i="13"/>
  <c r="B154" i="13"/>
  <c r="C153" i="13"/>
  <c r="B153" i="13"/>
  <c r="C152" i="13"/>
  <c r="B152" i="13"/>
  <c r="C151" i="13"/>
  <c r="B151" i="13"/>
  <c r="C150" i="13"/>
  <c r="B150" i="13"/>
  <c r="C149" i="13"/>
  <c r="B149" i="13"/>
  <c r="C148" i="13"/>
  <c r="B148" i="13"/>
  <c r="C147" i="13"/>
  <c r="B147" i="13"/>
  <c r="C146" i="13"/>
  <c r="B146" i="13"/>
  <c r="C145" i="13"/>
  <c r="B145" i="13"/>
  <c r="C144" i="13"/>
  <c r="B144" i="13"/>
  <c r="C143" i="13"/>
  <c r="B143" i="13"/>
  <c r="C142" i="13"/>
  <c r="B142" i="13"/>
  <c r="C141" i="13"/>
  <c r="B141" i="13"/>
  <c r="C140" i="13"/>
  <c r="B140" i="13"/>
  <c r="C139" i="13"/>
  <c r="B139" i="13"/>
  <c r="C138" i="13"/>
  <c r="B138" i="13"/>
  <c r="C137" i="13"/>
  <c r="B137" i="13"/>
  <c r="C136" i="13"/>
  <c r="B136" i="13"/>
  <c r="C135" i="13"/>
  <c r="B135" i="13"/>
  <c r="C134" i="13"/>
  <c r="B134" i="13"/>
  <c r="C133" i="13"/>
  <c r="B133" i="13"/>
  <c r="C132" i="13"/>
  <c r="B132" i="13"/>
  <c r="C131" i="13"/>
  <c r="B131" i="13"/>
  <c r="C130" i="13"/>
  <c r="B130" i="13"/>
  <c r="C129" i="13"/>
  <c r="B129" i="13"/>
  <c r="C128" i="13"/>
  <c r="B128" i="13"/>
  <c r="C127" i="13"/>
  <c r="B127" i="13"/>
  <c r="C126" i="13"/>
  <c r="B126" i="13"/>
  <c r="C125" i="13"/>
  <c r="B125" i="13"/>
  <c r="C124" i="13"/>
  <c r="B124" i="13"/>
  <c r="C123" i="13"/>
  <c r="B123" i="13"/>
  <c r="C122" i="13"/>
  <c r="B122" i="13"/>
  <c r="C121" i="13"/>
  <c r="B121" i="13"/>
  <c r="C120" i="13"/>
  <c r="B120" i="13"/>
  <c r="C119" i="13"/>
  <c r="B119" i="13"/>
  <c r="C118" i="13"/>
  <c r="B118" i="13"/>
  <c r="C117" i="13"/>
  <c r="B117" i="13"/>
  <c r="C116" i="13"/>
  <c r="B116" i="13"/>
  <c r="C115" i="13"/>
  <c r="B115" i="13"/>
  <c r="C114" i="13"/>
  <c r="B114" i="13"/>
  <c r="C113" i="13"/>
  <c r="B113" i="13"/>
  <c r="C112" i="13"/>
  <c r="B112" i="13"/>
  <c r="C111" i="13"/>
  <c r="B111" i="13"/>
  <c r="C110" i="13"/>
  <c r="B110" i="13"/>
  <c r="C109" i="13"/>
  <c r="B109" i="13"/>
  <c r="C108" i="13"/>
  <c r="B108" i="13"/>
  <c r="C107" i="13"/>
  <c r="B107" i="13"/>
  <c r="C106" i="13"/>
  <c r="B106" i="13"/>
  <c r="C105" i="13"/>
  <c r="B105" i="13"/>
  <c r="C104" i="13"/>
  <c r="B104" i="13"/>
  <c r="C103" i="13"/>
  <c r="B103" i="13"/>
  <c r="C102" i="13"/>
  <c r="B102" i="13"/>
  <c r="C101" i="13"/>
  <c r="B101" i="13"/>
  <c r="C100" i="13"/>
  <c r="B100" i="13"/>
  <c r="C99" i="13"/>
  <c r="B99" i="13"/>
  <c r="C98" i="13"/>
  <c r="B98" i="13"/>
  <c r="C97" i="13"/>
  <c r="B97" i="13"/>
  <c r="C96" i="13"/>
  <c r="B96" i="13"/>
  <c r="C95" i="13"/>
  <c r="B95" i="13"/>
  <c r="C94" i="13"/>
  <c r="B94" i="13"/>
  <c r="C93" i="13"/>
  <c r="B93" i="13"/>
  <c r="C92" i="13"/>
  <c r="B92" i="13"/>
  <c r="C91" i="13"/>
  <c r="B91" i="13"/>
  <c r="C90" i="13"/>
  <c r="B90" i="13"/>
  <c r="C89" i="13"/>
  <c r="B89" i="13"/>
  <c r="C88" i="13"/>
  <c r="B88" i="13"/>
  <c r="C87" i="13"/>
  <c r="B87" i="13"/>
  <c r="C86" i="13"/>
  <c r="B86" i="13"/>
  <c r="C85" i="13"/>
  <c r="B85" i="13"/>
  <c r="C84" i="13"/>
  <c r="B84" i="13"/>
  <c r="C83" i="13"/>
  <c r="B83" i="13"/>
  <c r="C82" i="13"/>
  <c r="B82" i="13"/>
  <c r="C81" i="13"/>
  <c r="B81" i="13"/>
  <c r="C80" i="13"/>
  <c r="B80" i="13"/>
  <c r="C79" i="13"/>
  <c r="B79" i="13"/>
  <c r="C78" i="13"/>
  <c r="B78" i="13"/>
  <c r="C77" i="13"/>
  <c r="B77" i="13"/>
  <c r="C76" i="13"/>
  <c r="B76" i="13"/>
  <c r="C75" i="13"/>
  <c r="B75" i="13"/>
  <c r="C74" i="13"/>
  <c r="B74" i="13"/>
  <c r="C73" i="13"/>
  <c r="B73" i="13"/>
  <c r="C72" i="13"/>
  <c r="B72" i="13"/>
  <c r="C71" i="13"/>
  <c r="B71" i="13"/>
  <c r="C70" i="13"/>
  <c r="B70" i="13"/>
  <c r="C69" i="13"/>
  <c r="B69" i="13"/>
  <c r="C68" i="13"/>
  <c r="B68" i="13"/>
  <c r="C67" i="13"/>
  <c r="B67" i="13"/>
  <c r="C66" i="13"/>
  <c r="B66" i="13"/>
  <c r="C65" i="13"/>
  <c r="B65" i="13"/>
  <c r="C64" i="13"/>
  <c r="B64" i="13"/>
  <c r="C63" i="13"/>
  <c r="B63" i="13"/>
  <c r="C62" i="13"/>
  <c r="B62" i="13"/>
  <c r="C61" i="13"/>
  <c r="B61" i="13"/>
  <c r="C60" i="13"/>
  <c r="B60" i="13"/>
  <c r="C59" i="13"/>
  <c r="B59" i="13"/>
  <c r="C58" i="13"/>
  <c r="B58" i="13"/>
  <c r="C57" i="13"/>
  <c r="B57" i="13"/>
  <c r="C56" i="13"/>
  <c r="B56" i="13"/>
  <c r="C55" i="13"/>
  <c r="B55" i="13"/>
  <c r="C54" i="13"/>
  <c r="B54" i="13"/>
  <c r="C53" i="13"/>
  <c r="B53" i="13"/>
  <c r="C52" i="13"/>
  <c r="B52" i="13"/>
  <c r="C51" i="13"/>
  <c r="B51" i="13"/>
  <c r="C50" i="13"/>
  <c r="B50" i="13"/>
  <c r="C49" i="13"/>
  <c r="B49" i="13"/>
  <c r="C48" i="13"/>
  <c r="B48" i="13"/>
  <c r="C47" i="13"/>
  <c r="B47" i="13"/>
  <c r="C46" i="13"/>
  <c r="B46" i="13"/>
  <c r="C45" i="13"/>
  <c r="B45" i="13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14" i="13"/>
  <c r="B14" i="13"/>
  <c r="C13" i="13"/>
  <c r="B13" i="13"/>
  <c r="C12" i="13"/>
  <c r="B12" i="13"/>
  <c r="C11" i="13"/>
  <c r="B11" i="13"/>
  <c r="C10" i="13"/>
  <c r="B10" i="13"/>
  <c r="C9" i="13"/>
  <c r="B9" i="13"/>
  <c r="C8" i="13"/>
  <c r="B8" i="13"/>
  <c r="C7" i="13"/>
  <c r="B7" i="13"/>
  <c r="C6" i="13"/>
  <c r="B6" i="13"/>
  <c r="B5" i="13"/>
  <c r="V404" i="13" l="1"/>
  <c r="V374" i="13"/>
  <c r="V212" i="13"/>
  <c r="AE212" i="13" s="1"/>
  <c r="V373" i="13"/>
  <c r="AE373" i="13" s="1"/>
  <c r="V316" i="13"/>
  <c r="AE316" i="13" s="1"/>
  <c r="V310" i="13"/>
  <c r="AE310" i="13" s="1"/>
  <c r="V211" i="13"/>
  <c r="AE211" i="13" s="1"/>
  <c r="V210" i="13"/>
  <c r="AE210" i="13" s="1"/>
  <c r="V200" i="13"/>
  <c r="AE200" i="13" s="1"/>
  <c r="V197" i="13"/>
  <c r="AE197" i="13" s="1"/>
  <c r="V719" i="13"/>
  <c r="AE719" i="13" s="1"/>
  <c r="V735" i="13"/>
  <c r="AE735" i="13" s="1"/>
  <c r="V492" i="13"/>
  <c r="AE492" i="13" s="1"/>
  <c r="V451" i="13"/>
  <c r="V510" i="13"/>
  <c r="AE510" i="13" s="1"/>
  <c r="V695" i="13"/>
  <c r="AE695" i="13" s="1"/>
  <c r="V877" i="13"/>
  <c r="AE877" i="13" s="1"/>
  <c r="V701" i="13"/>
  <c r="AE701" i="13" s="1"/>
  <c r="V815" i="13"/>
  <c r="AE815" i="13" s="1"/>
  <c r="V91" i="13"/>
  <c r="AE91" i="13" s="1"/>
  <c r="V681" i="13"/>
  <c r="AE681" i="13" s="1"/>
  <c r="V408" i="13"/>
  <c r="V822" i="13"/>
  <c r="V450" i="13"/>
  <c r="AE450" i="13" s="1"/>
  <c r="V843" i="13"/>
  <c r="V759" i="13"/>
  <c r="AE759" i="13" s="1"/>
  <c r="V438" i="13"/>
  <c r="AE438" i="13" s="1"/>
  <c r="V706" i="13"/>
  <c r="AE706" i="13" s="1"/>
  <c r="V448" i="13"/>
  <c r="AE448" i="13" s="1"/>
  <c r="V658" i="13"/>
  <c r="AE658" i="13" s="1"/>
  <c r="V708" i="13"/>
  <c r="V714" i="13"/>
  <c r="AE714" i="13" s="1"/>
  <c r="V431" i="13"/>
  <c r="AE431" i="13" s="1"/>
  <c r="V700" i="13"/>
  <c r="AE700" i="13" s="1"/>
  <c r="V593" i="13"/>
  <c r="AE593" i="13" s="1"/>
  <c r="V783" i="13"/>
  <c r="AE783" i="13" s="1"/>
  <c r="V649" i="13"/>
  <c r="AE649" i="13" s="1"/>
  <c r="V454" i="13"/>
  <c r="AE454" i="13" s="1"/>
  <c r="V546" i="13"/>
  <c r="AE546" i="13" s="1"/>
  <c r="V848" i="13"/>
  <c r="AE848" i="13" s="1"/>
  <c r="V501" i="13"/>
  <c r="AE501" i="13" s="1"/>
  <c r="V879" i="13"/>
  <c r="AE879" i="13" s="1"/>
  <c r="V474" i="13"/>
  <c r="AE474" i="13" s="1"/>
  <c r="V602" i="13"/>
  <c r="AE602" i="13" s="1"/>
  <c r="V745" i="13"/>
  <c r="AE745" i="13" s="1"/>
  <c r="V414" i="13"/>
  <c r="AE414" i="13" s="1"/>
  <c r="V847" i="13"/>
  <c r="AE847" i="13" s="1"/>
  <c r="V437" i="13"/>
  <c r="AE437" i="13" s="1"/>
  <c r="V840" i="13"/>
  <c r="AE840" i="13" s="1"/>
  <c r="V781" i="13"/>
  <c r="V718" i="13"/>
  <c r="AE718" i="13" s="1"/>
  <c r="V831" i="13"/>
  <c r="AE831" i="13" s="1"/>
  <c r="V453" i="13"/>
  <c r="AE453" i="13" s="1"/>
  <c r="V425" i="13"/>
  <c r="AE425" i="13" s="1"/>
  <c r="V640" i="13"/>
  <c r="AE640" i="13" s="1"/>
  <c r="V96" i="13"/>
  <c r="AE96" i="13" s="1"/>
  <c r="V801" i="13"/>
  <c r="AE801" i="13" s="1"/>
  <c r="V188" i="13"/>
  <c r="AE188" i="13" s="1"/>
  <c r="V31" i="13"/>
  <c r="AE31" i="13" s="1"/>
  <c r="V439" i="13"/>
  <c r="AE439" i="13" s="1"/>
  <c r="V88" i="13"/>
  <c r="AE88" i="13" s="1"/>
  <c r="V104" i="13"/>
  <c r="AE104" i="13" s="1"/>
  <c r="V463" i="13"/>
  <c r="AE463" i="13" s="1"/>
  <c r="V564" i="13"/>
  <c r="AE564" i="13" s="1"/>
  <c r="V752" i="13"/>
  <c r="AE752" i="13" s="1"/>
  <c r="V693" i="13"/>
  <c r="AE693" i="13" s="1"/>
  <c r="V65" i="13"/>
  <c r="AE65" i="13" s="1"/>
  <c r="V10" i="13"/>
  <c r="AE10" i="13" s="1"/>
  <c r="V120" i="13"/>
  <c r="AE120" i="13" s="1"/>
  <c r="V43" i="13"/>
  <c r="AE43" i="13" s="1"/>
  <c r="V702" i="13"/>
  <c r="AE702" i="13" s="1"/>
  <c r="V636" i="13"/>
  <c r="AE636" i="13" s="1"/>
  <c r="V232" i="13"/>
  <c r="V98" i="13"/>
  <c r="AE98" i="13" s="1"/>
  <c r="V813" i="13"/>
  <c r="AE813" i="13" s="1"/>
  <c r="V863" i="13"/>
  <c r="AE863" i="13" s="1"/>
  <c r="V545" i="13"/>
  <c r="AE545" i="13" s="1"/>
  <c r="V830" i="13"/>
  <c r="AE830" i="13" s="1"/>
  <c r="V875" i="13"/>
  <c r="AE875" i="13" s="1"/>
  <c r="V654" i="13"/>
  <c r="AE654" i="13" s="1"/>
  <c r="V725" i="13"/>
  <c r="AE725" i="13" s="1"/>
  <c r="V845" i="13"/>
  <c r="AE845" i="13" s="1"/>
  <c r="V769" i="13"/>
  <c r="AE769" i="13" s="1"/>
  <c r="V22" i="13"/>
  <c r="AE22" i="13" s="1"/>
  <c r="V853" i="13"/>
  <c r="V859" i="13"/>
  <c r="V784" i="13"/>
  <c r="AE784" i="13" s="1"/>
  <c r="V648" i="13"/>
  <c r="V511" i="13"/>
  <c r="AE511" i="13" s="1"/>
  <c r="V548" i="13"/>
  <c r="AE548" i="13" s="1"/>
  <c r="V861" i="13"/>
  <c r="AE861" i="13" s="1"/>
  <c r="V857" i="13"/>
  <c r="AE857" i="13" s="1"/>
  <c r="V862" i="13"/>
  <c r="AE862" i="13" s="1"/>
  <c r="V508" i="13"/>
  <c r="AE508" i="13" s="1"/>
  <c r="V588" i="13"/>
  <c r="AE588" i="13" s="1"/>
  <c r="V526" i="13"/>
  <c r="AE526" i="13" s="1"/>
  <c r="V491" i="13"/>
  <c r="AE491" i="13" s="1"/>
  <c r="V576" i="13"/>
  <c r="V468" i="13"/>
  <c r="AE468" i="13" s="1"/>
  <c r="V747" i="13"/>
  <c r="AE747" i="13" s="1"/>
  <c r="V858" i="13"/>
  <c r="AE858" i="13" s="1"/>
  <c r="V819" i="13"/>
  <c r="AE819" i="13" s="1"/>
  <c r="V594" i="13"/>
  <c r="V849" i="13"/>
  <c r="AE849" i="13" s="1"/>
  <c r="V786" i="13"/>
  <c r="AE786" i="13" s="1"/>
  <c r="V684" i="13"/>
  <c r="AE684" i="13" s="1"/>
  <c r="V639" i="13"/>
  <c r="AE639" i="13" s="1"/>
  <c r="V486" i="13"/>
  <c r="AE486" i="13" s="1"/>
  <c r="V447" i="13"/>
  <c r="AE447" i="13" s="1"/>
  <c r="V185" i="13"/>
  <c r="AE185" i="13" s="1"/>
  <c r="V95" i="13"/>
  <c r="AE95" i="13" s="1"/>
  <c r="V713" i="13"/>
  <c r="AE713" i="13" s="1"/>
  <c r="V590" i="13"/>
  <c r="AE590" i="13" s="1"/>
  <c r="V136" i="13"/>
  <c r="AE136" i="13" s="1"/>
  <c r="V25" i="13"/>
  <c r="AE25" i="13" s="1"/>
  <c r="V839" i="13"/>
  <c r="AE839" i="13" s="1"/>
  <c r="V803" i="13"/>
  <c r="AE803" i="13" s="1"/>
  <c r="V740" i="13"/>
  <c r="AE740" i="13" s="1"/>
  <c r="V739" i="13"/>
  <c r="AE739" i="13" s="1"/>
  <c r="V405" i="13"/>
  <c r="AE405" i="13" s="1"/>
  <c r="V90" i="13"/>
  <c r="AE90" i="13" s="1"/>
  <c r="V652" i="13"/>
  <c r="AE652" i="13" s="1"/>
  <c r="V183" i="13"/>
  <c r="AE183" i="13" s="1"/>
  <c r="V638" i="13"/>
  <c r="AE638" i="13" s="1"/>
  <c r="V503" i="13"/>
  <c r="AE503" i="13" s="1"/>
  <c r="V79" i="13"/>
  <c r="AE79" i="13" s="1"/>
  <c r="V34" i="13"/>
  <c r="AE34" i="13" s="1"/>
  <c r="V110" i="13"/>
  <c r="AE110" i="13" s="1"/>
  <c r="V749" i="13"/>
  <c r="AE749" i="13" s="1"/>
  <c r="V527" i="13"/>
  <c r="AE527" i="13" s="1"/>
  <c r="V865" i="13"/>
  <c r="AE865" i="13" s="1"/>
  <c r="V720" i="13"/>
  <c r="AE720" i="13" s="1"/>
  <c r="V623" i="13"/>
  <c r="AE623" i="13" s="1"/>
  <c r="V605" i="13"/>
  <c r="AE605" i="13" s="1"/>
  <c r="V599" i="13"/>
  <c r="AE599" i="13" s="1"/>
  <c r="V505" i="13"/>
  <c r="AE505" i="13" s="1"/>
  <c r="V111" i="13"/>
  <c r="AE111" i="13" s="1"/>
  <c r="V806" i="13"/>
  <c r="AE806" i="13" s="1"/>
  <c r="V734" i="13"/>
  <c r="V673" i="13"/>
  <c r="AE673" i="13" s="1"/>
  <c r="V867" i="13"/>
  <c r="AE867" i="13" s="1"/>
  <c r="V767" i="13"/>
  <c r="AE767" i="13" s="1"/>
  <c r="V682" i="13"/>
  <c r="AE682" i="13" s="1"/>
  <c r="V444" i="13"/>
  <c r="AE444" i="13" s="1"/>
  <c r="V473" i="13"/>
  <c r="AE473" i="13" s="1"/>
  <c r="V834" i="13"/>
  <c r="AE834" i="13" s="1"/>
  <c r="V563" i="13"/>
  <c r="AE563" i="13" s="1"/>
  <c r="V846" i="13"/>
  <c r="AE846" i="13" s="1"/>
  <c r="V777" i="13"/>
  <c r="AE777" i="13" s="1"/>
  <c r="V678" i="13"/>
  <c r="AE678" i="13" s="1"/>
  <c r="V552" i="13"/>
  <c r="AE552" i="13" s="1"/>
  <c r="V480" i="13"/>
  <c r="AE480" i="13" s="1"/>
  <c r="V441" i="13"/>
  <c r="AE441" i="13" s="1"/>
  <c r="V179" i="13"/>
  <c r="AE179" i="13" s="1"/>
  <c r="V71" i="13"/>
  <c r="AE71" i="13" s="1"/>
  <c r="V707" i="13"/>
  <c r="AE707" i="13" s="1"/>
  <c r="V578" i="13"/>
  <c r="AE578" i="13" s="1"/>
  <c r="V73" i="13"/>
  <c r="AE73" i="13" s="1"/>
  <c r="V19" i="13"/>
  <c r="AE19" i="13" s="1"/>
  <c r="V833" i="13"/>
  <c r="AE833" i="13" s="1"/>
  <c r="V797" i="13"/>
  <c r="AE797" i="13" s="1"/>
  <c r="V844" i="13"/>
  <c r="AE844" i="13" s="1"/>
  <c r="V664" i="13"/>
  <c r="AE664" i="13" s="1"/>
  <c r="V189" i="13"/>
  <c r="AE189" i="13" s="1"/>
  <c r="V84" i="13"/>
  <c r="AE84" i="13" s="1"/>
  <c r="V646" i="13"/>
  <c r="AE646" i="13" s="1"/>
  <c r="V162" i="13"/>
  <c r="AE162" i="13" s="1"/>
  <c r="V626" i="13"/>
  <c r="AE626" i="13" s="1"/>
  <c r="V497" i="13"/>
  <c r="AE497" i="13" s="1"/>
  <c r="V76" i="13"/>
  <c r="AE76" i="13" s="1"/>
  <c r="V28" i="13"/>
  <c r="AE28" i="13" s="1"/>
  <c r="V771" i="13"/>
  <c r="AE771" i="13" s="1"/>
  <c r="V675" i="13"/>
  <c r="AE675" i="13" s="1"/>
  <c r="V528" i="13"/>
  <c r="AE528" i="13" s="1"/>
  <c r="V435" i="13"/>
  <c r="AE435" i="13" s="1"/>
  <c r="V173" i="13"/>
  <c r="AE173" i="13" s="1"/>
  <c r="V566" i="13"/>
  <c r="AE566" i="13" s="1"/>
  <c r="V61" i="13"/>
  <c r="AE61" i="13" s="1"/>
  <c r="V827" i="13"/>
  <c r="AE827" i="13" s="1"/>
  <c r="V791" i="13"/>
  <c r="AE791" i="13" s="1"/>
  <c r="V775" i="13"/>
  <c r="AE775" i="13" s="1"/>
  <c r="V159" i="13"/>
  <c r="AE159" i="13" s="1"/>
  <c r="V619" i="13"/>
  <c r="AE619" i="13" s="1"/>
  <c r="V156" i="13"/>
  <c r="AE156" i="13" s="1"/>
  <c r="V596" i="13"/>
  <c r="AE596" i="13" s="1"/>
  <c r="V488" i="13"/>
  <c r="AE488" i="13" s="1"/>
  <c r="V67" i="13"/>
  <c r="AE67" i="13" s="1"/>
  <c r="V582" i="13"/>
  <c r="AE582" i="13" s="1"/>
  <c r="V770" i="13"/>
  <c r="AE770" i="13" s="1"/>
  <c r="V419" i="13"/>
  <c r="AE419" i="13" s="1"/>
  <c r="V810" i="13"/>
  <c r="AE810" i="13" s="1"/>
  <c r="V717" i="13"/>
  <c r="AE717" i="13" s="1"/>
  <c r="V666" i="13"/>
  <c r="AE666" i="13" s="1"/>
  <c r="V522" i="13"/>
  <c r="AE522" i="13" s="1"/>
  <c r="V465" i="13"/>
  <c r="AE465" i="13" s="1"/>
  <c r="V426" i="13"/>
  <c r="AE426" i="13" s="1"/>
  <c r="V122" i="13"/>
  <c r="AE122" i="13" s="1"/>
  <c r="V35" i="13"/>
  <c r="AE35" i="13" s="1"/>
  <c r="V644" i="13"/>
  <c r="AE644" i="13" s="1"/>
  <c r="V500" i="13"/>
  <c r="AE500" i="13" s="1"/>
  <c r="V49" i="13"/>
  <c r="AE49" i="13" s="1"/>
  <c r="V881" i="13"/>
  <c r="AE881" i="13" s="1"/>
  <c r="V824" i="13"/>
  <c r="AE824" i="13" s="1"/>
  <c r="V788" i="13"/>
  <c r="AE788" i="13" s="1"/>
  <c r="V766" i="13"/>
  <c r="AE766" i="13" s="1"/>
  <c r="V610" i="13"/>
  <c r="AE610" i="13" s="1"/>
  <c r="V144" i="13"/>
  <c r="AE144" i="13" s="1"/>
  <c r="V712" i="13"/>
  <c r="AE712" i="13" s="1"/>
  <c r="V445" i="13"/>
  <c r="AE445" i="13" s="1"/>
  <c r="V150" i="13"/>
  <c r="AE150" i="13" s="1"/>
  <c r="V572" i="13"/>
  <c r="AE572" i="13" s="1"/>
  <c r="V470" i="13"/>
  <c r="AE470" i="13" s="1"/>
  <c r="V64" i="13"/>
  <c r="AE64" i="13" s="1"/>
  <c r="V16" i="13"/>
  <c r="AE16" i="13" s="1"/>
  <c r="V772" i="13"/>
  <c r="AE772" i="13" s="1"/>
  <c r="V743" i="13"/>
  <c r="AE743" i="13" s="1"/>
  <c r="V611" i="13"/>
  <c r="V630" i="13"/>
  <c r="AE630" i="13" s="1"/>
  <c r="V529" i="13"/>
  <c r="AE529" i="13" s="1"/>
  <c r="V429" i="13"/>
  <c r="V851" i="13"/>
  <c r="AE851" i="13" s="1"/>
  <c r="V789" i="13"/>
  <c r="AE789" i="13" s="1"/>
  <c r="V774" i="13"/>
  <c r="AE774" i="13" s="1"/>
  <c r="V570" i="13"/>
  <c r="AE570" i="13" s="1"/>
  <c r="V516" i="13"/>
  <c r="AE516" i="13" s="1"/>
  <c r="V608" i="13"/>
  <c r="AE608" i="13" s="1"/>
  <c r="V763" i="13"/>
  <c r="AE763" i="13" s="1"/>
  <c r="V544" i="13"/>
  <c r="AE544" i="13" s="1"/>
  <c r="V794" i="13"/>
  <c r="AE794" i="13" s="1"/>
  <c r="V420" i="13"/>
  <c r="AE420" i="13" s="1"/>
  <c r="V498" i="13"/>
  <c r="AE498" i="13" s="1"/>
  <c r="V807" i="13"/>
  <c r="AE807" i="13" s="1"/>
  <c r="V705" i="13"/>
  <c r="AE705" i="13" s="1"/>
  <c r="V660" i="13"/>
  <c r="AE660" i="13" s="1"/>
  <c r="V504" i="13"/>
  <c r="AE504" i="13" s="1"/>
  <c r="V459" i="13"/>
  <c r="AE459" i="13" s="1"/>
  <c r="V278" i="13"/>
  <c r="AE278" i="13" s="1"/>
  <c r="V116" i="13"/>
  <c r="AE116" i="13" s="1"/>
  <c r="V11" i="13"/>
  <c r="AE11" i="13" s="1"/>
  <c r="V632" i="13"/>
  <c r="AE632" i="13" s="1"/>
  <c r="V476" i="13"/>
  <c r="AE476" i="13" s="1"/>
  <c r="V37" i="13"/>
  <c r="AE37" i="13" s="1"/>
  <c r="V869" i="13"/>
  <c r="AE869" i="13" s="1"/>
  <c r="V821" i="13"/>
  <c r="AE821" i="13" s="1"/>
  <c r="V755" i="13"/>
  <c r="AE755" i="13" s="1"/>
  <c r="V760" i="13"/>
  <c r="AE760" i="13" s="1"/>
  <c r="V502" i="13"/>
  <c r="AE502" i="13" s="1"/>
  <c r="V132" i="13"/>
  <c r="AE132" i="13" s="1"/>
  <c r="V676" i="13"/>
  <c r="AE676" i="13" s="1"/>
  <c r="V433" i="13"/>
  <c r="AE433" i="13" s="1"/>
  <c r="V138" i="13"/>
  <c r="AE138" i="13" s="1"/>
  <c r="V551" i="13"/>
  <c r="AE551" i="13" s="1"/>
  <c r="V154" i="13"/>
  <c r="AE154" i="13" s="1"/>
  <c r="V55" i="13"/>
  <c r="AE55" i="13" s="1"/>
  <c r="V7" i="13"/>
  <c r="AE7" i="13" s="1"/>
  <c r="F23" i="19"/>
  <c r="AE539" i="13"/>
  <c r="AE667" i="13"/>
  <c r="AE234" i="13"/>
  <c r="AE852" i="13"/>
  <c r="AE687" i="13"/>
  <c r="AE361" i="13"/>
  <c r="AE235" i="13"/>
  <c r="AE89" i="13"/>
  <c r="AE407" i="13"/>
  <c r="AE337" i="13"/>
  <c r="AE247" i="13"/>
  <c r="AE295" i="13"/>
  <c r="AE515" i="13"/>
  <c r="AE113" i="13"/>
  <c r="AE101" i="13"/>
  <c r="AE627" i="13"/>
  <c r="AE147" i="13"/>
  <c r="AE359" i="13"/>
  <c r="AE822" i="13"/>
  <c r="AE746" i="13"/>
  <c r="AE628" i="13"/>
  <c r="AE462" i="13"/>
  <c r="AE669" i="13"/>
  <c r="AE342" i="13"/>
  <c r="AE812" i="13"/>
  <c r="AE105" i="13"/>
  <c r="AE730" i="13"/>
  <c r="AE576" i="13"/>
  <c r="AE395" i="13"/>
  <c r="AE836" i="13"/>
  <c r="AE557" i="13"/>
  <c r="AE283" i="13"/>
  <c r="AE287" i="13"/>
  <c r="AE325" i="13"/>
  <c r="AE655" i="13"/>
  <c r="AE704" i="13"/>
  <c r="AE569" i="13"/>
  <c r="AE356" i="13"/>
  <c r="AE385" i="13"/>
  <c r="AE135" i="13"/>
  <c r="AE804" i="13"/>
  <c r="AE451" i="13"/>
  <c r="AE347" i="13"/>
  <c r="AE313" i="13"/>
  <c r="AE519" i="13"/>
  <c r="AE430" i="13"/>
  <c r="AE756" i="13"/>
  <c r="AE221" i="13"/>
  <c r="AE661" i="13"/>
  <c r="AE604" i="13"/>
  <c r="AE353" i="13"/>
  <c r="AE148" i="13"/>
  <c r="AE171" i="13"/>
  <c r="AE594" i="13"/>
  <c r="AE399" i="13"/>
  <c r="AE329" i="13"/>
  <c r="AE413" i="13"/>
  <c r="AE816" i="13"/>
  <c r="AE349" i="13"/>
  <c r="AE53" i="13"/>
  <c r="AE679" i="13"/>
  <c r="AE513" i="13"/>
  <c r="AE442" i="13"/>
  <c r="AE417" i="13"/>
  <c r="AE265" i="13"/>
  <c r="AE229" i="13"/>
  <c r="AE47" i="13"/>
  <c r="AE165" i="13"/>
  <c r="AE466" i="13"/>
  <c r="AE299" i="13"/>
  <c r="AE166" i="13"/>
  <c r="AE142" i="13"/>
  <c r="AE311" i="13"/>
  <c r="AE227" i="13"/>
  <c r="AE622" i="13"/>
  <c r="AE323" i="13"/>
  <c r="AE245" i="13"/>
  <c r="AE153" i="13"/>
  <c r="AE114" i="13"/>
  <c r="AE102" i="13"/>
  <c r="AE798" i="13"/>
  <c r="AE246" i="13"/>
  <c r="AE52" i="13"/>
  <c r="AE377" i="13"/>
  <c r="AE305" i="13"/>
  <c r="AE241" i="13"/>
  <c r="AE343" i="13"/>
  <c r="AE792" i="13"/>
  <c r="AE724" i="13"/>
  <c r="AE603" i="13"/>
  <c r="AE77" i="13"/>
  <c r="AE59" i="13"/>
  <c r="AE427" i="13"/>
  <c r="AE130" i="13"/>
  <c r="AE258" i="13"/>
  <c r="AE207" i="13"/>
  <c r="AE800" i="13"/>
  <c r="AE489" i="13"/>
  <c r="AE17" i="13"/>
  <c r="AE734" i="13"/>
  <c r="AE411" i="13"/>
  <c r="AE194" i="13"/>
  <c r="AE108" i="13"/>
  <c r="AE738" i="13"/>
  <c r="AE436" i="13"/>
  <c r="AE29" i="13"/>
  <c r="AE750" i="13"/>
  <c r="AE744" i="13"/>
  <c r="AE307" i="13"/>
  <c r="AE432" i="13"/>
  <c r="AE404" i="13"/>
  <c r="AE129" i="13"/>
  <c r="AE125" i="13"/>
  <c r="AE534" i="13"/>
  <c r="AE776" i="13"/>
  <c r="AE637" i="13"/>
  <c r="AE335" i="13"/>
  <c r="AE217" i="13"/>
  <c r="AE119" i="13"/>
  <c r="AE23" i="13"/>
  <c r="AE616" i="13"/>
  <c r="AE818" i="13"/>
  <c r="AE259" i="13"/>
  <c r="AE389" i="13"/>
  <c r="AE160" i="13"/>
  <c r="AE374" i="13"/>
  <c r="AE728" i="13"/>
  <c r="AE195" i="13"/>
  <c r="AE533" i="13"/>
  <c r="AE58" i="13"/>
  <c r="AE716" i="13"/>
  <c r="AE651" i="13"/>
  <c r="AE479" i="13"/>
  <c r="AE277" i="13"/>
  <c r="AE269" i="13"/>
  <c r="AE633" i="13"/>
  <c r="AE371" i="13"/>
  <c r="AE107" i="13"/>
  <c r="AE828" i="13"/>
  <c r="AE761" i="13"/>
  <c r="AE657" i="13"/>
  <c r="AE483" i="13"/>
  <c r="AE341" i="13"/>
  <c r="AE233" i="13"/>
  <c r="AE263" i="13"/>
  <c r="AE367" i="13"/>
  <c r="AE331" i="13"/>
  <c r="AE711" i="13"/>
  <c r="AE697" i="13"/>
  <c r="AE866" i="13"/>
  <c r="AE837" i="13"/>
  <c r="AE781" i="13"/>
  <c r="AE843" i="13"/>
  <c r="AE495" i="13"/>
  <c r="AE460" i="13"/>
  <c r="AE177" i="13"/>
  <c r="AE825" i="13"/>
  <c r="AE408" i="13"/>
  <c r="AE795" i="13"/>
  <c r="AE248" i="13"/>
  <c r="AE874" i="13"/>
  <c r="AE485" i="13"/>
  <c r="AE423" i="13"/>
  <c r="AE731" i="13"/>
  <c r="AE741" i="13"/>
  <c r="AE785" i="13"/>
  <c r="AE854" i="13"/>
  <c r="AE860" i="13"/>
  <c r="AE817" i="13"/>
  <c r="AE773" i="13"/>
  <c r="AE778" i="13"/>
  <c r="AE780" i="13"/>
  <c r="AE742" i="13"/>
  <c r="AE680" i="13"/>
  <c r="AE723" i="13"/>
  <c r="AE710" i="13"/>
  <c r="AE692" i="13"/>
  <c r="AE671" i="13"/>
  <c r="AE653" i="13"/>
  <c r="AE573" i="13"/>
  <c r="AE586" i="13"/>
  <c r="AE607" i="13"/>
  <c r="AE532" i="13"/>
  <c r="AE478" i="13"/>
  <c r="AE443" i="13"/>
  <c r="AE523" i="13"/>
  <c r="AE555" i="13"/>
  <c r="AE517" i="13"/>
  <c r="AE428" i="13"/>
  <c r="AE418" i="13"/>
  <c r="AE403" i="13"/>
  <c r="AE231" i="13"/>
  <c r="AE186" i="13"/>
  <c r="AE151" i="13"/>
  <c r="AE117" i="13"/>
  <c r="AE152" i="13"/>
  <c r="AE226" i="13"/>
  <c r="AE209" i="13"/>
  <c r="AE190" i="13"/>
  <c r="AE172" i="13"/>
  <c r="AE155" i="13"/>
  <c r="AE137" i="13"/>
  <c r="AE121" i="13"/>
  <c r="AE97" i="13"/>
  <c r="AE56" i="13"/>
  <c r="AE20" i="13"/>
  <c r="AE86" i="13"/>
  <c r="AE69" i="13"/>
  <c r="AE51" i="13"/>
  <c r="AE33" i="13"/>
  <c r="AE15" i="13"/>
  <c r="AE100" i="13"/>
  <c r="AE85" i="13"/>
  <c r="AE72" i="13"/>
  <c r="AE54" i="13"/>
  <c r="AE36" i="13"/>
  <c r="AE18" i="13"/>
  <c r="AE850" i="13"/>
  <c r="AE811" i="13"/>
  <c r="AE871" i="13"/>
  <c r="AE838" i="13"/>
  <c r="AE820" i="13"/>
  <c r="AE802" i="13"/>
  <c r="AE768" i="13"/>
  <c r="AE736" i="13"/>
  <c r="AE732" i="13"/>
  <c r="AE674" i="13"/>
  <c r="AE722" i="13"/>
  <c r="AE647" i="13"/>
  <c r="AE601" i="13"/>
  <c r="AE567" i="13"/>
  <c r="AE580" i="13"/>
  <c r="AE612" i="13"/>
  <c r="AE625" i="13"/>
  <c r="AE589" i="13"/>
  <c r="AE571" i="13"/>
  <c r="AE553" i="13"/>
  <c r="AE518" i="13"/>
  <c r="AE472" i="13"/>
  <c r="AE530" i="13"/>
  <c r="AE556" i="13"/>
  <c r="AE499" i="13"/>
  <c r="AE481" i="13"/>
  <c r="AE464" i="13"/>
  <c r="AE446" i="13"/>
  <c r="AE421" i="13"/>
  <c r="AE275" i="13"/>
  <c r="AE381" i="13"/>
  <c r="AE363" i="13"/>
  <c r="AE345" i="13"/>
  <c r="AE327" i="13"/>
  <c r="AE309" i="13"/>
  <c r="AE291" i="13"/>
  <c r="AE273" i="13"/>
  <c r="AE255" i="13"/>
  <c r="AE225" i="13"/>
  <c r="AE180" i="13"/>
  <c r="AE145" i="13"/>
  <c r="AE232" i="13"/>
  <c r="AE205" i="13"/>
  <c r="AE187" i="13"/>
  <c r="AE170" i="13"/>
  <c r="AE214" i="13"/>
  <c r="AE92" i="13"/>
  <c r="AE87" i="13"/>
  <c r="AE50" i="13"/>
  <c r="AE14" i="13"/>
  <c r="AE83" i="13"/>
  <c r="AE9" i="13"/>
  <c r="AE841" i="13"/>
  <c r="AE805" i="13"/>
  <c r="AE853" i="13"/>
  <c r="AE873" i="13"/>
  <c r="AE762" i="13"/>
  <c r="AE737" i="13"/>
  <c r="AE696" i="13"/>
  <c r="AE715" i="13"/>
  <c r="AE668" i="13"/>
  <c r="AE683" i="13"/>
  <c r="AE665" i="13"/>
  <c r="AE641" i="13"/>
  <c r="AE624" i="13"/>
  <c r="AE618" i="13"/>
  <c r="AE597" i="13"/>
  <c r="AE561" i="13"/>
  <c r="AE614" i="13"/>
  <c r="AE574" i="13"/>
  <c r="AE620" i="13"/>
  <c r="AE547" i="13"/>
  <c r="AE514" i="13"/>
  <c r="AE467" i="13"/>
  <c r="AE536" i="13"/>
  <c r="AE415" i="13"/>
  <c r="AE422" i="13"/>
  <c r="AE416" i="13"/>
  <c r="AE402" i="13"/>
  <c r="AE219" i="13"/>
  <c r="AE244" i="13"/>
  <c r="AE174" i="13"/>
  <c r="AE139" i="13"/>
  <c r="AE222" i="13"/>
  <c r="AE146" i="13"/>
  <c r="AE202" i="13"/>
  <c r="AE184" i="13"/>
  <c r="AE167" i="13"/>
  <c r="AE149" i="13"/>
  <c r="AE131" i="13"/>
  <c r="AE115" i="13"/>
  <c r="AE112" i="13"/>
  <c r="AE80" i="13"/>
  <c r="AE44" i="13"/>
  <c r="AE8" i="13"/>
  <c r="AE81" i="13"/>
  <c r="AE63" i="13"/>
  <c r="AE45" i="13"/>
  <c r="AE27" i="13"/>
  <c r="AE66" i="13"/>
  <c r="AE48" i="13"/>
  <c r="AE30" i="13"/>
  <c r="AE12" i="13"/>
  <c r="AE880" i="13"/>
  <c r="AE835" i="13"/>
  <c r="AE799" i="13"/>
  <c r="AE855" i="13"/>
  <c r="AE832" i="13"/>
  <c r="AE814" i="13"/>
  <c r="AE796" i="13"/>
  <c r="AE779" i="13"/>
  <c r="AE757" i="13"/>
  <c r="AE754" i="13"/>
  <c r="AE726" i="13"/>
  <c r="AE721" i="13"/>
  <c r="AE703" i="13"/>
  <c r="AE662" i="13"/>
  <c r="AE729" i="13"/>
  <c r="AE635" i="13"/>
  <c r="AE611" i="13"/>
  <c r="AE591" i="13"/>
  <c r="AE600" i="13"/>
  <c r="AE568" i="13"/>
  <c r="AE583" i="13"/>
  <c r="AE565" i="13"/>
  <c r="AE541" i="13"/>
  <c r="AE549" i="13"/>
  <c r="AE496" i="13"/>
  <c r="AE461" i="13"/>
  <c r="AE512" i="13"/>
  <c r="AE493" i="13"/>
  <c r="AE475" i="13"/>
  <c r="AE458" i="13"/>
  <c r="AE440" i="13"/>
  <c r="AE409" i="13"/>
  <c r="AE412" i="13"/>
  <c r="AE401" i="13"/>
  <c r="AE393" i="13"/>
  <c r="AE375" i="13"/>
  <c r="AE357" i="13"/>
  <c r="AE339" i="13"/>
  <c r="AE321" i="13"/>
  <c r="AE303" i="13"/>
  <c r="AE285" i="13"/>
  <c r="AE267" i="13"/>
  <c r="AE249" i="13"/>
  <c r="AE208" i="13"/>
  <c r="AE238" i="13"/>
  <c r="AE204" i="13"/>
  <c r="AE169" i="13"/>
  <c r="AE133" i="13"/>
  <c r="AE199" i="13"/>
  <c r="AE181" i="13"/>
  <c r="AE164" i="13"/>
  <c r="AE124" i="13"/>
  <c r="AE74" i="13"/>
  <c r="AE38" i="13"/>
  <c r="AE94" i="13"/>
  <c r="AE829" i="13"/>
  <c r="AE793" i="13"/>
  <c r="AE751" i="13"/>
  <c r="AE709" i="13"/>
  <c r="AE699" i="13"/>
  <c r="AE656" i="13"/>
  <c r="AE708" i="13"/>
  <c r="AE690" i="13"/>
  <c r="AE677" i="13"/>
  <c r="AE659" i="13"/>
  <c r="AE629" i="13"/>
  <c r="AE606" i="13"/>
  <c r="AE585" i="13"/>
  <c r="AE598" i="13"/>
  <c r="AE562" i="13"/>
  <c r="AE642" i="13"/>
  <c r="AE617" i="13"/>
  <c r="AE535" i="13"/>
  <c r="AE524" i="13"/>
  <c r="AE543" i="13"/>
  <c r="AE490" i="13"/>
  <c r="AE455" i="13"/>
  <c r="AE542" i="13"/>
  <c r="AE525" i="13"/>
  <c r="AE507" i="13"/>
  <c r="AE429" i="13"/>
  <c r="AE243" i="13"/>
  <c r="AE198" i="13"/>
  <c r="AE163" i="13"/>
  <c r="AE128" i="13"/>
  <c r="AE220" i="13"/>
  <c r="AE140" i="13"/>
  <c r="AE118" i="13"/>
  <c r="AE196" i="13"/>
  <c r="AE178" i="13"/>
  <c r="AE161" i="13"/>
  <c r="AE143" i="13"/>
  <c r="AE127" i="13"/>
  <c r="AE109" i="13"/>
  <c r="AE68" i="13"/>
  <c r="AE32" i="13"/>
  <c r="AE75" i="13"/>
  <c r="AE57" i="13"/>
  <c r="AE39" i="13"/>
  <c r="AE21" i="13"/>
  <c r="AE93" i="13"/>
  <c r="AE78" i="13"/>
  <c r="AE60" i="13"/>
  <c r="AE42" i="13"/>
  <c r="AE24" i="13"/>
  <c r="AE6" i="13"/>
  <c r="AE868" i="13"/>
  <c r="AE823" i="13"/>
  <c r="AE859" i="13"/>
  <c r="AE826" i="13"/>
  <c r="AE808" i="13"/>
  <c r="AE790" i="13"/>
  <c r="AE787" i="13"/>
  <c r="AE765" i="13"/>
  <c r="AE748" i="13"/>
  <c r="AE691" i="13"/>
  <c r="AE686" i="13"/>
  <c r="AE727" i="13"/>
  <c r="AE648" i="13"/>
  <c r="AE579" i="13"/>
  <c r="AE592" i="13"/>
  <c r="AE595" i="13"/>
  <c r="AE577" i="13"/>
  <c r="AE559" i="13"/>
  <c r="AE506" i="13"/>
  <c r="AE537" i="13"/>
  <c r="AE484" i="13"/>
  <c r="AE449" i="13"/>
  <c r="AE487" i="13"/>
  <c r="AE469" i="13"/>
  <c r="AE452" i="13"/>
  <c r="AE434" i="13"/>
  <c r="AE410" i="13"/>
  <c r="AE387" i="13"/>
  <c r="AE369" i="13"/>
  <c r="AE351" i="13"/>
  <c r="AE333" i="13"/>
  <c r="AE315" i="13"/>
  <c r="AE297" i="13"/>
  <c r="AE279" i="13"/>
  <c r="AE261" i="13"/>
  <c r="AE237" i="13"/>
  <c r="AE192" i="13"/>
  <c r="AE157" i="13"/>
  <c r="AE123" i="13"/>
  <c r="AE239" i="13"/>
  <c r="AE193" i="13"/>
  <c r="AE175" i="13"/>
  <c r="AE158" i="13"/>
  <c r="AE134" i="13"/>
  <c r="AE103" i="13"/>
  <c r="AE62" i="13"/>
  <c r="AE26" i="13"/>
  <c r="E120" i="13" l="1"/>
  <c r="D120" i="13"/>
  <c r="E119" i="13"/>
  <c r="D119" i="13"/>
  <c r="E118" i="13"/>
  <c r="D118" i="13"/>
  <c r="E403" i="13" l="1"/>
  <c r="D403" i="13"/>
  <c r="C403" i="13"/>
  <c r="E402" i="13"/>
  <c r="D402" i="13"/>
  <c r="C402" i="13"/>
  <c r="E401" i="13"/>
  <c r="D401" i="13"/>
  <c r="C401" i="13"/>
  <c r="B7" i="19" l="1"/>
  <c r="B8" i="19"/>
  <c r="B9" i="19"/>
  <c r="B10" i="19"/>
  <c r="B11" i="19"/>
  <c r="B12" i="19"/>
  <c r="D29" i="13" l="1"/>
  <c r="E29" i="13"/>
  <c r="D30" i="13"/>
  <c r="E30" i="13"/>
  <c r="B22" i="19" l="1"/>
  <c r="B21" i="19"/>
  <c r="B20" i="19"/>
  <c r="B19" i="19"/>
  <c r="B18" i="19"/>
  <c r="B17" i="19"/>
  <c r="C12" i="19"/>
  <c r="C11" i="19"/>
  <c r="C10" i="19"/>
  <c r="C9" i="19"/>
  <c r="C8" i="19"/>
  <c r="C7" i="19"/>
  <c r="F23" i="25"/>
  <c r="H23" i="25" s="1"/>
  <c r="D23" i="25"/>
  <c r="B23" i="25"/>
  <c r="F21" i="25"/>
  <c r="H21" i="25" s="1"/>
  <c r="D21" i="25"/>
  <c r="B21" i="25"/>
  <c r="F20" i="25"/>
  <c r="H20" i="25" s="1"/>
  <c r="D20" i="25"/>
  <c r="B20" i="25"/>
  <c r="F19" i="25"/>
  <c r="H19" i="25" s="1"/>
  <c r="D19" i="25"/>
  <c r="B19" i="25"/>
  <c r="G54" i="22"/>
  <c r="B54" i="22"/>
  <c r="G53" i="22"/>
  <c r="D53" i="22"/>
  <c r="B53" i="22"/>
  <c r="D52" i="22"/>
  <c r="B52" i="22"/>
  <c r="G51" i="22"/>
  <c r="D51" i="22"/>
  <c r="B51" i="22"/>
  <c r="G50" i="22"/>
  <c r="B50" i="22"/>
  <c r="G45" i="22"/>
  <c r="D45" i="22"/>
  <c r="B45" i="22"/>
  <c r="G44" i="22"/>
  <c r="D44" i="22"/>
  <c r="B44" i="22"/>
  <c r="G43" i="22"/>
  <c r="D43" i="22"/>
  <c r="B43" i="22"/>
  <c r="G42" i="22"/>
  <c r="B42" i="22"/>
  <c r="G38" i="22"/>
  <c r="D38" i="22"/>
  <c r="B38" i="22"/>
  <c r="G37" i="22"/>
  <c r="D37" i="22"/>
  <c r="B37" i="22"/>
  <c r="G36" i="22"/>
  <c r="D36" i="22"/>
  <c r="B36" i="22"/>
  <c r="G35" i="22"/>
  <c r="B35" i="22"/>
  <c r="G34" i="22"/>
  <c r="D34" i="22"/>
  <c r="B34" i="22"/>
  <c r="G33" i="22"/>
  <c r="D33" i="22"/>
  <c r="B33" i="22"/>
  <c r="G32" i="22"/>
  <c r="D32" i="22"/>
  <c r="B32" i="22"/>
  <c r="G31" i="22"/>
  <c r="B31" i="22"/>
  <c r="G30" i="22"/>
  <c r="D30" i="22"/>
  <c r="B30" i="22"/>
  <c r="G29" i="22"/>
  <c r="D29" i="22"/>
  <c r="B29" i="22"/>
  <c r="G28" i="22"/>
  <c r="D28" i="22"/>
  <c r="B28" i="22"/>
  <c r="G27" i="22"/>
  <c r="D27" i="22"/>
  <c r="B27" i="22"/>
  <c r="G26" i="22"/>
  <c r="D26" i="22"/>
  <c r="B26" i="22"/>
  <c r="D25" i="22"/>
  <c r="B25" i="22"/>
  <c r="G24" i="22"/>
  <c r="D24" i="22"/>
  <c r="B24" i="22"/>
  <c r="D19" i="19" l="1"/>
  <c r="D21" i="19"/>
  <c r="D18" i="19"/>
  <c r="D20" i="19"/>
  <c r="E18" i="19"/>
  <c r="E22" i="19"/>
  <c r="E19" i="19"/>
  <c r="E21" i="19"/>
  <c r="E20" i="19"/>
  <c r="E17" i="19"/>
  <c r="G25" i="22"/>
  <c r="D17" i="19" s="1"/>
  <c r="G52" i="22"/>
  <c r="D22" i="19" s="1"/>
  <c r="E12" i="13"/>
  <c r="E404" i="13"/>
  <c r="D404" i="13"/>
  <c r="C404" i="13"/>
  <c r="E400" i="13"/>
  <c r="D400" i="13"/>
  <c r="C400" i="13"/>
  <c r="E399" i="13"/>
  <c r="D399" i="13"/>
  <c r="C399" i="13"/>
  <c r="E398" i="13"/>
  <c r="D398" i="13"/>
  <c r="C398" i="13"/>
  <c r="E397" i="13"/>
  <c r="D397" i="13"/>
  <c r="C397" i="13"/>
  <c r="E396" i="13"/>
  <c r="D396" i="13"/>
  <c r="C396" i="13"/>
  <c r="E395" i="13"/>
  <c r="D395" i="13"/>
  <c r="C395" i="13"/>
  <c r="E394" i="13"/>
  <c r="D394" i="13"/>
  <c r="C394" i="13"/>
  <c r="E393" i="13"/>
  <c r="D393" i="13"/>
  <c r="C393" i="13"/>
  <c r="E392" i="13"/>
  <c r="D392" i="13"/>
  <c r="C392" i="13"/>
  <c r="E391" i="13"/>
  <c r="D391" i="13"/>
  <c r="C391" i="13"/>
  <c r="E390" i="13"/>
  <c r="D390" i="13"/>
  <c r="C390" i="13"/>
  <c r="E389" i="13"/>
  <c r="D389" i="13"/>
  <c r="C389" i="13"/>
  <c r="E388" i="13"/>
  <c r="D388" i="13"/>
  <c r="C388" i="13"/>
  <c r="E387" i="13"/>
  <c r="D387" i="13"/>
  <c r="C387" i="13"/>
  <c r="E386" i="13"/>
  <c r="D386" i="13"/>
  <c r="C386" i="13"/>
  <c r="E385" i="13"/>
  <c r="D385" i="13"/>
  <c r="C385" i="13"/>
  <c r="E384" i="13"/>
  <c r="D384" i="13"/>
  <c r="C384" i="13"/>
  <c r="E383" i="13"/>
  <c r="D383" i="13"/>
  <c r="C383" i="13"/>
  <c r="E382" i="13"/>
  <c r="D382" i="13"/>
  <c r="C382" i="13"/>
  <c r="E381" i="13"/>
  <c r="D381" i="13"/>
  <c r="C381" i="13"/>
  <c r="E380" i="13"/>
  <c r="D380" i="13"/>
  <c r="C380" i="13"/>
  <c r="E379" i="13"/>
  <c r="D379" i="13"/>
  <c r="C379" i="13"/>
  <c r="E378" i="13"/>
  <c r="D378" i="13"/>
  <c r="C378" i="13"/>
  <c r="E377" i="13"/>
  <c r="D377" i="13"/>
  <c r="C377" i="13"/>
  <c r="E376" i="13"/>
  <c r="D376" i="13"/>
  <c r="C376" i="13"/>
  <c r="E375" i="13"/>
  <c r="D375" i="13"/>
  <c r="C375" i="13"/>
  <c r="E374" i="13"/>
  <c r="D374" i="13"/>
  <c r="C374" i="13"/>
  <c r="E373" i="13"/>
  <c r="D373" i="13"/>
  <c r="C373" i="13"/>
  <c r="E372" i="13"/>
  <c r="D372" i="13"/>
  <c r="C372" i="13"/>
  <c r="E371" i="13"/>
  <c r="D371" i="13"/>
  <c r="C371" i="13"/>
  <c r="E370" i="13"/>
  <c r="D370" i="13"/>
  <c r="C370" i="13"/>
  <c r="E369" i="13"/>
  <c r="D369" i="13"/>
  <c r="C369" i="13"/>
  <c r="E368" i="13"/>
  <c r="D368" i="13"/>
  <c r="C368" i="13"/>
  <c r="E367" i="13"/>
  <c r="D367" i="13"/>
  <c r="C367" i="13"/>
  <c r="E366" i="13"/>
  <c r="D366" i="13"/>
  <c r="C366" i="13"/>
  <c r="E365" i="13"/>
  <c r="D365" i="13"/>
  <c r="C365" i="13"/>
  <c r="E364" i="13"/>
  <c r="D364" i="13"/>
  <c r="C364" i="13"/>
  <c r="E363" i="13"/>
  <c r="D363" i="13"/>
  <c r="C363" i="13"/>
  <c r="E362" i="13"/>
  <c r="D362" i="13"/>
  <c r="C362" i="13"/>
  <c r="E361" i="13"/>
  <c r="D361" i="13"/>
  <c r="C361" i="13"/>
  <c r="E360" i="13"/>
  <c r="D360" i="13"/>
  <c r="C360" i="13"/>
  <c r="E359" i="13"/>
  <c r="D359" i="13"/>
  <c r="C359" i="13"/>
  <c r="E358" i="13"/>
  <c r="D358" i="13"/>
  <c r="C358" i="13"/>
  <c r="E357" i="13"/>
  <c r="D357" i="13"/>
  <c r="C357" i="13"/>
  <c r="E356" i="13"/>
  <c r="D356" i="13"/>
  <c r="C356" i="13"/>
  <c r="E355" i="13"/>
  <c r="D355" i="13"/>
  <c r="C355" i="13"/>
  <c r="E354" i="13"/>
  <c r="D354" i="13"/>
  <c r="C354" i="13"/>
  <c r="E353" i="13"/>
  <c r="D353" i="13"/>
  <c r="C353" i="13"/>
  <c r="E352" i="13"/>
  <c r="D352" i="13"/>
  <c r="C352" i="13"/>
  <c r="E351" i="13"/>
  <c r="D351" i="13"/>
  <c r="C351" i="13"/>
  <c r="E350" i="13"/>
  <c r="D350" i="13"/>
  <c r="C350" i="13"/>
  <c r="E349" i="13"/>
  <c r="D349" i="13"/>
  <c r="C349" i="13"/>
  <c r="E348" i="13"/>
  <c r="D348" i="13"/>
  <c r="C348" i="13"/>
  <c r="E347" i="13"/>
  <c r="D347" i="13"/>
  <c r="C347" i="13"/>
  <c r="E346" i="13"/>
  <c r="D346" i="13"/>
  <c r="C346" i="13"/>
  <c r="E345" i="13"/>
  <c r="D345" i="13"/>
  <c r="C345" i="13"/>
  <c r="E344" i="13"/>
  <c r="D344" i="13"/>
  <c r="C344" i="13"/>
  <c r="E343" i="13"/>
  <c r="D343" i="13"/>
  <c r="C343" i="13"/>
  <c r="E342" i="13"/>
  <c r="D342" i="13"/>
  <c r="C342" i="13"/>
  <c r="E341" i="13"/>
  <c r="D341" i="13"/>
  <c r="C341" i="13"/>
  <c r="E340" i="13"/>
  <c r="D340" i="13"/>
  <c r="C340" i="13"/>
  <c r="E5" i="31" l="1"/>
  <c r="E6" i="31"/>
  <c r="E7" i="31"/>
  <c r="E8" i="31"/>
  <c r="D9" i="31"/>
  <c r="I21" i="31"/>
  <c r="K21" i="31" s="1"/>
  <c r="M21" i="31" s="1"/>
  <c r="O21" i="31" s="1"/>
  <c r="I22" i="31"/>
  <c r="K22" i="31" s="1"/>
  <c r="M22" i="31" s="1"/>
  <c r="O22" i="31" s="1"/>
  <c r="Q22" i="31" s="1"/>
  <c r="I23" i="31"/>
  <c r="K23" i="31" s="1"/>
  <c r="M23" i="31" s="1"/>
  <c r="O23" i="31" s="1"/>
  <c r="Q23" i="31" s="1"/>
  <c r="I25" i="31"/>
  <c r="K25" i="31" s="1"/>
  <c r="M25" i="31" s="1"/>
  <c r="O25" i="31" s="1"/>
  <c r="Q25" i="31" s="1"/>
  <c r="I30" i="31"/>
  <c r="K30" i="31" s="1"/>
  <c r="M30" i="31" s="1"/>
  <c r="O30" i="31" s="1"/>
  <c r="Q30" i="31" s="1"/>
  <c r="I31" i="31"/>
  <c r="K31" i="31" s="1"/>
  <c r="M31" i="31" s="1"/>
  <c r="O31" i="31" s="1"/>
  <c r="Q31" i="31" s="1"/>
  <c r="I32" i="31"/>
  <c r="K32" i="31" s="1"/>
  <c r="M32" i="31" s="1"/>
  <c r="O32" i="31" s="1"/>
  <c r="Q32" i="31" s="1"/>
  <c r="E9" i="31" l="1"/>
  <c r="E10" i="31" s="1"/>
  <c r="E13" i="31" s="1"/>
  <c r="I13" i="31" s="1"/>
  <c r="Q21" i="31"/>
  <c r="E16" i="31" l="1"/>
  <c r="I16" i="31" s="1"/>
  <c r="K16" i="31" s="1"/>
  <c r="M16" i="31" s="1"/>
  <c r="O16" i="31" s="1"/>
  <c r="Q16" i="31" s="1"/>
  <c r="E14" i="31"/>
  <c r="I14" i="31" s="1"/>
  <c r="K14" i="31" s="1"/>
  <c r="M14" i="31" s="1"/>
  <c r="O14" i="31" s="1"/>
  <c r="Q14" i="31" s="1"/>
  <c r="E24" i="31"/>
  <c r="I24" i="31" s="1"/>
  <c r="E15" i="31"/>
  <c r="I15" i="31" s="1"/>
  <c r="K15" i="31" s="1"/>
  <c r="M15" i="31" s="1"/>
  <c r="O15" i="31" s="1"/>
  <c r="Q15" i="31" s="1"/>
  <c r="I10" i="31"/>
  <c r="K10" i="31" s="1"/>
  <c r="M10" i="31" s="1"/>
  <c r="O10" i="31" s="1"/>
  <c r="Q10" i="31" s="1"/>
  <c r="E17" i="31"/>
  <c r="I17" i="31" s="1"/>
  <c r="K17" i="31" s="1"/>
  <c r="M17" i="31" s="1"/>
  <c r="O17" i="31" s="1"/>
  <c r="Q17" i="31" s="1"/>
  <c r="K13" i="31"/>
  <c r="I18" i="31" l="1"/>
  <c r="E18" i="31"/>
  <c r="E29" i="31" s="1"/>
  <c r="E26" i="31"/>
  <c r="K24" i="31"/>
  <c r="I26" i="31"/>
  <c r="K18" i="31"/>
  <c r="M13" i="31"/>
  <c r="M24" i="31" l="1"/>
  <c r="K26" i="31"/>
  <c r="E33" i="31"/>
  <c r="I29" i="31"/>
  <c r="O13" i="31"/>
  <c r="M18" i="31"/>
  <c r="O24" i="31" l="1"/>
  <c r="M26" i="31"/>
  <c r="O18" i="31"/>
  <c r="Q13" i="31"/>
  <c r="Q18" i="31" s="1"/>
  <c r="I33" i="31"/>
  <c r="I35" i="31" s="1"/>
  <c r="K29" i="31"/>
  <c r="E35" i="31"/>
  <c r="D38" i="31"/>
  <c r="D39" i="31"/>
  <c r="D41" i="31"/>
  <c r="D40" i="31"/>
  <c r="W41" i="13" l="1"/>
  <c r="W201" i="13"/>
  <c r="W84" i="13"/>
  <c r="W183" i="13"/>
  <c r="W373" i="13"/>
  <c r="W379" i="13"/>
  <c r="W695" i="13"/>
  <c r="W308" i="13"/>
  <c r="W218" i="13"/>
  <c r="W350" i="13"/>
  <c r="W435" i="13"/>
  <c r="W676" i="13"/>
  <c r="W753" i="13"/>
  <c r="W19" i="13"/>
  <c r="W31" i="13"/>
  <c r="W70" i="13"/>
  <c r="W37" i="13"/>
  <c r="W67" i="13"/>
  <c r="W88" i="13"/>
  <c r="W73" i="13"/>
  <c r="W79" i="13"/>
  <c r="W90" i="13"/>
  <c r="W16" i="13"/>
  <c r="W28" i="13"/>
  <c r="W55" i="13"/>
  <c r="W96" i="13"/>
  <c r="W188" i="13"/>
  <c r="W185" i="13"/>
  <c r="W136" i="13"/>
  <c r="W154" i="13"/>
  <c r="W191" i="13"/>
  <c r="W224" i="13"/>
  <c r="W213" i="13"/>
  <c r="W338" i="13"/>
  <c r="W360" i="13"/>
  <c r="W288" i="13"/>
  <c r="W354" i="13"/>
  <c r="W372" i="13"/>
  <c r="W390" i="13"/>
  <c r="W256" i="13"/>
  <c r="W310" i="13"/>
  <c r="W126" i="13"/>
  <c r="W253" i="13"/>
  <c r="W35" i="13"/>
  <c r="W211" i="13"/>
  <c r="W290" i="13"/>
  <c r="W391" i="13"/>
  <c r="W693" i="13"/>
  <c r="W110" i="13"/>
  <c r="W212" i="13"/>
  <c r="W831" i="13"/>
  <c r="W713" i="13"/>
  <c r="W528" i="13"/>
  <c r="W138" i="13"/>
  <c r="W162" i="13"/>
  <c r="W144" i="13"/>
  <c r="W203" i="13"/>
  <c r="W150" i="13"/>
  <c r="W182" i="13"/>
  <c r="W278" i="13"/>
  <c r="W364" i="13"/>
  <c r="W378" i="13"/>
  <c r="W250" i="13"/>
  <c r="W280" i="13"/>
  <c r="W340" i="13"/>
  <c r="W268" i="13"/>
  <c r="W358" i="13"/>
  <c r="W376" i="13"/>
  <c r="W394" i="13"/>
  <c r="W65" i="13"/>
  <c r="W289" i="13"/>
  <c r="W71" i="13"/>
  <c r="W271" i="13"/>
  <c r="W788" i="13"/>
  <c r="W552" i="13"/>
  <c r="W869" i="13"/>
  <c r="W189" i="13"/>
  <c r="W355" i="13"/>
  <c r="W25" i="13"/>
  <c r="W76" i="13"/>
  <c r="W11" i="13"/>
  <c r="W179" i="13"/>
  <c r="W236" i="13"/>
  <c r="W159" i="13"/>
  <c r="W210" i="13"/>
  <c r="W168" i="13"/>
  <c r="W116" i="13"/>
  <c r="W173" i="13"/>
  <c r="W286" i="13"/>
  <c r="W298" i="13"/>
  <c r="W334" i="13"/>
  <c r="W352" i="13"/>
  <c r="W252" i="13"/>
  <c r="W270" i="13"/>
  <c r="W426" i="13"/>
  <c r="W405" i="13"/>
  <c r="W474" i="13"/>
  <c r="W486" i="13"/>
  <c r="W459" i="13"/>
  <c r="W470" i="13"/>
  <c r="W482" i="13"/>
  <c r="W494" i="13"/>
  <c r="W504" i="13"/>
  <c r="W497" i="13"/>
  <c r="W502" i="13"/>
  <c r="W441" i="13"/>
  <c r="W453" i="13"/>
  <c r="W584" i="13"/>
  <c r="W554" i="13"/>
  <c r="W707" i="13"/>
  <c r="W717" i="13"/>
  <c r="W675" i="13"/>
  <c r="W664" i="13"/>
  <c r="W705" i="13"/>
  <c r="W650" i="13"/>
  <c r="W666" i="13"/>
  <c r="W678" i="13"/>
  <c r="W739" i="13"/>
  <c r="W749" i="13"/>
  <c r="W769" i="13"/>
  <c r="W777" i="13"/>
  <c r="W801" i="13"/>
  <c r="W845" i="13"/>
  <c r="W807" i="13"/>
  <c r="W839" i="13"/>
  <c r="W791" i="13"/>
  <c r="W833" i="13"/>
  <c r="W815" i="13"/>
  <c r="W301" i="13"/>
  <c r="W615" i="13"/>
  <c r="W560" i="13"/>
  <c r="W13" i="13"/>
  <c r="W40" i="13"/>
  <c r="W49" i="13"/>
  <c r="W64" i="13"/>
  <c r="W141" i="13"/>
  <c r="W197" i="13"/>
  <c r="W242" i="13"/>
  <c r="W132" i="13"/>
  <c r="W302" i="13"/>
  <c r="W300" i="13"/>
  <c r="W318" i="13"/>
  <c r="W332" i="13"/>
  <c r="W368" i="13"/>
  <c r="W400" i="13"/>
  <c r="W388" i="13"/>
  <c r="W274" i="13"/>
  <c r="W362" i="13"/>
  <c r="W398" i="13"/>
  <c r="W414" i="13"/>
  <c r="W527" i="13"/>
  <c r="W540" i="13"/>
  <c r="W632" i="13"/>
  <c r="W638" i="13"/>
  <c r="W558" i="13"/>
  <c r="W596" i="13"/>
  <c r="W619" i="13"/>
  <c r="W572" i="13"/>
  <c r="W654" i="13"/>
  <c r="W755" i="13"/>
  <c r="W771" i="13"/>
  <c r="W879" i="13"/>
  <c r="W320" i="13"/>
  <c r="W7" i="13"/>
  <c r="W22" i="13"/>
  <c r="W122" i="13"/>
  <c r="W328" i="13"/>
  <c r="W382" i="13"/>
  <c r="W386" i="13"/>
  <c r="W406" i="13"/>
  <c r="W425" i="13"/>
  <c r="W626" i="13"/>
  <c r="W621" i="13"/>
  <c r="W644" i="13"/>
  <c r="W578" i="13"/>
  <c r="W590" i="13"/>
  <c r="W725" i="13"/>
  <c r="W775" i="13"/>
  <c r="W95" i="13"/>
  <c r="W881" i="13"/>
  <c r="W610" i="13"/>
  <c r="W326" i="13"/>
  <c r="W266" i="13"/>
  <c r="W846" i="13"/>
  <c r="W10" i="13"/>
  <c r="W43" i="13"/>
  <c r="W34" i="13"/>
  <c r="W206" i="13"/>
  <c r="W120" i="13"/>
  <c r="W230" i="13"/>
  <c r="W156" i="13"/>
  <c r="W228" i="13"/>
  <c r="W396" i="13"/>
  <c r="W262" i="13"/>
  <c r="W304" i="13"/>
  <c r="W284" i="13"/>
  <c r="W272" i="13"/>
  <c r="W292" i="13"/>
  <c r="W316" i="13"/>
  <c r="W346" i="13"/>
  <c r="W370" i="13"/>
  <c r="W264" i="13"/>
  <c r="W480" i="13"/>
  <c r="W492" i="13"/>
  <c r="W439" i="13"/>
  <c r="W465" i="13"/>
  <c r="W476" i="13"/>
  <c r="W488" i="13"/>
  <c r="W500" i="13"/>
  <c r="W520" i="13"/>
  <c r="W503" i="13"/>
  <c r="W445" i="13"/>
  <c r="W447" i="13"/>
  <c r="W522" i="13"/>
  <c r="W551" i="13"/>
  <c r="W566" i="13"/>
  <c r="W639" i="13"/>
  <c r="W640" i="13"/>
  <c r="W672" i="13"/>
  <c r="W712" i="13"/>
  <c r="W740" i="13"/>
  <c r="W658" i="13"/>
  <c r="W684" i="13"/>
  <c r="W660" i="13"/>
  <c r="W689" i="13"/>
  <c r="W652" i="13"/>
  <c r="W766" i="13"/>
  <c r="W760" i="13"/>
  <c r="W797" i="13"/>
  <c r="W824" i="13"/>
  <c r="W803" i="13"/>
  <c r="W810" i="13"/>
  <c r="W844" i="13"/>
  <c r="W786" i="13"/>
  <c r="W809" i="13"/>
  <c r="W827" i="13"/>
  <c r="W821" i="13"/>
  <c r="W849" i="13"/>
  <c r="W319" i="13"/>
  <c r="W61" i="13"/>
  <c r="W200" i="13"/>
  <c r="W260" i="13"/>
  <c r="W344" i="13"/>
  <c r="W322" i="13"/>
  <c r="W380" i="13"/>
  <c r="W433" i="13"/>
  <c r="W646" i="13"/>
  <c r="W602" i="13"/>
  <c r="W745" i="13"/>
  <c r="W681" i="13"/>
  <c r="W356" i="13"/>
  <c r="W498" i="13"/>
  <c r="W325" i="13"/>
  <c r="W679" i="13"/>
  <c r="W588" i="13"/>
  <c r="W217" i="13"/>
  <c r="W473" i="13"/>
  <c r="W593" i="13"/>
  <c r="W148" i="13"/>
  <c r="W576" i="13"/>
  <c r="W389" i="13"/>
  <c r="W142" i="13"/>
  <c r="W489" i="13"/>
  <c r="W750" i="13"/>
  <c r="W432" i="13"/>
  <c r="W246" i="13"/>
  <c r="W89" i="13"/>
  <c r="W776" i="13"/>
  <c r="W417" i="13"/>
  <c r="W77" i="13"/>
  <c r="W52" i="13"/>
  <c r="W108" i="13"/>
  <c r="W603" i="13"/>
  <c r="W235" i="13"/>
  <c r="W813" i="13"/>
  <c r="W746" i="13"/>
  <c r="W604" i="13"/>
  <c r="W374" i="13"/>
  <c r="W323" i="13"/>
  <c r="W669" i="13"/>
  <c r="W353" i="13"/>
  <c r="W259" i="13"/>
  <c r="W377" i="13"/>
  <c r="W171" i="13"/>
  <c r="W657" i="13"/>
  <c r="W269" i="13"/>
  <c r="W462" i="13"/>
  <c r="W147" i="13"/>
  <c r="W840" i="13"/>
  <c r="W774" i="13"/>
  <c r="W767" i="13"/>
  <c r="W347" i="13"/>
  <c r="W23" i="13"/>
  <c r="W557" i="13"/>
  <c r="W616" i="13"/>
  <c r="W166" i="13"/>
  <c r="W114" i="13"/>
  <c r="W53" i="13"/>
  <c r="W276" i="13"/>
  <c r="W336" i="13"/>
  <c r="W587" i="13"/>
  <c r="W324" i="13"/>
  <c r="W685" i="13"/>
  <c r="W819" i="13"/>
  <c r="W531" i="13"/>
  <c r="W216" i="13"/>
  <c r="W392" i="13"/>
  <c r="W176" i="13"/>
  <c r="W366" i="13"/>
  <c r="W631" i="13"/>
  <c r="W858" i="13"/>
  <c r="W521" i="13"/>
  <c r="W878" i="13"/>
  <c r="W348" i="13"/>
  <c r="W747" i="13"/>
  <c r="W424" i="13"/>
  <c r="W783" i="13"/>
  <c r="W837" i="13"/>
  <c r="W759" i="13"/>
  <c r="W408" i="13"/>
  <c r="W510" i="13"/>
  <c r="W780" i="13"/>
  <c r="W710" i="13"/>
  <c r="W671" i="13"/>
  <c r="W607" i="13"/>
  <c r="W505" i="13"/>
  <c r="W517" i="13"/>
  <c r="W151" i="13"/>
  <c r="W209" i="13"/>
  <c r="W172" i="13"/>
  <c r="W137" i="13"/>
  <c r="W20" i="13"/>
  <c r="W85" i="13"/>
  <c r="W54" i="13"/>
  <c r="W18" i="13"/>
  <c r="W838" i="13"/>
  <c r="W802" i="13"/>
  <c r="W736" i="13"/>
  <c r="W722" i="13"/>
  <c r="W601" i="13"/>
  <c r="W625" i="13"/>
  <c r="W571" i="13"/>
  <c r="W499" i="13"/>
  <c r="W464" i="13"/>
  <c r="W381" i="13"/>
  <c r="W345" i="13"/>
  <c r="W309" i="13"/>
  <c r="W273" i="13"/>
  <c r="W145" i="13"/>
  <c r="W205" i="13"/>
  <c r="W50" i="13"/>
  <c r="W83" i="13"/>
  <c r="W853" i="13"/>
  <c r="W772" i="13"/>
  <c r="W683" i="13"/>
  <c r="W561" i="13"/>
  <c r="W620" i="13"/>
  <c r="W547" i="13"/>
  <c r="W219" i="13"/>
  <c r="W174" i="13"/>
  <c r="W202" i="13"/>
  <c r="W167" i="13"/>
  <c r="W131" i="13"/>
  <c r="W44" i="13"/>
  <c r="W91" i="13"/>
  <c r="W66" i="13"/>
  <c r="W30" i="13"/>
  <c r="W832" i="13"/>
  <c r="W796" i="13"/>
  <c r="W451" i="13"/>
  <c r="W794" i="13"/>
  <c r="W295" i="13"/>
  <c r="W761" i="13"/>
  <c r="W516" i="13"/>
  <c r="W335" i="13"/>
  <c r="W153" i="13"/>
  <c r="W661" i="13"/>
  <c r="W545" i="13"/>
  <c r="W515" i="13"/>
  <c r="W130" i="13"/>
  <c r="W195" i="13"/>
  <c r="W359" i="13"/>
  <c r="W466" i="13"/>
  <c r="W719" i="13"/>
  <c r="W311" i="13"/>
  <c r="W194" i="13"/>
  <c r="W875" i="13"/>
  <c r="W234" i="13"/>
  <c r="W862" i="13"/>
  <c r="W830" i="13"/>
  <c r="W812" i="13"/>
  <c r="W818" i="13"/>
  <c r="W539" i="13"/>
  <c r="W806" i="13"/>
  <c r="W800" i="13"/>
  <c r="W716" i="13"/>
  <c r="W407" i="13"/>
  <c r="W651" i="13"/>
  <c r="W135" i="13"/>
  <c r="W385" i="13"/>
  <c r="W361" i="13"/>
  <c r="W207" i="13"/>
  <c r="W221" i="13"/>
  <c r="W113" i="13"/>
  <c r="W395" i="13"/>
  <c r="W129" i="13"/>
  <c r="W247" i="13"/>
  <c r="W655" i="13"/>
  <c r="W734" i="13"/>
  <c r="W423" i="13"/>
  <c r="W728" i="13"/>
  <c r="W863" i="13"/>
  <c r="W724" i="13"/>
  <c r="W479" i="13"/>
  <c r="W419" i="13"/>
  <c r="W107" i="13"/>
  <c r="W442" i="13"/>
  <c r="W538" i="13"/>
  <c r="W312" i="13"/>
  <c r="W643" i="13"/>
  <c r="W471" i="13"/>
  <c r="W546" i="13"/>
  <c r="W581" i="13"/>
  <c r="W317" i="13"/>
  <c r="W82" i="13"/>
  <c r="W544" i="13"/>
  <c r="W752" i="13"/>
  <c r="W306" i="13"/>
  <c r="W509" i="13"/>
  <c r="W46" i="13"/>
  <c r="W872" i="13"/>
  <c r="W782" i="13"/>
  <c r="W257" i="13"/>
  <c r="W758" i="13"/>
  <c r="W694" i="13"/>
  <c r="W296" i="13"/>
  <c r="W781" i="13"/>
  <c r="W248" i="13"/>
  <c r="W431" i="13"/>
  <c r="W397" i="13"/>
  <c r="W741" i="13"/>
  <c r="W789" i="13"/>
  <c r="W860" i="13"/>
  <c r="W773" i="13"/>
  <c r="W680" i="13"/>
  <c r="W623" i="13"/>
  <c r="W586" i="13"/>
  <c r="W478" i="13"/>
  <c r="W548" i="13"/>
  <c r="W418" i="13"/>
  <c r="W231" i="13"/>
  <c r="W152" i="13"/>
  <c r="W97" i="13"/>
  <c r="W69" i="13"/>
  <c r="W33" i="13"/>
  <c r="W104" i="13"/>
  <c r="W811" i="13"/>
  <c r="W674" i="13"/>
  <c r="W580" i="13"/>
  <c r="W518" i="13"/>
  <c r="W530" i="13"/>
  <c r="W421" i="13"/>
  <c r="W225" i="13"/>
  <c r="W170" i="13"/>
  <c r="W92" i="13"/>
  <c r="W865" i="13"/>
  <c r="W841" i="13"/>
  <c r="W784" i="13"/>
  <c r="W696" i="13"/>
  <c r="W668" i="13"/>
  <c r="W641" i="13"/>
  <c r="W618" i="13"/>
  <c r="W574" i="13"/>
  <c r="W467" i="13"/>
  <c r="W415" i="13"/>
  <c r="W416" i="13"/>
  <c r="W222" i="13"/>
  <c r="W112" i="13"/>
  <c r="W81" i="13"/>
  <c r="W45" i="13"/>
  <c r="W880" i="13"/>
  <c r="W799" i="13"/>
  <c r="W757" i="13"/>
  <c r="W726" i="13"/>
  <c r="W703" i="13"/>
  <c r="W729" i="13"/>
  <c r="W635" i="13"/>
  <c r="W568" i="13"/>
  <c r="W496" i="13"/>
  <c r="W512" i="13"/>
  <c r="W412" i="13"/>
  <c r="W199" i="13"/>
  <c r="W164" i="13"/>
  <c r="W94" i="13"/>
  <c r="W793" i="13"/>
  <c r="W751" i="13"/>
  <c r="W743" i="13"/>
  <c r="W606" i="13"/>
  <c r="W598" i="13"/>
  <c r="W642" i="13"/>
  <c r="W455" i="13"/>
  <c r="W437" i="13"/>
  <c r="W243" i="13"/>
  <c r="W220" i="13"/>
  <c r="W118" i="13"/>
  <c r="W109" i="13"/>
  <c r="W57" i="13"/>
  <c r="W21" i="13"/>
  <c r="W686" i="13"/>
  <c r="W648" i="13"/>
  <c r="W592" i="13"/>
  <c r="W506" i="13"/>
  <c r="W511" i="13"/>
  <c r="W484" i="13"/>
  <c r="W410" i="13"/>
  <c r="W245" i="13"/>
  <c r="W468" i="13"/>
  <c r="W448" i="13"/>
  <c r="W495" i="13"/>
  <c r="W485" i="13"/>
  <c r="W331" i="13"/>
  <c r="W58" i="13"/>
  <c r="W836" i="13"/>
  <c r="W804" i="13"/>
  <c r="W637" i="13"/>
  <c r="W420" i="13"/>
  <c r="W399" i="13"/>
  <c r="W265" i="13"/>
  <c r="W673" i="13"/>
  <c r="W627" i="13"/>
  <c r="W436" i="13"/>
  <c r="W564" i="13"/>
  <c r="W411" i="13"/>
  <c r="W307" i="13"/>
  <c r="W277" i="13"/>
  <c r="W371" i="13"/>
  <c r="W687" i="13"/>
  <c r="W349" i="13"/>
  <c r="W628" i="13"/>
  <c r="W483" i="13"/>
  <c r="W427" i="13"/>
  <c r="W508" i="13"/>
  <c r="W526" i="13"/>
  <c r="W367" i="13"/>
  <c r="W29" i="13"/>
  <c r="W738" i="13"/>
  <c r="W706" i="13"/>
  <c r="W770" i="13"/>
  <c r="W594" i="13"/>
  <c r="W47" i="13"/>
  <c r="W101" i="13"/>
  <c r="W852" i="13"/>
  <c r="W313" i="13"/>
  <c r="W337" i="13"/>
  <c r="W718" i="13"/>
  <c r="W704" i="13"/>
  <c r="W438" i="13"/>
  <c r="W177" i="13"/>
  <c r="W258" i="13"/>
  <c r="W329" i="13"/>
  <c r="W305" i="13"/>
  <c r="W735" i="13"/>
  <c r="W730" i="13"/>
  <c r="W698" i="13"/>
  <c r="W870" i="13"/>
  <c r="W293" i="13"/>
  <c r="W763" i="13"/>
  <c r="W501" i="13"/>
  <c r="W563" i="13"/>
  <c r="W670" i="13"/>
  <c r="W454" i="13"/>
  <c r="W649" i="13"/>
  <c r="W463" i="13"/>
  <c r="W491" i="13"/>
  <c r="W848" i="13"/>
  <c r="W99" i="13"/>
  <c r="W609" i="13"/>
  <c r="W864" i="13"/>
  <c r="W856" i="13"/>
  <c r="W450" i="13"/>
  <c r="W764" i="13"/>
  <c r="W106" i="13"/>
  <c r="W314" i="13"/>
  <c r="W697" i="13"/>
  <c r="W866" i="13"/>
  <c r="W384" i="13"/>
  <c r="W825" i="13"/>
  <c r="W874" i="13"/>
  <c r="W778" i="13"/>
  <c r="W742" i="13"/>
  <c r="W692" i="13"/>
  <c r="W653" i="13"/>
  <c r="W573" i="13"/>
  <c r="W532" i="13"/>
  <c r="W523" i="13"/>
  <c r="W555" i="13"/>
  <c r="W403" i="13"/>
  <c r="W186" i="13"/>
  <c r="W117" i="13"/>
  <c r="W226" i="13"/>
  <c r="W190" i="13"/>
  <c r="W155" i="13"/>
  <c r="W121" i="13"/>
  <c r="W56" i="13"/>
  <c r="W72" i="13"/>
  <c r="W36" i="13"/>
  <c r="W850" i="13"/>
  <c r="W871" i="13"/>
  <c r="W820" i="13"/>
  <c r="W732" i="13"/>
  <c r="W720" i="13"/>
  <c r="W647" i="13"/>
  <c r="W567" i="13"/>
  <c r="W589" i="13"/>
  <c r="W553" i="13"/>
  <c r="W481" i="13"/>
  <c r="W446" i="13"/>
  <c r="W275" i="13"/>
  <c r="W363" i="13"/>
  <c r="W327" i="13"/>
  <c r="W291" i="13"/>
  <c r="W255" i="13"/>
  <c r="W180" i="13"/>
  <c r="W232" i="13"/>
  <c r="W87" i="13"/>
  <c r="W14" i="13"/>
  <c r="W873" i="13"/>
  <c r="W702" i="13"/>
  <c r="W665" i="13"/>
  <c r="W597" i="13"/>
  <c r="W614" i="13"/>
  <c r="W599" i="13"/>
  <c r="W514" i="13"/>
  <c r="W244" i="13"/>
  <c r="W139" i="13"/>
  <c r="W184" i="13"/>
  <c r="W149" i="13"/>
  <c r="W115" i="13"/>
  <c r="W80" i="13"/>
  <c r="W8" i="13"/>
  <c r="W48" i="13"/>
  <c r="W12" i="13"/>
  <c r="W855" i="13"/>
  <c r="W814" i="13"/>
  <c r="W754" i="13"/>
  <c r="W714" i="13"/>
  <c r="W605" i="13"/>
  <c r="W565" i="13"/>
  <c r="W549" i="13"/>
  <c r="W493" i="13"/>
  <c r="W458" i="13"/>
  <c r="W401" i="13"/>
  <c r="W375" i="13"/>
  <c r="W339" i="13"/>
  <c r="W303" i="13"/>
  <c r="W267" i="13"/>
  <c r="W204" i="13"/>
  <c r="W133" i="13"/>
  <c r="W38" i="13"/>
  <c r="W877" i="13"/>
  <c r="W690" i="13"/>
  <c r="W677" i="13"/>
  <c r="W585" i="13"/>
  <c r="W617" i="13"/>
  <c r="W507" i="13"/>
  <c r="W198" i="13"/>
  <c r="W128" i="13"/>
  <c r="W196" i="13"/>
  <c r="W161" i="13"/>
  <c r="W127" i="13"/>
  <c r="W68" i="13"/>
  <c r="W111" i="13"/>
  <c r="W78" i="13"/>
  <c r="W42" i="13"/>
  <c r="W6" i="13"/>
  <c r="W826" i="13"/>
  <c r="W790" i="13"/>
  <c r="W765" i="13"/>
  <c r="W579" i="13"/>
  <c r="W595" i="13"/>
  <c r="W559" i="13"/>
  <c r="W537" i="13"/>
  <c r="W469" i="13"/>
  <c r="W387" i="13"/>
  <c r="W351" i="13"/>
  <c r="W17" i="13"/>
  <c r="W430" i="13"/>
  <c r="W229" i="13"/>
  <c r="W744" i="13"/>
  <c r="W534" i="13"/>
  <c r="W125" i="13"/>
  <c r="W460" i="13"/>
  <c r="W342" i="13"/>
  <c r="W622" i="13"/>
  <c r="W241" i="13"/>
  <c r="W843" i="13"/>
  <c r="W287" i="13"/>
  <c r="W251" i="13"/>
  <c r="W876" i="13"/>
  <c r="W575" i="13"/>
  <c r="W613" i="13"/>
  <c r="W457" i="13"/>
  <c r="W842" i="13"/>
  <c r="W711" i="13"/>
  <c r="W282" i="13"/>
  <c r="W854" i="13"/>
  <c r="W443" i="13"/>
  <c r="W15" i="13"/>
  <c r="W768" i="13"/>
  <c r="W9" i="13"/>
  <c r="W624" i="13"/>
  <c r="W402" i="13"/>
  <c r="W63" i="13"/>
  <c r="W779" i="13"/>
  <c r="W662" i="13"/>
  <c r="W583" i="13"/>
  <c r="W461" i="13"/>
  <c r="W393" i="13"/>
  <c r="W249" i="13"/>
  <c r="W238" i="13"/>
  <c r="W181" i="13"/>
  <c r="W74" i="13"/>
  <c r="W659" i="13"/>
  <c r="W562" i="13"/>
  <c r="W39" i="13"/>
  <c r="W868" i="13"/>
  <c r="W859" i="13"/>
  <c r="W691" i="13"/>
  <c r="W577" i="13"/>
  <c r="W369" i="13"/>
  <c r="W193" i="13"/>
  <c r="W158" i="13"/>
  <c r="W103" i="13"/>
  <c r="W440" i="13"/>
  <c r="W656" i="13"/>
  <c r="W490" i="13"/>
  <c r="W163" i="13"/>
  <c r="W178" i="13"/>
  <c r="W787" i="13"/>
  <c r="W449" i="13"/>
  <c r="W237" i="13"/>
  <c r="W134" i="13"/>
  <c r="W834" i="13"/>
  <c r="W165" i="13"/>
  <c r="W569" i="13"/>
  <c r="W341" i="13"/>
  <c r="W857" i="13"/>
  <c r="W105" i="13"/>
  <c r="W365" i="13"/>
  <c r="W795" i="13"/>
  <c r="W817" i="13"/>
  <c r="W428" i="13"/>
  <c r="W612" i="13"/>
  <c r="W762" i="13"/>
  <c r="W630" i="13"/>
  <c r="W541" i="13"/>
  <c r="W357" i="13"/>
  <c r="W169" i="13"/>
  <c r="W699" i="13"/>
  <c r="W629" i="13"/>
  <c r="W543" i="13"/>
  <c r="W140" i="13"/>
  <c r="W823" i="13"/>
  <c r="W487" i="13"/>
  <c r="W297" i="13"/>
  <c r="W192" i="13"/>
  <c r="W633" i="13"/>
  <c r="W283" i="13"/>
  <c r="W59" i="13"/>
  <c r="W822" i="13"/>
  <c r="W828" i="13"/>
  <c r="W513" i="13"/>
  <c r="W792" i="13"/>
  <c r="W756" i="13"/>
  <c r="W227" i="13"/>
  <c r="W102" i="13"/>
  <c r="W444" i="13"/>
  <c r="W263" i="13"/>
  <c r="W223" i="13"/>
  <c r="W688" i="13"/>
  <c r="W281" i="13"/>
  <c r="W634" i="13"/>
  <c r="W550" i="13"/>
  <c r="W456" i="13"/>
  <c r="W240" i="13"/>
  <c r="W254" i="13"/>
  <c r="W330" i="13"/>
  <c r="W785" i="13"/>
  <c r="W51" i="13"/>
  <c r="W556" i="13"/>
  <c r="W214" i="13"/>
  <c r="W715" i="13"/>
  <c r="W422" i="13"/>
  <c r="W835" i="13"/>
  <c r="W721" i="13"/>
  <c r="W611" i="13"/>
  <c r="W600" i="13"/>
  <c r="W409" i="13"/>
  <c r="W285" i="13"/>
  <c r="W829" i="13"/>
  <c r="W542" i="13"/>
  <c r="W143" i="13"/>
  <c r="W75" i="13"/>
  <c r="W24" i="13"/>
  <c r="W748" i="13"/>
  <c r="W529" i="13"/>
  <c r="W434" i="13"/>
  <c r="W315" i="13"/>
  <c r="W279" i="13"/>
  <c r="W157" i="13"/>
  <c r="W239" i="13"/>
  <c r="W62" i="13"/>
  <c r="W709" i="13"/>
  <c r="W524" i="13"/>
  <c r="W525" i="13"/>
  <c r="W32" i="13"/>
  <c r="W60" i="13"/>
  <c r="W452" i="13"/>
  <c r="W175" i="13"/>
  <c r="W816" i="13"/>
  <c r="W343" i="13"/>
  <c r="W404" i="13"/>
  <c r="W667" i="13"/>
  <c r="W233" i="13"/>
  <c r="W663" i="13"/>
  <c r="W294" i="13"/>
  <c r="W645" i="13"/>
  <c r="W731" i="13"/>
  <c r="W636" i="13"/>
  <c r="W100" i="13"/>
  <c r="W847" i="13"/>
  <c r="W146" i="13"/>
  <c r="W27" i="13"/>
  <c r="W475" i="13"/>
  <c r="W208" i="13"/>
  <c r="W124" i="13"/>
  <c r="W708" i="13"/>
  <c r="W535" i="13"/>
  <c r="W429" i="13"/>
  <c r="W93" i="13"/>
  <c r="W808" i="13"/>
  <c r="W333" i="13"/>
  <c r="W261" i="13"/>
  <c r="W123" i="13"/>
  <c r="W26" i="13"/>
  <c r="W299" i="13"/>
  <c r="W700" i="13"/>
  <c r="W533" i="13"/>
  <c r="W867" i="13"/>
  <c r="W570" i="13"/>
  <c r="W519" i="13"/>
  <c r="W608" i="13"/>
  <c r="W582" i="13"/>
  <c r="W413" i="13"/>
  <c r="W851" i="13"/>
  <c r="W119" i="13"/>
  <c r="W798" i="13"/>
  <c r="W383" i="13"/>
  <c r="W861" i="13"/>
  <c r="W215" i="13"/>
  <c r="W477" i="13"/>
  <c r="W701" i="13"/>
  <c r="W733" i="13"/>
  <c r="W682" i="13"/>
  <c r="W723" i="13"/>
  <c r="W86" i="13"/>
  <c r="W472" i="13"/>
  <c r="W187" i="13"/>
  <c r="W805" i="13"/>
  <c r="W737" i="13"/>
  <c r="W536" i="13"/>
  <c r="W98" i="13"/>
  <c r="W591" i="13"/>
  <c r="W321" i="13"/>
  <c r="W160" i="13"/>
  <c r="W727" i="13"/>
  <c r="AC424" i="13"/>
  <c r="AC879" i="13"/>
  <c r="AC875" i="13"/>
  <c r="AC871" i="13"/>
  <c r="AC867" i="13"/>
  <c r="AC863" i="13"/>
  <c r="AC859" i="13"/>
  <c r="AC855" i="13"/>
  <c r="AC851" i="13"/>
  <c r="AC847" i="13"/>
  <c r="AC843" i="13"/>
  <c r="AC839" i="13"/>
  <c r="AC835" i="13"/>
  <c r="AC831" i="13"/>
  <c r="AC827" i="13"/>
  <c r="AC823" i="13"/>
  <c r="AC819" i="13"/>
  <c r="AC815" i="13"/>
  <c r="AC811" i="13"/>
  <c r="AC807" i="13"/>
  <c r="AC803" i="13"/>
  <c r="AC799" i="13"/>
  <c r="AC795" i="13"/>
  <c r="AC791" i="13"/>
  <c r="AC787" i="13"/>
  <c r="AC783" i="13"/>
  <c r="AC779" i="13"/>
  <c r="AC775" i="13"/>
  <c r="AC771" i="13"/>
  <c r="AC767" i="13"/>
  <c r="AC763" i="13"/>
  <c r="AC759" i="13"/>
  <c r="AC755" i="13"/>
  <c r="AC751" i="13"/>
  <c r="AC747" i="13"/>
  <c r="AC743" i="13"/>
  <c r="AC739" i="13"/>
  <c r="AC735" i="13"/>
  <c r="AC731" i="13"/>
  <c r="AC727" i="13"/>
  <c r="AC723" i="13"/>
  <c r="AC719" i="13"/>
  <c r="AC715" i="13"/>
  <c r="AC711" i="13"/>
  <c r="AC707" i="13"/>
  <c r="AC703" i="13"/>
  <c r="AC699" i="13"/>
  <c r="AC695" i="13"/>
  <c r="AF695" i="13" s="1"/>
  <c r="AC691" i="13"/>
  <c r="AC687" i="13"/>
  <c r="AC683" i="13"/>
  <c r="AC679" i="13"/>
  <c r="AC675" i="13"/>
  <c r="AC671" i="13"/>
  <c r="AC667" i="13"/>
  <c r="AC663" i="13"/>
  <c r="AC659" i="13"/>
  <c r="AC880" i="13"/>
  <c r="AC876" i="13"/>
  <c r="AC872" i="13"/>
  <c r="AC868" i="13"/>
  <c r="AC864" i="13"/>
  <c r="AC860" i="13"/>
  <c r="AC856" i="13"/>
  <c r="AC852" i="13"/>
  <c r="AC848" i="13"/>
  <c r="AC844" i="13"/>
  <c r="AC840" i="13"/>
  <c r="AC836" i="13"/>
  <c r="AC832" i="13"/>
  <c r="AC828" i="13"/>
  <c r="AC824" i="13"/>
  <c r="AC820" i="13"/>
  <c r="AC816" i="13"/>
  <c r="AC812" i="13"/>
  <c r="AC808" i="13"/>
  <c r="AC804" i="13"/>
  <c r="AC800" i="13"/>
  <c r="AC796" i="13"/>
  <c r="AC792" i="13"/>
  <c r="AC788" i="13"/>
  <c r="AF788" i="13" s="1"/>
  <c r="AC784" i="13"/>
  <c r="AC780" i="13"/>
  <c r="AC776" i="13"/>
  <c r="AC772" i="13"/>
  <c r="AC768" i="13"/>
  <c r="AC764" i="13"/>
  <c r="AC760" i="13"/>
  <c r="AC756" i="13"/>
  <c r="AC752" i="13"/>
  <c r="AC748" i="13"/>
  <c r="AC744" i="13"/>
  <c r="AC740" i="13"/>
  <c r="AC736" i="13"/>
  <c r="AC732" i="13"/>
  <c r="AC728" i="13"/>
  <c r="AC724" i="13"/>
  <c r="AC720" i="13"/>
  <c r="AC716" i="13"/>
  <c r="AC712" i="13"/>
  <c r="AC708" i="13"/>
  <c r="AC704" i="13"/>
  <c r="AC700" i="13"/>
  <c r="AC696" i="13"/>
  <c r="AC692" i="13"/>
  <c r="AC688" i="13"/>
  <c r="AC684" i="13"/>
  <c r="AC680" i="13"/>
  <c r="AC676" i="13"/>
  <c r="AC672" i="13"/>
  <c r="AC668" i="13"/>
  <c r="AC664" i="13"/>
  <c r="AC660" i="13"/>
  <c r="AC656" i="13"/>
  <c r="AC652" i="13"/>
  <c r="AC648" i="13"/>
  <c r="AC644" i="13"/>
  <c r="AC640" i="13"/>
  <c r="AC636" i="13"/>
  <c r="AC632" i="13"/>
  <c r="AC628" i="13"/>
  <c r="AC624" i="13"/>
  <c r="AC620" i="13"/>
  <c r="AC616" i="13"/>
  <c r="AC612" i="13"/>
  <c r="AC608" i="13"/>
  <c r="AC604" i="13"/>
  <c r="AC600" i="13"/>
  <c r="AC596" i="13"/>
  <c r="AC592" i="13"/>
  <c r="AC588" i="13"/>
  <c r="AC584" i="13"/>
  <c r="AC580" i="13"/>
  <c r="AC576" i="13"/>
  <c r="AC572" i="13"/>
  <c r="AC568" i="13"/>
  <c r="AC564" i="13"/>
  <c r="AC560" i="13"/>
  <c r="AC556" i="13"/>
  <c r="AC881" i="13"/>
  <c r="AC877" i="13"/>
  <c r="AC873" i="13"/>
  <c r="AC869" i="13"/>
  <c r="AC865" i="13"/>
  <c r="AC861" i="13"/>
  <c r="AC857" i="13"/>
  <c r="AC853" i="13"/>
  <c r="AC849" i="13"/>
  <c r="AC845" i="13"/>
  <c r="AC841" i="13"/>
  <c r="AC837" i="13"/>
  <c r="AC833" i="13"/>
  <c r="AC829" i="13"/>
  <c r="AC825" i="13"/>
  <c r="AC821" i="13"/>
  <c r="AC817" i="13"/>
  <c r="AC813" i="13"/>
  <c r="AC809" i="13"/>
  <c r="AC805" i="13"/>
  <c r="AC801" i="13"/>
  <c r="AC797" i="13"/>
  <c r="AC793" i="13"/>
  <c r="AC789" i="13"/>
  <c r="AC785" i="13"/>
  <c r="AC781" i="13"/>
  <c r="AC777" i="13"/>
  <c r="AC773" i="13"/>
  <c r="AC769" i="13"/>
  <c r="AC765" i="13"/>
  <c r="AC761" i="13"/>
  <c r="AC757" i="13"/>
  <c r="AC753" i="13"/>
  <c r="AC749" i="13"/>
  <c r="AC745" i="13"/>
  <c r="AC741" i="13"/>
  <c r="AC737" i="13"/>
  <c r="AC733" i="13"/>
  <c r="AC729" i="13"/>
  <c r="AC725" i="13"/>
  <c r="AC721" i="13"/>
  <c r="AC717" i="13"/>
  <c r="AC713" i="13"/>
  <c r="AC709" i="13"/>
  <c r="AC705" i="13"/>
  <c r="AC701" i="13"/>
  <c r="AC697" i="13"/>
  <c r="AC693" i="13"/>
  <c r="AC689" i="13"/>
  <c r="AC685" i="13"/>
  <c r="AC681" i="13"/>
  <c r="AC677" i="13"/>
  <c r="AC673" i="13"/>
  <c r="AC669" i="13"/>
  <c r="AC665" i="13"/>
  <c r="AC661" i="13"/>
  <c r="AC657" i="13"/>
  <c r="AC653" i="13"/>
  <c r="AC649" i="13"/>
  <c r="AC645" i="13"/>
  <c r="AC641" i="13"/>
  <c r="AC637" i="13"/>
  <c r="AC633" i="13"/>
  <c r="AC629" i="13"/>
  <c r="AC625" i="13"/>
  <c r="AC621" i="13"/>
  <c r="AC617" i="13"/>
  <c r="AC613" i="13"/>
  <c r="AC609" i="13"/>
  <c r="AC605" i="13"/>
  <c r="AC601" i="13"/>
  <c r="AC597" i="13"/>
  <c r="AC593" i="13"/>
  <c r="AC589" i="13"/>
  <c r="AC585" i="13"/>
  <c r="AC581" i="13"/>
  <c r="AC577" i="13"/>
  <c r="AC573" i="13"/>
  <c r="AC569" i="13"/>
  <c r="AC565" i="13"/>
  <c r="AC561" i="13"/>
  <c r="AC557" i="13"/>
  <c r="AC870" i="13"/>
  <c r="AC854" i="13"/>
  <c r="AC838" i="13"/>
  <c r="AC822" i="13"/>
  <c r="AC806" i="13"/>
  <c r="AC790" i="13"/>
  <c r="AC774" i="13"/>
  <c r="AC758" i="13"/>
  <c r="AC742" i="13"/>
  <c r="AC726" i="13"/>
  <c r="AC710" i="13"/>
  <c r="AC694" i="13"/>
  <c r="AC678" i="13"/>
  <c r="AC662" i="13"/>
  <c r="AC655" i="13"/>
  <c r="AC647" i="13"/>
  <c r="AC639" i="13"/>
  <c r="AC631" i="13"/>
  <c r="AC623" i="13"/>
  <c r="AC615" i="13"/>
  <c r="AC607" i="13"/>
  <c r="AC599" i="13"/>
  <c r="AC591" i="13"/>
  <c r="AC583" i="13"/>
  <c r="AC575" i="13"/>
  <c r="AC567" i="13"/>
  <c r="AC559" i="13"/>
  <c r="AC553" i="13"/>
  <c r="AC549" i="13"/>
  <c r="AC545" i="13"/>
  <c r="AC541" i="13"/>
  <c r="AC537" i="13"/>
  <c r="AC533" i="13"/>
  <c r="AC529" i="13"/>
  <c r="AC525" i="13"/>
  <c r="AC521" i="13"/>
  <c r="AC517" i="13"/>
  <c r="AC513" i="13"/>
  <c r="AC509" i="13"/>
  <c r="AC505" i="13"/>
  <c r="AC501" i="13"/>
  <c r="AC497" i="13"/>
  <c r="AC493" i="13"/>
  <c r="AC489" i="13"/>
  <c r="AC485" i="13"/>
  <c r="AC481" i="13"/>
  <c r="AC477" i="13"/>
  <c r="AC473" i="13"/>
  <c r="AC469" i="13"/>
  <c r="AC465" i="13"/>
  <c r="AC461" i="13"/>
  <c r="AC457" i="13"/>
  <c r="AC453" i="13"/>
  <c r="AC449" i="13"/>
  <c r="AC445" i="13"/>
  <c r="AC441" i="13"/>
  <c r="AC437" i="13"/>
  <c r="AC433" i="13"/>
  <c r="AC429" i="13"/>
  <c r="AC425" i="13"/>
  <c r="AC420" i="13"/>
  <c r="AC416" i="13"/>
  <c r="AC412" i="13"/>
  <c r="AC408" i="13"/>
  <c r="AC404" i="13"/>
  <c r="AC400" i="13"/>
  <c r="AC396" i="13"/>
  <c r="AC392" i="13"/>
  <c r="AC388" i="13"/>
  <c r="AC866" i="13"/>
  <c r="AC850" i="13"/>
  <c r="AC834" i="13"/>
  <c r="AC818" i="13"/>
  <c r="AC802" i="13"/>
  <c r="AC786" i="13"/>
  <c r="AC770" i="13"/>
  <c r="AC754" i="13"/>
  <c r="AC738" i="13"/>
  <c r="AC722" i="13"/>
  <c r="AC706" i="13"/>
  <c r="AC690" i="13"/>
  <c r="AC674" i="13"/>
  <c r="AC658" i="13"/>
  <c r="AC650" i="13"/>
  <c r="AC642" i="13"/>
  <c r="AC634" i="13"/>
  <c r="AC626" i="13"/>
  <c r="AC618" i="13"/>
  <c r="AC610" i="13"/>
  <c r="AC602" i="13"/>
  <c r="AC594" i="13"/>
  <c r="AC586" i="13"/>
  <c r="AC578" i="13"/>
  <c r="AC570" i="13"/>
  <c r="AC562" i="13"/>
  <c r="AC554" i="13"/>
  <c r="AC550" i="13"/>
  <c r="AC546" i="13"/>
  <c r="AC542" i="13"/>
  <c r="AC538" i="13"/>
  <c r="AC534" i="13"/>
  <c r="AC530" i="13"/>
  <c r="AC526" i="13"/>
  <c r="AC522" i="13"/>
  <c r="AC518" i="13"/>
  <c r="AC514" i="13"/>
  <c r="AC510" i="13"/>
  <c r="AC506" i="13"/>
  <c r="AC502" i="13"/>
  <c r="AC498" i="13"/>
  <c r="AC494" i="13"/>
  <c r="AC490" i="13"/>
  <c r="AC486" i="13"/>
  <c r="AC482" i="13"/>
  <c r="AC478" i="13"/>
  <c r="AC474" i="13"/>
  <c r="AC470" i="13"/>
  <c r="AC466" i="13"/>
  <c r="AC462" i="13"/>
  <c r="AC458" i="13"/>
  <c r="AC454" i="13"/>
  <c r="AC450" i="13"/>
  <c r="AC446" i="13"/>
  <c r="AC442" i="13"/>
  <c r="AC438" i="13"/>
  <c r="AC434" i="13"/>
  <c r="AC430" i="13"/>
  <c r="AC426" i="13"/>
  <c r="AC421" i="13"/>
  <c r="AC417" i="13"/>
  <c r="AC413" i="13"/>
  <c r="AC409" i="13"/>
  <c r="AC405" i="13"/>
  <c r="AC401" i="13"/>
  <c r="AC397" i="13"/>
  <c r="AC393" i="13"/>
  <c r="AC389" i="13"/>
  <c r="AC385" i="13"/>
  <c r="AC381" i="13"/>
  <c r="AC377" i="13"/>
  <c r="AC373" i="13"/>
  <c r="AC369" i="13"/>
  <c r="AC365" i="13"/>
  <c r="AC361" i="13"/>
  <c r="AC357" i="13"/>
  <c r="AC353" i="13"/>
  <c r="AC349" i="13"/>
  <c r="AC345" i="13"/>
  <c r="AC341" i="13"/>
  <c r="AC337" i="13"/>
  <c r="AC878" i="13"/>
  <c r="AC862" i="13"/>
  <c r="AC846" i="13"/>
  <c r="AC830" i="13"/>
  <c r="AC814" i="13"/>
  <c r="AC798" i="13"/>
  <c r="AC782" i="13"/>
  <c r="AC766" i="13"/>
  <c r="AC750" i="13"/>
  <c r="AC734" i="13"/>
  <c r="AC718" i="13"/>
  <c r="AC702" i="13"/>
  <c r="AC686" i="13"/>
  <c r="AC670" i="13"/>
  <c r="AC651" i="13"/>
  <c r="AC643" i="13"/>
  <c r="AC635" i="13"/>
  <c r="AC627" i="13"/>
  <c r="AC619" i="13"/>
  <c r="AC611" i="13"/>
  <c r="AC603" i="13"/>
  <c r="AC595" i="13"/>
  <c r="AC587" i="13"/>
  <c r="AC579" i="13"/>
  <c r="AC571" i="13"/>
  <c r="AC563" i="13"/>
  <c r="AC555" i="13"/>
  <c r="AC551" i="13"/>
  <c r="AC547" i="13"/>
  <c r="AC543" i="13"/>
  <c r="AC539" i="13"/>
  <c r="AC535" i="13"/>
  <c r="AC531" i="13"/>
  <c r="AC527" i="13"/>
  <c r="AC523" i="13"/>
  <c r="AC519" i="13"/>
  <c r="AC515" i="13"/>
  <c r="AC511" i="13"/>
  <c r="AC507" i="13"/>
  <c r="AC503" i="13"/>
  <c r="AC499" i="13"/>
  <c r="AC495" i="13"/>
  <c r="AC491" i="13"/>
  <c r="AC487" i="13"/>
  <c r="AC483" i="13"/>
  <c r="AC479" i="13"/>
  <c r="AC475" i="13"/>
  <c r="AC471" i="13"/>
  <c r="AC467" i="13"/>
  <c r="AC463" i="13"/>
  <c r="AC459" i="13"/>
  <c r="AC455" i="13"/>
  <c r="AC451" i="13"/>
  <c r="AC447" i="13"/>
  <c r="AC443" i="13"/>
  <c r="AC439" i="13"/>
  <c r="AC435" i="13"/>
  <c r="AC431" i="13"/>
  <c r="AC427" i="13"/>
  <c r="AC422" i="13"/>
  <c r="AC418" i="13"/>
  <c r="AC414" i="13"/>
  <c r="AC410" i="13"/>
  <c r="AC406" i="13"/>
  <c r="AC402" i="13"/>
  <c r="AC398" i="13"/>
  <c r="AC394" i="13"/>
  <c r="AC390" i="13"/>
  <c r="AC386" i="13"/>
  <c r="AC382" i="13"/>
  <c r="AC378" i="13"/>
  <c r="AC374" i="13"/>
  <c r="AC370" i="13"/>
  <c r="AC366" i="13"/>
  <c r="AC362" i="13"/>
  <c r="AC358" i="13"/>
  <c r="AC354" i="13"/>
  <c r="AC350" i="13"/>
  <c r="AC346" i="13"/>
  <c r="AC342" i="13"/>
  <c r="AC338" i="13"/>
  <c r="AC826" i="13"/>
  <c r="AC762" i="13"/>
  <c r="AC698" i="13"/>
  <c r="AC646" i="13"/>
  <c r="AC614" i="13"/>
  <c r="AC582" i="13"/>
  <c r="AC552" i="13"/>
  <c r="AF552" i="13" s="1"/>
  <c r="AC536" i="13"/>
  <c r="AC520" i="13"/>
  <c r="AC504" i="13"/>
  <c r="AC488" i="13"/>
  <c r="AC472" i="13"/>
  <c r="AC456" i="13"/>
  <c r="AC440" i="13"/>
  <c r="AC423" i="13"/>
  <c r="AC407" i="13"/>
  <c r="AC391" i="13"/>
  <c r="AC384" i="13"/>
  <c r="AC376" i="13"/>
  <c r="AC368" i="13"/>
  <c r="AC360" i="13"/>
  <c r="AC352" i="13"/>
  <c r="AC344" i="13"/>
  <c r="AC336" i="13"/>
  <c r="AC332" i="13"/>
  <c r="AC328" i="13"/>
  <c r="AC324" i="13"/>
  <c r="AC320" i="13"/>
  <c r="AC316" i="13"/>
  <c r="AC312" i="13"/>
  <c r="AC308" i="13"/>
  <c r="AC304" i="13"/>
  <c r="AC300" i="13"/>
  <c r="AC296" i="13"/>
  <c r="AC292" i="13"/>
  <c r="AC288" i="13"/>
  <c r="AC284" i="13"/>
  <c r="AC280" i="13"/>
  <c r="AC276" i="13"/>
  <c r="AC272" i="13"/>
  <c r="AC268" i="13"/>
  <c r="AC264" i="13"/>
  <c r="AC260" i="13"/>
  <c r="AC256" i="13"/>
  <c r="AC252" i="13"/>
  <c r="AC248" i="13"/>
  <c r="AC244" i="13"/>
  <c r="AC240" i="13"/>
  <c r="AC236" i="13"/>
  <c r="AC232" i="13"/>
  <c r="AC228" i="13"/>
  <c r="AC224" i="13"/>
  <c r="AC220" i="13"/>
  <c r="AC216" i="13"/>
  <c r="AC212" i="13"/>
  <c r="AC208" i="13"/>
  <c r="AC204" i="13"/>
  <c r="AC200" i="13"/>
  <c r="AC196" i="13"/>
  <c r="AC192" i="13"/>
  <c r="AC188" i="13"/>
  <c r="AC184" i="13"/>
  <c r="AC180" i="13"/>
  <c r="AC176" i="13"/>
  <c r="AC172" i="13"/>
  <c r="AC168" i="13"/>
  <c r="AC164" i="13"/>
  <c r="AC160" i="13"/>
  <c r="AC156" i="13"/>
  <c r="AC152" i="13"/>
  <c r="AC148" i="13"/>
  <c r="AC144" i="13"/>
  <c r="AC140" i="13"/>
  <c r="AC136" i="13"/>
  <c r="AC132" i="13"/>
  <c r="AC874" i="13"/>
  <c r="AC810" i="13"/>
  <c r="AC746" i="13"/>
  <c r="AC682" i="13"/>
  <c r="AC638" i="13"/>
  <c r="AC606" i="13"/>
  <c r="AC574" i="13"/>
  <c r="AC548" i="13"/>
  <c r="AC532" i="13"/>
  <c r="AC516" i="13"/>
  <c r="AC500" i="13"/>
  <c r="AC484" i="13"/>
  <c r="AC468" i="13"/>
  <c r="AC452" i="13"/>
  <c r="AC436" i="13"/>
  <c r="AC419" i="13"/>
  <c r="AC403" i="13"/>
  <c r="AC387" i="13"/>
  <c r="AC379" i="13"/>
  <c r="AC371" i="13"/>
  <c r="AC363" i="13"/>
  <c r="AC355" i="13"/>
  <c r="AC347" i="13"/>
  <c r="AC339" i="13"/>
  <c r="AC333" i="13"/>
  <c r="AC329" i="13"/>
  <c r="AC325" i="13"/>
  <c r="AC321" i="13"/>
  <c r="AC317" i="13"/>
  <c r="AC313" i="13"/>
  <c r="AC309" i="13"/>
  <c r="AC305" i="13"/>
  <c r="AC301" i="13"/>
  <c r="AC297" i="13"/>
  <c r="AC293" i="13"/>
  <c r="AC289" i="13"/>
  <c r="AF289" i="13" s="1"/>
  <c r="AC285" i="13"/>
  <c r="AC281" i="13"/>
  <c r="AC277" i="13"/>
  <c r="AC273" i="13"/>
  <c r="AC269" i="13"/>
  <c r="AC265" i="13"/>
  <c r="AC261" i="13"/>
  <c r="AC257" i="13"/>
  <c r="AC253" i="13"/>
  <c r="AF253" i="13" s="1"/>
  <c r="AC249" i="13"/>
  <c r="AC245" i="13"/>
  <c r="AC241" i="13"/>
  <c r="AC237" i="13"/>
  <c r="AC233" i="13"/>
  <c r="AC229" i="13"/>
  <c r="AC225" i="13"/>
  <c r="AC221" i="13"/>
  <c r="AC217" i="13"/>
  <c r="AC213" i="13"/>
  <c r="AC209" i="13"/>
  <c r="AC205" i="13"/>
  <c r="AC201" i="13"/>
  <c r="AF201" i="13" s="1"/>
  <c r="AC197" i="13"/>
  <c r="AC193" i="13"/>
  <c r="AC189" i="13"/>
  <c r="AF189" i="13" s="1"/>
  <c r="AC185" i="13"/>
  <c r="AC181" i="13"/>
  <c r="AC177" i="13"/>
  <c r="AC173" i="13"/>
  <c r="AC169" i="13"/>
  <c r="AC165" i="13"/>
  <c r="AC161" i="13"/>
  <c r="AC157" i="13"/>
  <c r="AC153" i="13"/>
  <c r="AC149" i="13"/>
  <c r="AC145" i="13"/>
  <c r="AC141" i="13"/>
  <c r="AC137" i="13"/>
  <c r="AC133" i="13"/>
  <c r="AC129" i="13"/>
  <c r="AC125" i="13"/>
  <c r="AC121" i="13"/>
  <c r="AC117" i="13"/>
  <c r="AC113" i="13"/>
  <c r="AC109" i="13"/>
  <c r="AC105" i="13"/>
  <c r="AC101" i="13"/>
  <c r="AC97" i="13"/>
  <c r="AC93" i="13"/>
  <c r="AC89" i="13"/>
  <c r="AC85" i="13"/>
  <c r="AC81" i="13"/>
  <c r="AC77" i="13"/>
  <c r="AC73" i="13"/>
  <c r="AC69" i="13"/>
  <c r="AC65" i="13"/>
  <c r="AF65" i="13" s="1"/>
  <c r="AC61" i="13"/>
  <c r="AC57" i="13"/>
  <c r="AC53" i="13"/>
  <c r="AC49" i="13"/>
  <c r="AC45" i="13"/>
  <c r="AC41" i="13"/>
  <c r="AF41" i="13" s="1"/>
  <c r="AC37" i="13"/>
  <c r="AC33" i="13"/>
  <c r="AC29" i="13"/>
  <c r="AC25" i="13"/>
  <c r="AC21" i="13"/>
  <c r="AC17" i="13"/>
  <c r="AC13" i="13"/>
  <c r="AC9" i="13"/>
  <c r="AC778" i="13"/>
  <c r="AC654" i="13"/>
  <c r="AC622" i="13"/>
  <c r="AC540" i="13"/>
  <c r="AC524" i="13"/>
  <c r="AC492" i="13"/>
  <c r="AC476" i="13"/>
  <c r="AC460" i="13"/>
  <c r="AC428" i="13"/>
  <c r="AC411" i="13"/>
  <c r="AC395" i="13"/>
  <c r="AC367" i="13"/>
  <c r="AC351" i="13"/>
  <c r="AC343" i="13"/>
  <c r="AC331" i="13"/>
  <c r="AC327" i="13"/>
  <c r="AC323" i="13"/>
  <c r="AC319" i="13"/>
  <c r="AC307" i="13"/>
  <c r="AC303" i="13"/>
  <c r="AC299" i="13"/>
  <c r="AC291" i="13"/>
  <c r="AC287" i="13"/>
  <c r="AC279" i="13"/>
  <c r="AC275" i="13"/>
  <c r="AC267" i="13"/>
  <c r="AC255" i="13"/>
  <c r="AC251" i="13"/>
  <c r="AC243" i="13"/>
  <c r="AC231" i="13"/>
  <c r="AC227" i="13"/>
  <c r="AC215" i="13"/>
  <c r="AC211" i="13"/>
  <c r="AC203" i="13"/>
  <c r="AC199" i="13"/>
  <c r="AC191" i="13"/>
  <c r="AC187" i="13"/>
  <c r="AC179" i="13"/>
  <c r="AC175" i="13"/>
  <c r="AC163" i="13"/>
  <c r="AC151" i="13"/>
  <c r="AC147" i="13"/>
  <c r="AC143" i="13"/>
  <c r="AC135" i="13"/>
  <c r="AC127" i="13"/>
  <c r="AC123" i="13"/>
  <c r="AC115" i="13"/>
  <c r="AC107" i="13"/>
  <c r="AC103" i="13"/>
  <c r="AC99" i="13"/>
  <c r="AC91" i="13"/>
  <c r="AC87" i="13"/>
  <c r="AC83" i="13"/>
  <c r="AC71" i="13"/>
  <c r="AC67" i="13"/>
  <c r="AC63" i="13"/>
  <c r="AC858" i="13"/>
  <c r="AC794" i="13"/>
  <c r="AC730" i="13"/>
  <c r="AC666" i="13"/>
  <c r="AC630" i="13"/>
  <c r="AC598" i="13"/>
  <c r="AC566" i="13"/>
  <c r="AC544" i="13"/>
  <c r="AC528" i="13"/>
  <c r="AC512" i="13"/>
  <c r="AC496" i="13"/>
  <c r="AC480" i="13"/>
  <c r="AC464" i="13"/>
  <c r="AC448" i="13"/>
  <c r="AC432" i="13"/>
  <c r="AC415" i="13"/>
  <c r="AC399" i="13"/>
  <c r="AC380" i="13"/>
  <c r="AC372" i="13"/>
  <c r="AC364" i="13"/>
  <c r="AC356" i="13"/>
  <c r="AC348" i="13"/>
  <c r="AC340" i="13"/>
  <c r="AC334" i="13"/>
  <c r="AC330" i="13"/>
  <c r="AC326" i="13"/>
  <c r="AC322" i="13"/>
  <c r="AC318" i="13"/>
  <c r="AC314" i="13"/>
  <c r="AC310" i="13"/>
  <c r="AC306" i="13"/>
  <c r="AC302" i="13"/>
  <c r="AC298" i="13"/>
  <c r="AC294" i="13"/>
  <c r="AC290" i="13"/>
  <c r="AF290" i="13" s="1"/>
  <c r="AC286" i="13"/>
  <c r="AC282" i="13"/>
  <c r="AC278" i="13"/>
  <c r="AC274" i="13"/>
  <c r="AC270" i="13"/>
  <c r="AC266" i="13"/>
  <c r="AC262" i="13"/>
  <c r="AC258" i="13"/>
  <c r="AC254" i="13"/>
  <c r="AC250" i="13"/>
  <c r="AC246" i="13"/>
  <c r="AC242" i="13"/>
  <c r="AC238" i="13"/>
  <c r="AC234" i="13"/>
  <c r="AC230" i="13"/>
  <c r="AC226" i="13"/>
  <c r="AC222" i="13"/>
  <c r="AC218" i="13"/>
  <c r="AC214" i="13"/>
  <c r="AC210" i="13"/>
  <c r="AC206" i="13"/>
  <c r="AC202" i="13"/>
  <c r="AC198" i="13"/>
  <c r="AC194" i="13"/>
  <c r="AC190" i="13"/>
  <c r="AC186" i="13"/>
  <c r="AC182" i="13"/>
  <c r="AC178" i="13"/>
  <c r="AC174" i="13"/>
  <c r="AC170" i="13"/>
  <c r="AC166" i="13"/>
  <c r="AC162" i="13"/>
  <c r="AC158" i="13"/>
  <c r="AC154" i="13"/>
  <c r="AC150" i="13"/>
  <c r="AC146" i="13"/>
  <c r="AC142" i="13"/>
  <c r="AC138" i="13"/>
  <c r="AC134" i="13"/>
  <c r="AC130" i="13"/>
  <c r="AC126" i="13"/>
  <c r="AC122" i="13"/>
  <c r="AC118" i="13"/>
  <c r="AC114" i="13"/>
  <c r="AC110" i="13"/>
  <c r="AC106" i="13"/>
  <c r="AC102" i="13"/>
  <c r="AC98" i="13"/>
  <c r="AC94" i="13"/>
  <c r="AC90" i="13"/>
  <c r="AC86" i="13"/>
  <c r="AC82" i="13"/>
  <c r="AC78" i="13"/>
  <c r="AC74" i="13"/>
  <c r="AC70" i="13"/>
  <c r="AC66" i="13"/>
  <c r="AC62" i="13"/>
  <c r="AC58" i="13"/>
  <c r="AC54" i="13"/>
  <c r="AC50" i="13"/>
  <c r="AC46" i="13"/>
  <c r="AC42" i="13"/>
  <c r="AC38" i="13"/>
  <c r="AC34" i="13"/>
  <c r="AC30" i="13"/>
  <c r="AC26" i="13"/>
  <c r="AC22" i="13"/>
  <c r="AC18" i="13"/>
  <c r="AC14" i="13"/>
  <c r="AC10" i="13"/>
  <c r="AC6" i="13"/>
  <c r="AC842" i="13"/>
  <c r="AC714" i="13"/>
  <c r="AC590" i="13"/>
  <c r="AC558" i="13"/>
  <c r="AC508" i="13"/>
  <c r="AC444" i="13"/>
  <c r="AC383" i="13"/>
  <c r="AC375" i="13"/>
  <c r="AC359" i="13"/>
  <c r="AC335" i="13"/>
  <c r="AC315" i="13"/>
  <c r="AC311" i="13"/>
  <c r="AC295" i="13"/>
  <c r="AC283" i="13"/>
  <c r="AC271" i="13"/>
  <c r="AF271" i="13" s="1"/>
  <c r="AC263" i="13"/>
  <c r="AC259" i="13"/>
  <c r="AC247" i="13"/>
  <c r="AC239" i="13"/>
  <c r="AC235" i="13"/>
  <c r="AC223" i="13"/>
  <c r="AC219" i="13"/>
  <c r="AC207" i="13"/>
  <c r="AC195" i="13"/>
  <c r="AC183" i="13"/>
  <c r="AC171" i="13"/>
  <c r="AC167" i="13"/>
  <c r="AC159" i="13"/>
  <c r="AC155" i="13"/>
  <c r="AC139" i="13"/>
  <c r="AC131" i="13"/>
  <c r="AC119" i="13"/>
  <c r="AC111" i="13"/>
  <c r="AC95" i="13"/>
  <c r="AC79" i="13"/>
  <c r="AC75" i="13"/>
  <c r="AC124" i="13"/>
  <c r="AC108" i="13"/>
  <c r="AC92" i="13"/>
  <c r="AC76" i="13"/>
  <c r="AC60" i="13"/>
  <c r="AC52" i="13"/>
  <c r="AC44" i="13"/>
  <c r="AC36" i="13"/>
  <c r="AC28" i="13"/>
  <c r="AC20" i="13"/>
  <c r="AC12" i="13"/>
  <c r="AC120" i="13"/>
  <c r="AC104" i="13"/>
  <c r="AC88" i="13"/>
  <c r="AC72" i="13"/>
  <c r="AC55" i="13"/>
  <c r="AC47" i="13"/>
  <c r="AC39" i="13"/>
  <c r="AC31" i="13"/>
  <c r="AC23" i="13"/>
  <c r="AC15" i="13"/>
  <c r="AC7" i="13"/>
  <c r="AC128" i="13"/>
  <c r="AC112" i="13"/>
  <c r="AC64" i="13"/>
  <c r="AC43" i="13"/>
  <c r="AC27" i="13"/>
  <c r="AC11" i="13"/>
  <c r="AC116" i="13"/>
  <c r="AC100" i="13"/>
  <c r="AC84" i="13"/>
  <c r="AC68" i="13"/>
  <c r="AC56" i="13"/>
  <c r="AC48" i="13"/>
  <c r="AC40" i="13"/>
  <c r="AC32" i="13"/>
  <c r="AC24" i="13"/>
  <c r="AC16" i="13"/>
  <c r="AC8" i="13"/>
  <c r="AC96" i="13"/>
  <c r="AC80" i="13"/>
  <c r="AC59" i="13"/>
  <c r="AC51" i="13"/>
  <c r="AC35" i="13"/>
  <c r="AC19" i="13"/>
  <c r="D21" i="31"/>
  <c r="D22" i="31"/>
  <c r="D23" i="31"/>
  <c r="I37" i="31"/>
  <c r="AC5" i="13"/>
  <c r="Q24" i="31"/>
  <c r="Q26" i="31" s="1"/>
  <c r="O26" i="31"/>
  <c r="K33" i="31"/>
  <c r="K35" i="31" s="1"/>
  <c r="K37" i="31" s="1"/>
  <c r="M29" i="31"/>
  <c r="E39" i="31"/>
  <c r="E38" i="31"/>
  <c r="E41" i="31"/>
  <c r="E40" i="31"/>
  <c r="D25" i="31"/>
  <c r="D31" i="31"/>
  <c r="D30" i="31"/>
  <c r="D32" i="31"/>
  <c r="AF379" i="13" l="1"/>
  <c r="AF319" i="13"/>
  <c r="AF615" i="13"/>
  <c r="AF211" i="13"/>
  <c r="AF301" i="13"/>
  <c r="AF126" i="13"/>
  <c r="AF355" i="13"/>
  <c r="AF881" i="13"/>
  <c r="AF373" i="13"/>
  <c r="AF682" i="13"/>
  <c r="AF608" i="13"/>
  <c r="AF731" i="13"/>
  <c r="AF32" i="13"/>
  <c r="AF715" i="13"/>
  <c r="AF688" i="13"/>
  <c r="AF283" i="13"/>
  <c r="AF165" i="13"/>
  <c r="AF158" i="13"/>
  <c r="AF238" i="13"/>
  <c r="AF843" i="13"/>
  <c r="AF387" i="13"/>
  <c r="AF877" i="13"/>
  <c r="AF565" i="13"/>
  <c r="AF184" i="13"/>
  <c r="AF232" i="13"/>
  <c r="AF647" i="13"/>
  <c r="AF99" i="13"/>
  <c r="AF698" i="13"/>
  <c r="AF852" i="13"/>
  <c r="AF265" i="13"/>
  <c r="AF245" i="13"/>
  <c r="AF220" i="13"/>
  <c r="AF784" i="13"/>
  <c r="AF773" i="13"/>
  <c r="AF782" i="13"/>
  <c r="AF643" i="13"/>
  <c r="AF716" i="13"/>
  <c r="AF719" i="13"/>
  <c r="AF174" i="13"/>
  <c r="AF273" i="13"/>
  <c r="AF671" i="13"/>
  <c r="AF521" i="13"/>
  <c r="AF147" i="13"/>
  <c r="AF746" i="13"/>
  <c r="AF498" i="13"/>
  <c r="AF492" i="13"/>
  <c r="AF228" i="13"/>
  <c r="AF382" i="13"/>
  <c r="AF596" i="13"/>
  <c r="AF405" i="13"/>
  <c r="AF159" i="13"/>
  <c r="AF278" i="13"/>
  <c r="AF676" i="13"/>
  <c r="AF733" i="13"/>
  <c r="AF633" i="13"/>
  <c r="AF630" i="13"/>
  <c r="AF834" i="13"/>
  <c r="AF249" i="13"/>
  <c r="AF443" i="13"/>
  <c r="AF469" i="13"/>
  <c r="AF605" i="13"/>
  <c r="AF720" i="13"/>
  <c r="AF187" i="13"/>
  <c r="AF119" i="13"/>
  <c r="AF123" i="13"/>
  <c r="AF816" i="13"/>
  <c r="AF315" i="13"/>
  <c r="AF611" i="13"/>
  <c r="AF456" i="13"/>
  <c r="AF513" i="13"/>
  <c r="AF629" i="13"/>
  <c r="AF105" i="13"/>
  <c r="AF490" i="13"/>
  <c r="AF575" i="13"/>
  <c r="AF229" i="13"/>
  <c r="AF826" i="13"/>
  <c r="AF617" i="13"/>
  <c r="AF401" i="13"/>
  <c r="AF8" i="13"/>
  <c r="AF702" i="13"/>
  <c r="AF481" i="13"/>
  <c r="AF653" i="13"/>
  <c r="AF450" i="13"/>
  <c r="AF501" i="13"/>
  <c r="AF704" i="13"/>
  <c r="AF367" i="13"/>
  <c r="AF564" i="13"/>
  <c r="AF485" i="13"/>
  <c r="AF21" i="13"/>
  <c r="AF751" i="13"/>
  <c r="AF726" i="13"/>
  <c r="AF618" i="13"/>
  <c r="AF518" i="13"/>
  <c r="AF296" i="13"/>
  <c r="AF863" i="13"/>
  <c r="AF385" i="13"/>
  <c r="AF234" i="13"/>
  <c r="AF153" i="13"/>
  <c r="AF44" i="13"/>
  <c r="AF83" i="13"/>
  <c r="AF601" i="13"/>
  <c r="AF151" i="13"/>
  <c r="AF424" i="13"/>
  <c r="AF819" i="13"/>
  <c r="AF347" i="13"/>
  <c r="AF669" i="13"/>
  <c r="AF217" i="13"/>
  <c r="AF810" i="13"/>
  <c r="AF488" i="13"/>
  <c r="AF284" i="13"/>
  <c r="AF846" i="13"/>
  <c r="AF755" i="13"/>
  <c r="AF362" i="13"/>
  <c r="AF675" i="13"/>
  <c r="AF470" i="13"/>
  <c r="AF280" i="13"/>
  <c r="AF713" i="13"/>
  <c r="AF185" i="13"/>
  <c r="AF70" i="13"/>
  <c r="AF851" i="13"/>
  <c r="AF261" i="13"/>
  <c r="AF847" i="13"/>
  <c r="AF550" i="13"/>
  <c r="AF857" i="13"/>
  <c r="AF656" i="13"/>
  <c r="AF659" i="13"/>
  <c r="AF624" i="13"/>
  <c r="AF585" i="13"/>
  <c r="AF458" i="13"/>
  <c r="AF215" i="13"/>
  <c r="AF533" i="13"/>
  <c r="AF233" i="13"/>
  <c r="AF62" i="13"/>
  <c r="AF829" i="13"/>
  <c r="AF102" i="13"/>
  <c r="AF487" i="13"/>
  <c r="AF428" i="13"/>
  <c r="AF449" i="13"/>
  <c r="AF691" i="13"/>
  <c r="AF583" i="13"/>
  <c r="AF460" i="13"/>
  <c r="AF595" i="13"/>
  <c r="AF196" i="13"/>
  <c r="AF267" i="13"/>
  <c r="AF599" i="13"/>
  <c r="AF327" i="13"/>
  <c r="AF555" i="13"/>
  <c r="AF697" i="13"/>
  <c r="AF649" i="13"/>
  <c r="AF329" i="13"/>
  <c r="AF770" i="13"/>
  <c r="AF371" i="13"/>
  <c r="AF804" i="13"/>
  <c r="AF506" i="13"/>
  <c r="AF642" i="13"/>
  <c r="AF416" i="13"/>
  <c r="AF170" i="13"/>
  <c r="AF152" i="13"/>
  <c r="AF107" i="13"/>
  <c r="AF113" i="13"/>
  <c r="AF818" i="13"/>
  <c r="AF832" i="13"/>
  <c r="AF464" i="13"/>
  <c r="AF20" i="13"/>
  <c r="AF408" i="13"/>
  <c r="AF166" i="13"/>
  <c r="AF171" i="13"/>
  <c r="AF108" i="13"/>
  <c r="AF576" i="13"/>
  <c r="AF602" i="13"/>
  <c r="AF827" i="13"/>
  <c r="AF660" i="13"/>
  <c r="AF346" i="13"/>
  <c r="AF206" i="13"/>
  <c r="AF590" i="13"/>
  <c r="AF7" i="13"/>
  <c r="AF540" i="13"/>
  <c r="AF302" i="13"/>
  <c r="AF815" i="13"/>
  <c r="AF666" i="13"/>
  <c r="AF497" i="13"/>
  <c r="AF352" i="13"/>
  <c r="AF76" i="13"/>
  <c r="AF376" i="13"/>
  <c r="AF73" i="13"/>
  <c r="AF308" i="13"/>
  <c r="AF861" i="13"/>
  <c r="AF239" i="13"/>
  <c r="AF330" i="13"/>
  <c r="AF787" i="13"/>
  <c r="AF84" i="13"/>
  <c r="AF128" i="13"/>
  <c r="AF303" i="13"/>
  <c r="AF139" i="13"/>
  <c r="AF614" i="13"/>
  <c r="AF873" i="13"/>
  <c r="AF553" i="13"/>
  <c r="AF121" i="13"/>
  <c r="AF117" i="13"/>
  <c r="AF523" i="13"/>
  <c r="AF692" i="13"/>
  <c r="AF825" i="13"/>
  <c r="AF314" i="13"/>
  <c r="AF848" i="13"/>
  <c r="AF454" i="13"/>
  <c r="AF718" i="13"/>
  <c r="AF101" i="13"/>
  <c r="AF706" i="13"/>
  <c r="AF628" i="13"/>
  <c r="AF277" i="13"/>
  <c r="AF436" i="13"/>
  <c r="AF399" i="13"/>
  <c r="AF836" i="13"/>
  <c r="AF495" i="13"/>
  <c r="AF410" i="13"/>
  <c r="AF592" i="13"/>
  <c r="AF57" i="13"/>
  <c r="AF243" i="13"/>
  <c r="AF793" i="13"/>
  <c r="AF415" i="13"/>
  <c r="AF841" i="13"/>
  <c r="AF580" i="13"/>
  <c r="AF586" i="13"/>
  <c r="AF431" i="13"/>
  <c r="AF694" i="13"/>
  <c r="AF752" i="13"/>
  <c r="AF312" i="13"/>
  <c r="AF247" i="13"/>
  <c r="AF135" i="13"/>
  <c r="AF800" i="13"/>
  <c r="AF335" i="13"/>
  <c r="AF30" i="13"/>
  <c r="AF131" i="13"/>
  <c r="AF219" i="13"/>
  <c r="AF309" i="13"/>
  <c r="AF137" i="13"/>
  <c r="AF517" i="13"/>
  <c r="AF858" i="13"/>
  <c r="AF392" i="13"/>
  <c r="AF685" i="13"/>
  <c r="AF767" i="13"/>
  <c r="AF377" i="13"/>
  <c r="AF323" i="13"/>
  <c r="AF813" i="13"/>
  <c r="AF52" i="13"/>
  <c r="AF89" i="13"/>
  <c r="AF489" i="13"/>
  <c r="AF356" i="13"/>
  <c r="AF809" i="13"/>
  <c r="AF803" i="13"/>
  <c r="AF672" i="13"/>
  <c r="AF480" i="13"/>
  <c r="AF316" i="13"/>
  <c r="AF156" i="13"/>
  <c r="AF266" i="13"/>
  <c r="AF578" i="13"/>
  <c r="AF425" i="13"/>
  <c r="AF328" i="13"/>
  <c r="AF527" i="13"/>
  <c r="AF332" i="13"/>
  <c r="AF560" i="13"/>
  <c r="AF845" i="13"/>
  <c r="AF749" i="13"/>
  <c r="AF650" i="13"/>
  <c r="AF717" i="13"/>
  <c r="AF453" i="13"/>
  <c r="AF504" i="13"/>
  <c r="AF459" i="13"/>
  <c r="AF426" i="13"/>
  <c r="AF334" i="13"/>
  <c r="AF236" i="13"/>
  <c r="AF25" i="13"/>
  <c r="AF250" i="13"/>
  <c r="AF831" i="13"/>
  <c r="AF360" i="13"/>
  <c r="AF191" i="13"/>
  <c r="AF188" i="13"/>
  <c r="AF16" i="13"/>
  <c r="AF88" i="13"/>
  <c r="AF701" i="13"/>
  <c r="E17" i="22"/>
  <c r="F17" i="22" s="1"/>
  <c r="E16" i="22"/>
  <c r="F16" i="22" s="1"/>
  <c r="E25" i="24"/>
  <c r="F25" i="24" s="1"/>
  <c r="E22" i="24"/>
  <c r="F22" i="24" s="1"/>
  <c r="E23" i="24"/>
  <c r="F23" i="24" s="1"/>
  <c r="E24" i="24"/>
  <c r="F24" i="24" s="1"/>
  <c r="E10" i="32"/>
  <c r="F10" i="32" s="1"/>
  <c r="E9" i="32"/>
  <c r="F9" i="32" s="1"/>
  <c r="E16" i="25"/>
  <c r="F16" i="25" s="1"/>
  <c r="E12" i="25"/>
  <c r="F12" i="25" s="1"/>
  <c r="E21" i="22"/>
  <c r="F21" i="22" s="1"/>
  <c r="E15" i="22"/>
  <c r="F15" i="22" s="1"/>
  <c r="E11" i="22"/>
  <c r="F11" i="22" s="1"/>
  <c r="E15" i="25"/>
  <c r="F15" i="25" s="1"/>
  <c r="E11" i="25"/>
  <c r="F11" i="25" s="1"/>
  <c r="E20" i="22"/>
  <c r="F20" i="22" s="1"/>
  <c r="E14" i="22"/>
  <c r="F14" i="22" s="1"/>
  <c r="E10" i="22"/>
  <c r="F10" i="22" s="1"/>
  <c r="E9" i="25"/>
  <c r="F9" i="25" s="1"/>
  <c r="E12" i="22"/>
  <c r="F12" i="22" s="1"/>
  <c r="E14" i="25"/>
  <c r="F14" i="25" s="1"/>
  <c r="E10" i="25"/>
  <c r="F10" i="25" s="1"/>
  <c r="E19" i="22"/>
  <c r="F19" i="22" s="1"/>
  <c r="E13" i="22"/>
  <c r="F13" i="22" s="1"/>
  <c r="E9" i="22"/>
  <c r="F9" i="22" s="1"/>
  <c r="E13" i="25"/>
  <c r="F13" i="25" s="1"/>
  <c r="E18" i="22"/>
  <c r="F18" i="22" s="1"/>
  <c r="AF727" i="13"/>
  <c r="AF98" i="13"/>
  <c r="AF93" i="13"/>
  <c r="AF24" i="13"/>
  <c r="AF562" i="13"/>
  <c r="AF402" i="13"/>
  <c r="AF711" i="13"/>
  <c r="AF111" i="13"/>
  <c r="AF871" i="13"/>
  <c r="AF655" i="13"/>
  <c r="AF295" i="13"/>
  <c r="AF176" i="13"/>
  <c r="AF61" i="13"/>
  <c r="AF760" i="13"/>
  <c r="AF712" i="13"/>
  <c r="AF626" i="13"/>
  <c r="AF141" i="13"/>
  <c r="AF584" i="13"/>
  <c r="AF173" i="13"/>
  <c r="AF144" i="13"/>
  <c r="AF256" i="13"/>
  <c r="AF224" i="13"/>
  <c r="AF28" i="13"/>
  <c r="AF693" i="13"/>
  <c r="AF519" i="13"/>
  <c r="AF208" i="13"/>
  <c r="AF645" i="13"/>
  <c r="AF525" i="13"/>
  <c r="AF75" i="13"/>
  <c r="AF223" i="13"/>
  <c r="AF828" i="13"/>
  <c r="AF823" i="13"/>
  <c r="AF817" i="13"/>
  <c r="AF193" i="13"/>
  <c r="AF876" i="13"/>
  <c r="AF430" i="13"/>
  <c r="AF579" i="13"/>
  <c r="AF38" i="13"/>
  <c r="AF180" i="13"/>
  <c r="AF730" i="13"/>
  <c r="AF635" i="13"/>
  <c r="AF641" i="13"/>
  <c r="AF225" i="13"/>
  <c r="AF33" i="13"/>
  <c r="AF860" i="13"/>
  <c r="AF872" i="13"/>
  <c r="AF419" i="13"/>
  <c r="AF728" i="13"/>
  <c r="AF466" i="13"/>
  <c r="AF50" i="13"/>
  <c r="AF499" i="13"/>
  <c r="AF18" i="13"/>
  <c r="AF747" i="13"/>
  <c r="AF276" i="13"/>
  <c r="AF148" i="13"/>
  <c r="AF344" i="13"/>
  <c r="AF684" i="13"/>
  <c r="AF551" i="13"/>
  <c r="AF503" i="13"/>
  <c r="AF476" i="13"/>
  <c r="AF304" i="13"/>
  <c r="AF34" i="13"/>
  <c r="AF320" i="13"/>
  <c r="AF654" i="13"/>
  <c r="AF558" i="13"/>
  <c r="AF274" i="13"/>
  <c r="AF132" i="13"/>
  <c r="AF64" i="13"/>
  <c r="AF833" i="13"/>
  <c r="AF116" i="13"/>
  <c r="AF358" i="13"/>
  <c r="AF182" i="13"/>
  <c r="AF162" i="13"/>
  <c r="AF390" i="13"/>
  <c r="AF31" i="13"/>
  <c r="AF435" i="13"/>
  <c r="AF146" i="13"/>
  <c r="AF814" i="13"/>
  <c r="AF199" i="13"/>
  <c r="AF104" i="13"/>
  <c r="AF336" i="13"/>
  <c r="AF776" i="13"/>
  <c r="AF566" i="13"/>
  <c r="AF368" i="13"/>
  <c r="AF807" i="13"/>
  <c r="AF35" i="13"/>
  <c r="AF71" i="13"/>
  <c r="AF869" i="13"/>
  <c r="AF536" i="13"/>
  <c r="AF429" i="13"/>
  <c r="AF667" i="13"/>
  <c r="AF434" i="13"/>
  <c r="AF214" i="13"/>
  <c r="AF227" i="13"/>
  <c r="AF842" i="13"/>
  <c r="AF125" i="13"/>
  <c r="AF68" i="13"/>
  <c r="AF80" i="13"/>
  <c r="AF850" i="13"/>
  <c r="AF526" i="13"/>
  <c r="AF598" i="13"/>
  <c r="AF81" i="13"/>
  <c r="AF581" i="13"/>
  <c r="AF221" i="13"/>
  <c r="AF812" i="13"/>
  <c r="AF794" i="13"/>
  <c r="AF683" i="13"/>
  <c r="AF759" i="13"/>
  <c r="AF321" i="13"/>
  <c r="AF737" i="13"/>
  <c r="AF86" i="13"/>
  <c r="AF383" i="13"/>
  <c r="AF413" i="13"/>
  <c r="AF570" i="13"/>
  <c r="AF299" i="13"/>
  <c r="AF333" i="13"/>
  <c r="AF535" i="13"/>
  <c r="AF475" i="13"/>
  <c r="AF100" i="13"/>
  <c r="AF294" i="13"/>
  <c r="AF404" i="13"/>
  <c r="AF452" i="13"/>
  <c r="AF524" i="13"/>
  <c r="AF157" i="13"/>
  <c r="AF529" i="13"/>
  <c r="AF143" i="13"/>
  <c r="AF409" i="13"/>
  <c r="AF835" i="13"/>
  <c r="AF556" i="13"/>
  <c r="AF254" i="13"/>
  <c r="AF634" i="13"/>
  <c r="AF263" i="13"/>
  <c r="AF756" i="13"/>
  <c r="AF822" i="13"/>
  <c r="AF192" i="13"/>
  <c r="AF140" i="13"/>
  <c r="AF169" i="13"/>
  <c r="AF762" i="13"/>
  <c r="AF795" i="13"/>
  <c r="AF341" i="13"/>
  <c r="AF134" i="13"/>
  <c r="AF178" i="13"/>
  <c r="AF440" i="13"/>
  <c r="AF369" i="13"/>
  <c r="AF868" i="13"/>
  <c r="AF74" i="13"/>
  <c r="AF393" i="13"/>
  <c r="AF779" i="13"/>
  <c r="AF9" i="13"/>
  <c r="AF854" i="13"/>
  <c r="AF183" i="13"/>
  <c r="AF124" i="13"/>
  <c r="AF785" i="13"/>
  <c r="AF541" i="13"/>
  <c r="AF15" i="13"/>
  <c r="AF56" i="13"/>
  <c r="AF226" i="13"/>
  <c r="AF874" i="13"/>
  <c r="AF483" i="13"/>
  <c r="AF568" i="13"/>
  <c r="AF45" i="13"/>
  <c r="AF478" i="13"/>
  <c r="AF397" i="13"/>
  <c r="AF306" i="13"/>
  <c r="AF317" i="13"/>
  <c r="AF130" i="13"/>
  <c r="AF561" i="13"/>
  <c r="AF838" i="13"/>
  <c r="AF750" i="13"/>
  <c r="AF322" i="13"/>
  <c r="AF445" i="13"/>
  <c r="AF13" i="13"/>
  <c r="AF769" i="13"/>
  <c r="AF288" i="13"/>
  <c r="AF160" i="13"/>
  <c r="AF472" i="13"/>
  <c r="AF700" i="13"/>
  <c r="AF175" i="13"/>
  <c r="AF285" i="13"/>
  <c r="AF721" i="13"/>
  <c r="AF699" i="13"/>
  <c r="AF859" i="13"/>
  <c r="AF662" i="13"/>
  <c r="AF241" i="13"/>
  <c r="AF6" i="13"/>
  <c r="AF855" i="13"/>
  <c r="AF363" i="13"/>
  <c r="AF856" i="13"/>
  <c r="AF763" i="13"/>
  <c r="AF258" i="13"/>
  <c r="AF412" i="13"/>
  <c r="AF757" i="13"/>
  <c r="AF231" i="13"/>
  <c r="AF875" i="13"/>
  <c r="AF515" i="13"/>
  <c r="AF722" i="13"/>
  <c r="AF710" i="13"/>
  <c r="AF616" i="13"/>
  <c r="AF462" i="13"/>
  <c r="AF588" i="13"/>
  <c r="AF646" i="13"/>
  <c r="AF766" i="13"/>
  <c r="AF95" i="13"/>
  <c r="AF391" i="13"/>
  <c r="AF591" i="13"/>
  <c r="AF805" i="13"/>
  <c r="AF723" i="13"/>
  <c r="AF477" i="13"/>
  <c r="AF798" i="13"/>
  <c r="AF582" i="13"/>
  <c r="AF867" i="13"/>
  <c r="AF26" i="13"/>
  <c r="AF808" i="13"/>
  <c r="AF708" i="13"/>
  <c r="AF27" i="13"/>
  <c r="AF636" i="13"/>
  <c r="AF663" i="13"/>
  <c r="AF343" i="13"/>
  <c r="AF60" i="13"/>
  <c r="AF709" i="13"/>
  <c r="AF279" i="13"/>
  <c r="AF748" i="13"/>
  <c r="AF542" i="13"/>
  <c r="AF600" i="13"/>
  <c r="AF422" i="13"/>
  <c r="AF51" i="13"/>
  <c r="AF240" i="13"/>
  <c r="AF281" i="13"/>
  <c r="AF444" i="13"/>
  <c r="AF792" i="13"/>
  <c r="AF59" i="13"/>
  <c r="AF297" i="13"/>
  <c r="AF543" i="13"/>
  <c r="AF357" i="13"/>
  <c r="AF612" i="13"/>
  <c r="AF365" i="13"/>
  <c r="AF569" i="13"/>
  <c r="AF237" i="13"/>
  <c r="AF163" i="13"/>
  <c r="AF103" i="13"/>
  <c r="AF577" i="13"/>
  <c r="AF39" i="13"/>
  <c r="AF181" i="13"/>
  <c r="AF461" i="13"/>
  <c r="AF63" i="13"/>
  <c r="AF768" i="13"/>
  <c r="AF282" i="13"/>
  <c r="AF457" i="13"/>
  <c r="AF251" i="13"/>
  <c r="AF622" i="13"/>
  <c r="AF534" i="13"/>
  <c r="AF17" i="13"/>
  <c r="AF537" i="13"/>
  <c r="AF765" i="13"/>
  <c r="AF42" i="13"/>
  <c r="AF127" i="13"/>
  <c r="AF198" i="13"/>
  <c r="AF677" i="13"/>
  <c r="AF133" i="13"/>
  <c r="AF339" i="13"/>
  <c r="AF493" i="13"/>
  <c r="AF714" i="13"/>
  <c r="AF12" i="13"/>
  <c r="AF115" i="13"/>
  <c r="AF244" i="13"/>
  <c r="AF597" i="13"/>
  <c r="AF14" i="13"/>
  <c r="AF255" i="13"/>
  <c r="AF275" i="13"/>
  <c r="AF589" i="13"/>
  <c r="AF732" i="13"/>
  <c r="AF36" i="13"/>
  <c r="AF155" i="13"/>
  <c r="AF186" i="13"/>
  <c r="AF532" i="13"/>
  <c r="AF742" i="13"/>
  <c r="AF384" i="13"/>
  <c r="AF106" i="13"/>
  <c r="AF864" i="13"/>
  <c r="AF491" i="13"/>
  <c r="AF670" i="13"/>
  <c r="AF293" i="13"/>
  <c r="AF735" i="13"/>
  <c r="AF177" i="13"/>
  <c r="AF337" i="13"/>
  <c r="AF47" i="13"/>
  <c r="AF738" i="13"/>
  <c r="AF508" i="13"/>
  <c r="AF349" i="13"/>
  <c r="AF307" i="13"/>
  <c r="AF627" i="13"/>
  <c r="AF420" i="13"/>
  <c r="AF58" i="13"/>
  <c r="AF448" i="13"/>
  <c r="AF484" i="13"/>
  <c r="AF648" i="13"/>
  <c r="AF109" i="13"/>
  <c r="AF437" i="13"/>
  <c r="AF606" i="13"/>
  <c r="AF94" i="13"/>
  <c r="AF512" i="13"/>
  <c r="AF729" i="13"/>
  <c r="AF799" i="13"/>
  <c r="AF112" i="13"/>
  <c r="AF467" i="13"/>
  <c r="AF668" i="13"/>
  <c r="AF865" i="13"/>
  <c r="AF421" i="13"/>
  <c r="AF674" i="13"/>
  <c r="AF69" i="13"/>
  <c r="AF418" i="13"/>
  <c r="AF623" i="13"/>
  <c r="AF789" i="13"/>
  <c r="AF248" i="13"/>
  <c r="AF758" i="13"/>
  <c r="AF46" i="13"/>
  <c r="AF544" i="13"/>
  <c r="AF546" i="13"/>
  <c r="AF538" i="13"/>
  <c r="AF479" i="13"/>
  <c r="AF423" i="13"/>
  <c r="AF129" i="13"/>
  <c r="AF207" i="13"/>
  <c r="AF651" i="13"/>
  <c r="AF806" i="13"/>
  <c r="AF830" i="13"/>
  <c r="AF194" i="13"/>
  <c r="AF359" i="13"/>
  <c r="AF545" i="13"/>
  <c r="AF516" i="13"/>
  <c r="AF451" i="13"/>
  <c r="AF66" i="13"/>
  <c r="AF167" i="13"/>
  <c r="AF547" i="13"/>
  <c r="AF772" i="13"/>
  <c r="AF205" i="13"/>
  <c r="AF345" i="13"/>
  <c r="AF571" i="13"/>
  <c r="AF736" i="13"/>
  <c r="AF54" i="13"/>
  <c r="AF172" i="13"/>
  <c r="AF505" i="13"/>
  <c r="AF780" i="13"/>
  <c r="AF837" i="13"/>
  <c r="AF348" i="13"/>
  <c r="AF631" i="13"/>
  <c r="AF216" i="13"/>
  <c r="AF324" i="13"/>
  <c r="AF53" i="13"/>
  <c r="AF557" i="13"/>
  <c r="AF774" i="13"/>
  <c r="AF269" i="13"/>
  <c r="AF259" i="13"/>
  <c r="AF374" i="13"/>
  <c r="AF235" i="13"/>
  <c r="AF77" i="13"/>
  <c r="AF246" i="13"/>
  <c r="AF142" i="13"/>
  <c r="AF593" i="13"/>
  <c r="AF679" i="13"/>
  <c r="AF681" i="13"/>
  <c r="AF433" i="13"/>
  <c r="AF260" i="13"/>
  <c r="AF849" i="13"/>
  <c r="AF786" i="13"/>
  <c r="AF824" i="13"/>
  <c r="AF652" i="13"/>
  <c r="AF658" i="13"/>
  <c r="AF640" i="13"/>
  <c r="AF522" i="13"/>
  <c r="AF520" i="13"/>
  <c r="AF465" i="13"/>
  <c r="AF264" i="13"/>
  <c r="AF292" i="13"/>
  <c r="AF262" i="13"/>
  <c r="AF230" i="13"/>
  <c r="AF43" i="13"/>
  <c r="AF326" i="13"/>
  <c r="AF775" i="13"/>
  <c r="AF644" i="13"/>
  <c r="AF406" i="13"/>
  <c r="AF122" i="13"/>
  <c r="AF879" i="13"/>
  <c r="AF572" i="13"/>
  <c r="AF638" i="13"/>
  <c r="AF414" i="13"/>
  <c r="AF388" i="13"/>
  <c r="AF318" i="13"/>
  <c r="AF242" i="13"/>
  <c r="AF49" i="13"/>
  <c r="AF791" i="13"/>
  <c r="AF801" i="13"/>
  <c r="AF739" i="13"/>
  <c r="AF705" i="13"/>
  <c r="AF707" i="13"/>
  <c r="AF441" i="13"/>
  <c r="AF494" i="13"/>
  <c r="AF486" i="13"/>
  <c r="AF270" i="13"/>
  <c r="AF298" i="13"/>
  <c r="AF168" i="13"/>
  <c r="AF179" i="13"/>
  <c r="AF268" i="13"/>
  <c r="AF378" i="13"/>
  <c r="AF150" i="13"/>
  <c r="AF138" i="13"/>
  <c r="AF212" i="13"/>
  <c r="AF372" i="13"/>
  <c r="AF338" i="13"/>
  <c r="AF154" i="13"/>
  <c r="AF96" i="13"/>
  <c r="AF90" i="13"/>
  <c r="AF67" i="13"/>
  <c r="AF19" i="13"/>
  <c r="AF350" i="13"/>
  <c r="AF613" i="13"/>
  <c r="AF287" i="13"/>
  <c r="AF342" i="13"/>
  <c r="AF744" i="13"/>
  <c r="AF351" i="13"/>
  <c r="AF559" i="13"/>
  <c r="AF790" i="13"/>
  <c r="AF78" i="13"/>
  <c r="AF161" i="13"/>
  <c r="AF507" i="13"/>
  <c r="AF690" i="13"/>
  <c r="AF204" i="13"/>
  <c r="AF375" i="13"/>
  <c r="AF549" i="13"/>
  <c r="AF754" i="13"/>
  <c r="AF48" i="13"/>
  <c r="AF149" i="13"/>
  <c r="AF514" i="13"/>
  <c r="AF665" i="13"/>
  <c r="AF87" i="13"/>
  <c r="AF291" i="13"/>
  <c r="AF446" i="13"/>
  <c r="AF567" i="13"/>
  <c r="AF820" i="13"/>
  <c r="AF72" i="13"/>
  <c r="AF190" i="13"/>
  <c r="AF403" i="13"/>
  <c r="AF573" i="13"/>
  <c r="AF778" i="13"/>
  <c r="AF866" i="13"/>
  <c r="AF764" i="13"/>
  <c r="AF609" i="13"/>
  <c r="AF463" i="13"/>
  <c r="AF563" i="13"/>
  <c r="AF870" i="13"/>
  <c r="AF305" i="13"/>
  <c r="AF438" i="13"/>
  <c r="AF313" i="13"/>
  <c r="AF594" i="13"/>
  <c r="AF29" i="13"/>
  <c r="AF427" i="13"/>
  <c r="AF687" i="13"/>
  <c r="AF411" i="13"/>
  <c r="AF673" i="13"/>
  <c r="AF637" i="13"/>
  <c r="AF331" i="13"/>
  <c r="AF468" i="13"/>
  <c r="AF511" i="13"/>
  <c r="AF686" i="13"/>
  <c r="AF118" i="13"/>
  <c r="AF455" i="13"/>
  <c r="AF743" i="13"/>
  <c r="AF164" i="13"/>
  <c r="AF496" i="13"/>
  <c r="AF703" i="13"/>
  <c r="AF880" i="13"/>
  <c r="AF222" i="13"/>
  <c r="AF574" i="13"/>
  <c r="AF696" i="13"/>
  <c r="AF92" i="13"/>
  <c r="AF530" i="13"/>
  <c r="AF811" i="13"/>
  <c r="AF97" i="13"/>
  <c r="AF548" i="13"/>
  <c r="AF680" i="13"/>
  <c r="AF741" i="13"/>
  <c r="AF781" i="13"/>
  <c r="AF257" i="13"/>
  <c r="AF509" i="13"/>
  <c r="AF82" i="13"/>
  <c r="AF471" i="13"/>
  <c r="AF442" i="13"/>
  <c r="AF724" i="13"/>
  <c r="AF734" i="13"/>
  <c r="AF395" i="13"/>
  <c r="AF361" i="13"/>
  <c r="AF407" i="13"/>
  <c r="AF539" i="13"/>
  <c r="AF862" i="13"/>
  <c r="AF311" i="13"/>
  <c r="AF195" i="13"/>
  <c r="AF661" i="13"/>
  <c r="AF761" i="13"/>
  <c r="AF796" i="13"/>
  <c r="AF91" i="13"/>
  <c r="AF202" i="13"/>
  <c r="AF620" i="13"/>
  <c r="AF853" i="13"/>
  <c r="AF145" i="13"/>
  <c r="AF381" i="13"/>
  <c r="AF625" i="13"/>
  <c r="AF802" i="13"/>
  <c r="AF85" i="13"/>
  <c r="AF209" i="13"/>
  <c r="AF607" i="13"/>
  <c r="AF510" i="13"/>
  <c r="AF783" i="13"/>
  <c r="AF878" i="13"/>
  <c r="AF366" i="13"/>
  <c r="AF531" i="13"/>
  <c r="AF587" i="13"/>
  <c r="AF114" i="13"/>
  <c r="AF23" i="13"/>
  <c r="AF840" i="13"/>
  <c r="AF657" i="13"/>
  <c r="AF353" i="13"/>
  <c r="AF604" i="13"/>
  <c r="AF603" i="13"/>
  <c r="AF417" i="13"/>
  <c r="AF432" i="13"/>
  <c r="AF389" i="13"/>
  <c r="AF473" i="13"/>
  <c r="AF325" i="13"/>
  <c r="AF745" i="13"/>
  <c r="AF380" i="13"/>
  <c r="AF200" i="13"/>
  <c r="AF821" i="13"/>
  <c r="AF844" i="13"/>
  <c r="AF797" i="13"/>
  <c r="AF689" i="13"/>
  <c r="AF740" i="13"/>
  <c r="AF639" i="13"/>
  <c r="AF447" i="13"/>
  <c r="AF500" i="13"/>
  <c r="AF439" i="13"/>
  <c r="AF370" i="13"/>
  <c r="AF272" i="13"/>
  <c r="AF396" i="13"/>
  <c r="AF120" i="13"/>
  <c r="AF10" i="13"/>
  <c r="AF610" i="13"/>
  <c r="AF725" i="13"/>
  <c r="AF621" i="13"/>
  <c r="AF386" i="13"/>
  <c r="AF22" i="13"/>
  <c r="AF771" i="13"/>
  <c r="AF619" i="13"/>
  <c r="AF632" i="13"/>
  <c r="AF398" i="13"/>
  <c r="AF400" i="13"/>
  <c r="AF300" i="13"/>
  <c r="AF197" i="13"/>
  <c r="AF40" i="13"/>
  <c r="AF839" i="13"/>
  <c r="AF777" i="13"/>
  <c r="AF678" i="13"/>
  <c r="AF664" i="13"/>
  <c r="AF554" i="13"/>
  <c r="AF502" i="13"/>
  <c r="AF482" i="13"/>
  <c r="AF474" i="13"/>
  <c r="AF252" i="13"/>
  <c r="AF286" i="13"/>
  <c r="AF210" i="13"/>
  <c r="AF11" i="13"/>
  <c r="AF394" i="13"/>
  <c r="AF340" i="13"/>
  <c r="AF364" i="13"/>
  <c r="AF203" i="13"/>
  <c r="AF528" i="13"/>
  <c r="AF110" i="13"/>
  <c r="AF310" i="13"/>
  <c r="AF354" i="13"/>
  <c r="AF213" i="13"/>
  <c r="AF136" i="13"/>
  <c r="AF55" i="13"/>
  <c r="AF79" i="13"/>
  <c r="AF37" i="13"/>
  <c r="AF753" i="13"/>
  <c r="AF218" i="13"/>
  <c r="I39" i="31"/>
  <c r="K39" i="31" s="1"/>
  <c r="I41" i="31"/>
  <c r="K41" i="31" s="1"/>
  <c r="I38" i="31"/>
  <c r="K38" i="31" s="1"/>
  <c r="I40" i="31"/>
  <c r="K40" i="31" s="1"/>
  <c r="E39" i="24"/>
  <c r="F39" i="24" s="1"/>
  <c r="E35" i="24"/>
  <c r="F35" i="24" s="1"/>
  <c r="E31" i="24"/>
  <c r="F31" i="24" s="1"/>
  <c r="E27" i="24"/>
  <c r="F27" i="24" s="1"/>
  <c r="E20" i="24"/>
  <c r="F20" i="24" s="1"/>
  <c r="E16" i="24"/>
  <c r="F16" i="24" s="1"/>
  <c r="E12" i="24"/>
  <c r="F12" i="24" s="1"/>
  <c r="E28" i="24"/>
  <c r="F28" i="24" s="1"/>
  <c r="E17" i="24"/>
  <c r="F17" i="24" s="1"/>
  <c r="E38" i="24"/>
  <c r="F38" i="24" s="1"/>
  <c r="E34" i="24"/>
  <c r="F34" i="24" s="1"/>
  <c r="E30" i="24"/>
  <c r="F30" i="24" s="1"/>
  <c r="E26" i="24"/>
  <c r="F26" i="24" s="1"/>
  <c r="E19" i="24"/>
  <c r="F19" i="24" s="1"/>
  <c r="E15" i="24"/>
  <c r="F15" i="24" s="1"/>
  <c r="E11" i="24"/>
  <c r="F11" i="24" s="1"/>
  <c r="E36" i="24"/>
  <c r="F36" i="24" s="1"/>
  <c r="E13" i="24"/>
  <c r="F13" i="24" s="1"/>
  <c r="E37" i="24"/>
  <c r="F37" i="24" s="1"/>
  <c r="E33" i="24"/>
  <c r="F33" i="24" s="1"/>
  <c r="E29" i="24"/>
  <c r="F29" i="24" s="1"/>
  <c r="E18" i="24"/>
  <c r="F18" i="24" s="1"/>
  <c r="E14" i="24"/>
  <c r="F14" i="24" s="1"/>
  <c r="E32" i="24"/>
  <c r="F32" i="24" s="1"/>
  <c r="E21" i="24"/>
  <c r="F21" i="24" s="1"/>
  <c r="E10" i="24"/>
  <c r="F10" i="24" s="1"/>
  <c r="E9" i="24"/>
  <c r="F9" i="24" s="1"/>
  <c r="O29" i="31"/>
  <c r="M33" i="31"/>
  <c r="M35" i="31" s="1"/>
  <c r="M37" i="31" s="1"/>
  <c r="G13" i="22" l="1"/>
  <c r="G12" i="22"/>
  <c r="G20" i="22"/>
  <c r="G15" i="22"/>
  <c r="G9" i="32"/>
  <c r="G22" i="24"/>
  <c r="G18" i="22"/>
  <c r="G19" i="22"/>
  <c r="G9" i="25"/>
  <c r="G11" i="25"/>
  <c r="G21" i="22"/>
  <c r="G10" i="32"/>
  <c r="G25" i="24"/>
  <c r="G13" i="25"/>
  <c r="G10" i="25"/>
  <c r="G10" i="22"/>
  <c r="G15" i="25"/>
  <c r="G12" i="25"/>
  <c r="G24" i="24"/>
  <c r="G16" i="22"/>
  <c r="G9" i="22"/>
  <c r="G14" i="25"/>
  <c r="G14" i="22"/>
  <c r="G11" i="22"/>
  <c r="G16" i="25"/>
  <c r="G23" i="24"/>
  <c r="G17" i="22"/>
  <c r="G15" i="24"/>
  <c r="G13" i="24"/>
  <c r="G32" i="24"/>
  <c r="G11" i="24"/>
  <c r="G16" i="24"/>
  <c r="G35" i="24"/>
  <c r="G34" i="24"/>
  <c r="G18" i="24"/>
  <c r="G37" i="24"/>
  <c r="G26" i="24"/>
  <c r="G20" i="24"/>
  <c r="G39" i="24"/>
  <c r="G30" i="24"/>
  <c r="G17" i="24"/>
  <c r="G36" i="24"/>
  <c r="G9" i="24"/>
  <c r="G21" i="24"/>
  <c r="G29" i="24"/>
  <c r="G38" i="24"/>
  <c r="G27" i="24"/>
  <c r="G12" i="24"/>
  <c r="G31" i="24"/>
  <c r="G10" i="24"/>
  <c r="G28" i="24"/>
  <c r="G19" i="24"/>
  <c r="G14" i="24"/>
  <c r="G33" i="24"/>
  <c r="M38" i="31"/>
  <c r="M41" i="31"/>
  <c r="M40" i="31"/>
  <c r="M39" i="31"/>
  <c r="O33" i="31"/>
  <c r="O35" i="31" s="1"/>
  <c r="O37" i="31" s="1"/>
  <c r="Q29" i="31"/>
  <c r="Q33" i="31" s="1"/>
  <c r="Q35" i="31" s="1"/>
  <c r="H12" i="22" l="1"/>
  <c r="H15" i="22"/>
  <c r="H21" i="22"/>
  <c r="H11" i="22"/>
  <c r="H16" i="22"/>
  <c r="H10" i="22"/>
  <c r="H9" i="24"/>
  <c r="H17" i="22"/>
  <c r="H14" i="22"/>
  <c r="H24" i="24"/>
  <c r="H10" i="25"/>
  <c r="H13" i="22"/>
  <c r="H11" i="25"/>
  <c r="H22" i="24"/>
  <c r="H18" i="22"/>
  <c r="H23" i="24"/>
  <c r="H14" i="25"/>
  <c r="H12" i="25"/>
  <c r="H13" i="25"/>
  <c r="H25" i="24"/>
  <c r="H9" i="25"/>
  <c r="H20" i="22"/>
  <c r="H16" i="25"/>
  <c r="H9" i="22"/>
  <c r="H15" i="25"/>
  <c r="H9" i="32"/>
  <c r="H10" i="32"/>
  <c r="H19" i="22"/>
  <c r="Q37" i="31"/>
  <c r="I12" i="22" s="1"/>
  <c r="H33" i="24"/>
  <c r="H28" i="24"/>
  <c r="H31" i="24"/>
  <c r="H38" i="24"/>
  <c r="H29" i="24"/>
  <c r="H21" i="24"/>
  <c r="H16" i="24"/>
  <c r="H19" i="24"/>
  <c r="H36" i="24"/>
  <c r="H39" i="24"/>
  <c r="H27" i="24"/>
  <c r="H11" i="24"/>
  <c r="H32" i="24"/>
  <c r="H17" i="24"/>
  <c r="H20" i="24"/>
  <c r="H37" i="24"/>
  <c r="H13" i="24"/>
  <c r="H35" i="24"/>
  <c r="H30" i="24"/>
  <c r="H18" i="24"/>
  <c r="H14" i="24"/>
  <c r="H10" i="24"/>
  <c r="H12" i="24"/>
  <c r="H15" i="24"/>
  <c r="H26" i="24"/>
  <c r="H34" i="24"/>
  <c r="O40" i="31"/>
  <c r="O41" i="31"/>
  <c r="O39" i="31"/>
  <c r="O38" i="31"/>
  <c r="I25" i="24" l="1"/>
  <c r="I23" i="24"/>
  <c r="I9" i="22"/>
  <c r="I19" i="22"/>
  <c r="I11" i="22"/>
  <c r="I10" i="25"/>
  <c r="I10" i="32"/>
  <c r="I16" i="25"/>
  <c r="I13" i="25"/>
  <c r="I18" i="22"/>
  <c r="I22" i="24"/>
  <c r="I24" i="24"/>
  <c r="I15" i="22"/>
  <c r="I9" i="32"/>
  <c r="I20" i="22"/>
  <c r="I12" i="25"/>
  <c r="I21" i="22"/>
  <c r="I11" i="25"/>
  <c r="I14" i="22"/>
  <c r="I16" i="22"/>
  <c r="I15" i="25"/>
  <c r="I9" i="25"/>
  <c r="I14" i="25"/>
  <c r="I10" i="22"/>
  <c r="I13" i="22"/>
  <c r="I17" i="22"/>
  <c r="I37" i="24"/>
  <c r="I35" i="24"/>
  <c r="Q39" i="31"/>
  <c r="I26" i="24"/>
  <c r="I10" i="24"/>
  <c r="I21" i="24"/>
  <c r="I14" i="24"/>
  <c r="I20" i="24"/>
  <c r="I11" i="24"/>
  <c r="I19" i="24"/>
  <c r="Q40" i="31"/>
  <c r="I18" i="24"/>
  <c r="I17" i="24"/>
  <c r="I27" i="24"/>
  <c r="I39" i="24"/>
  <c r="Q41" i="31"/>
  <c r="I34" i="24"/>
  <c r="I38" i="24"/>
  <c r="I36" i="24"/>
  <c r="I16" i="24"/>
  <c r="I31" i="24"/>
  <c r="I15" i="24"/>
  <c r="I30" i="24"/>
  <c r="I33" i="24"/>
  <c r="I32" i="24"/>
  <c r="Q38" i="31"/>
  <c r="I12" i="24"/>
  <c r="I13" i="24"/>
  <c r="I9" i="24"/>
  <c r="I28" i="24"/>
  <c r="I29" i="24"/>
  <c r="C334" i="13"/>
  <c r="C335" i="13"/>
  <c r="C336" i="13"/>
  <c r="C337" i="13"/>
  <c r="C338" i="13"/>
  <c r="C339" i="13"/>
  <c r="D334" i="13"/>
  <c r="D335" i="13"/>
  <c r="D336" i="13"/>
  <c r="D337" i="13"/>
  <c r="D338" i="13"/>
  <c r="D339" i="13"/>
  <c r="E334" i="13"/>
  <c r="E335" i="13"/>
  <c r="E336" i="13"/>
  <c r="E337" i="13"/>
  <c r="E338" i="13"/>
  <c r="E339" i="13"/>
  <c r="C333" i="13" l="1"/>
  <c r="D333" i="13"/>
  <c r="E333" i="13"/>
  <c r="Y5" i="13" l="1"/>
  <c r="Z5" i="13" s="1"/>
  <c r="D105" i="13"/>
  <c r="E105" i="13"/>
  <c r="D53" i="13"/>
  <c r="E53" i="13"/>
  <c r="D54" i="13"/>
  <c r="E54" i="13"/>
  <c r="D55" i="13"/>
  <c r="E55" i="13"/>
  <c r="D56" i="13"/>
  <c r="E56" i="13"/>
  <c r="D57" i="13"/>
  <c r="E57" i="13"/>
  <c r="D58" i="13"/>
  <c r="E58" i="13"/>
  <c r="D59" i="13"/>
  <c r="E59" i="13"/>
  <c r="D60" i="13"/>
  <c r="E60" i="13"/>
  <c r="D61" i="13"/>
  <c r="E61" i="13"/>
  <c r="D62" i="13"/>
  <c r="E62" i="13"/>
  <c r="D63" i="13"/>
  <c r="E63" i="13"/>
  <c r="D64" i="13"/>
  <c r="E64" i="13"/>
  <c r="D65" i="13"/>
  <c r="E65" i="13"/>
  <c r="D66" i="13"/>
  <c r="E66" i="13"/>
  <c r="D67" i="13"/>
  <c r="E67" i="13"/>
  <c r="D68" i="13"/>
  <c r="E68" i="13"/>
  <c r="D69" i="13"/>
  <c r="E69" i="13"/>
  <c r="D70" i="13"/>
  <c r="E70" i="13"/>
  <c r="D71" i="13"/>
  <c r="E71" i="13"/>
  <c r="D72" i="13"/>
  <c r="E72" i="13"/>
  <c r="D73" i="13"/>
  <c r="E73" i="13"/>
  <c r="D74" i="13"/>
  <c r="E74" i="13"/>
  <c r="D75" i="13"/>
  <c r="E75" i="13"/>
  <c r="D76" i="13"/>
  <c r="E76" i="13"/>
  <c r="D77" i="13"/>
  <c r="E77" i="13"/>
  <c r="D78" i="13"/>
  <c r="E78" i="13"/>
  <c r="D79" i="13"/>
  <c r="E79" i="13"/>
  <c r="D80" i="13"/>
  <c r="E80" i="13"/>
  <c r="D81" i="13"/>
  <c r="E81" i="13"/>
  <c r="D82" i="13"/>
  <c r="E82" i="13"/>
  <c r="D83" i="13"/>
  <c r="E83" i="13"/>
  <c r="D84" i="13"/>
  <c r="E84" i="13"/>
  <c r="D85" i="13"/>
  <c r="E85" i="13"/>
  <c r="D86" i="13"/>
  <c r="E86" i="13"/>
  <c r="D87" i="13"/>
  <c r="E87" i="13"/>
  <c r="D88" i="13"/>
  <c r="E88" i="13"/>
  <c r="D89" i="13"/>
  <c r="E89" i="13"/>
  <c r="D90" i="13"/>
  <c r="E90" i="13"/>
  <c r="D91" i="13"/>
  <c r="E91" i="13"/>
  <c r="D92" i="13"/>
  <c r="E92" i="13"/>
  <c r="D93" i="13"/>
  <c r="E93" i="13"/>
  <c r="D94" i="13"/>
  <c r="E94" i="13"/>
  <c r="D95" i="13"/>
  <c r="E95" i="13"/>
  <c r="D96" i="13"/>
  <c r="E96" i="13"/>
  <c r="D97" i="13"/>
  <c r="E97" i="13"/>
  <c r="D98" i="13"/>
  <c r="E98" i="13"/>
  <c r="D99" i="13"/>
  <c r="E99" i="13"/>
  <c r="D100" i="13"/>
  <c r="E100" i="13"/>
  <c r="D101" i="13"/>
  <c r="E101" i="13"/>
  <c r="D102" i="13"/>
  <c r="E102" i="13"/>
  <c r="D103" i="13"/>
  <c r="E103" i="13"/>
  <c r="D104" i="13"/>
  <c r="E104" i="13"/>
  <c r="D106" i="13"/>
  <c r="E106" i="13"/>
  <c r="D107" i="13"/>
  <c r="E107" i="13"/>
  <c r="D108" i="13"/>
  <c r="E108" i="13"/>
  <c r="D109" i="13"/>
  <c r="E109" i="13"/>
  <c r="D110" i="13"/>
  <c r="E110" i="13"/>
  <c r="D111" i="13"/>
  <c r="E111" i="13"/>
  <c r="D112" i="13"/>
  <c r="E112" i="13"/>
  <c r="D113" i="13"/>
  <c r="E113" i="13"/>
  <c r="D114" i="13"/>
  <c r="E114" i="13"/>
  <c r="D115" i="13"/>
  <c r="E115" i="13"/>
  <c r="D116" i="13"/>
  <c r="E116" i="13"/>
  <c r="D117" i="13"/>
  <c r="E117" i="13"/>
  <c r="D121" i="13"/>
  <c r="E121" i="13"/>
  <c r="D122" i="13"/>
  <c r="E122" i="13"/>
  <c r="D123" i="13"/>
  <c r="E123" i="13"/>
  <c r="D124" i="13"/>
  <c r="E124" i="13"/>
  <c r="D125" i="13"/>
  <c r="E125" i="13"/>
  <c r="D126" i="13"/>
  <c r="E126" i="13"/>
  <c r="D127" i="13"/>
  <c r="E127" i="13"/>
  <c r="D128" i="13"/>
  <c r="E128" i="13"/>
  <c r="D129" i="13"/>
  <c r="E129" i="13"/>
  <c r="D130" i="13"/>
  <c r="E130" i="13"/>
  <c r="D131" i="13"/>
  <c r="E131" i="13"/>
  <c r="D132" i="13"/>
  <c r="E132" i="13"/>
  <c r="D133" i="13"/>
  <c r="E133" i="13"/>
  <c r="D134" i="13"/>
  <c r="E134" i="13"/>
  <c r="D135" i="13"/>
  <c r="E135" i="13"/>
  <c r="D136" i="13"/>
  <c r="E136" i="13"/>
  <c r="D137" i="13"/>
  <c r="E137" i="13"/>
  <c r="D138" i="13"/>
  <c r="E138" i="13"/>
  <c r="D139" i="13"/>
  <c r="E139" i="13"/>
  <c r="D140" i="13"/>
  <c r="E140" i="13"/>
  <c r="D141" i="13"/>
  <c r="E141" i="13"/>
  <c r="D142" i="13"/>
  <c r="E142" i="13"/>
  <c r="D143" i="13"/>
  <c r="E143" i="13"/>
  <c r="D144" i="13"/>
  <c r="E144" i="13"/>
  <c r="D145" i="13"/>
  <c r="E145" i="13"/>
  <c r="D146" i="13"/>
  <c r="E146" i="13"/>
  <c r="D147" i="13"/>
  <c r="E147" i="13"/>
  <c r="D148" i="13"/>
  <c r="E148" i="13"/>
  <c r="D149" i="13"/>
  <c r="E149" i="13"/>
  <c r="D150" i="13"/>
  <c r="E150" i="13"/>
  <c r="D151" i="13"/>
  <c r="E151" i="13"/>
  <c r="D152" i="13"/>
  <c r="E152" i="13"/>
  <c r="D153" i="13"/>
  <c r="E153" i="13"/>
  <c r="D154" i="13"/>
  <c r="E154" i="13"/>
  <c r="D155" i="13"/>
  <c r="E155" i="13"/>
  <c r="D156" i="13"/>
  <c r="E156" i="13"/>
  <c r="D157" i="13"/>
  <c r="E157" i="13"/>
  <c r="D158" i="13"/>
  <c r="E158" i="13"/>
  <c r="D159" i="13"/>
  <c r="E159" i="13"/>
  <c r="D160" i="13"/>
  <c r="E160" i="13"/>
  <c r="D161" i="13"/>
  <c r="E161" i="13"/>
  <c r="D162" i="13"/>
  <c r="E162" i="13"/>
  <c r="D163" i="13"/>
  <c r="E163" i="13"/>
  <c r="D164" i="13"/>
  <c r="E164" i="13"/>
  <c r="D165" i="13"/>
  <c r="E165" i="13"/>
  <c r="D166" i="13"/>
  <c r="E166" i="13"/>
  <c r="D167" i="13"/>
  <c r="E167" i="13"/>
  <c r="D168" i="13"/>
  <c r="E168" i="13"/>
  <c r="D169" i="13"/>
  <c r="E169" i="13"/>
  <c r="D170" i="13"/>
  <c r="E170" i="13"/>
  <c r="D171" i="13"/>
  <c r="E171" i="13"/>
  <c r="D172" i="13"/>
  <c r="E172" i="13"/>
  <c r="D173" i="13"/>
  <c r="E173" i="13"/>
  <c r="D174" i="13"/>
  <c r="E174" i="13"/>
  <c r="D175" i="13"/>
  <c r="E175" i="13"/>
  <c r="D176" i="13"/>
  <c r="E176" i="13"/>
  <c r="D177" i="13"/>
  <c r="E177" i="13"/>
  <c r="D178" i="13"/>
  <c r="E178" i="13"/>
  <c r="D179" i="13"/>
  <c r="E179" i="13"/>
  <c r="D180" i="13"/>
  <c r="E180" i="13"/>
  <c r="D181" i="13"/>
  <c r="E181" i="13"/>
  <c r="D182" i="13"/>
  <c r="E182" i="13"/>
  <c r="D183" i="13"/>
  <c r="E183" i="13"/>
  <c r="D184" i="13"/>
  <c r="E184" i="13"/>
  <c r="D185" i="13"/>
  <c r="E185" i="13"/>
  <c r="D186" i="13"/>
  <c r="E186" i="13"/>
  <c r="D187" i="13"/>
  <c r="E187" i="13"/>
  <c r="D188" i="13"/>
  <c r="E188" i="13"/>
  <c r="D189" i="13"/>
  <c r="E189" i="13"/>
  <c r="D190" i="13"/>
  <c r="E190" i="13"/>
  <c r="C191" i="13"/>
  <c r="D191" i="13"/>
  <c r="E191" i="13"/>
  <c r="C192" i="13"/>
  <c r="D192" i="13"/>
  <c r="E192" i="13"/>
  <c r="C193" i="13"/>
  <c r="D193" i="13"/>
  <c r="E193" i="13"/>
  <c r="C194" i="13"/>
  <c r="D194" i="13"/>
  <c r="E194" i="13"/>
  <c r="C195" i="13"/>
  <c r="D195" i="13"/>
  <c r="E195" i="13"/>
  <c r="C196" i="13"/>
  <c r="D196" i="13"/>
  <c r="E196" i="13"/>
  <c r="C197" i="13"/>
  <c r="D197" i="13"/>
  <c r="E197" i="13"/>
  <c r="C198" i="13"/>
  <c r="D198" i="13"/>
  <c r="E198" i="13"/>
  <c r="C199" i="13"/>
  <c r="D199" i="13"/>
  <c r="E199" i="13"/>
  <c r="C200" i="13"/>
  <c r="D200" i="13"/>
  <c r="E200" i="13"/>
  <c r="C201" i="13"/>
  <c r="D201" i="13"/>
  <c r="E201" i="13"/>
  <c r="C202" i="13"/>
  <c r="D202" i="13"/>
  <c r="E202" i="13"/>
  <c r="C203" i="13"/>
  <c r="D203" i="13"/>
  <c r="E203" i="13"/>
  <c r="C204" i="13"/>
  <c r="D204" i="13"/>
  <c r="E204" i="13"/>
  <c r="C205" i="13"/>
  <c r="D205" i="13"/>
  <c r="E205" i="13"/>
  <c r="C206" i="13"/>
  <c r="D206" i="13"/>
  <c r="E206" i="13"/>
  <c r="C207" i="13"/>
  <c r="D207" i="13"/>
  <c r="E207" i="13"/>
  <c r="C208" i="13"/>
  <c r="D208" i="13"/>
  <c r="E208" i="13"/>
  <c r="C209" i="13"/>
  <c r="D209" i="13"/>
  <c r="E209" i="13"/>
  <c r="C210" i="13"/>
  <c r="D210" i="13"/>
  <c r="E210" i="13"/>
  <c r="C211" i="13"/>
  <c r="D211" i="13"/>
  <c r="E211" i="13"/>
  <c r="C212" i="13"/>
  <c r="D212" i="13"/>
  <c r="E212" i="13"/>
  <c r="C213" i="13"/>
  <c r="D213" i="13"/>
  <c r="E213" i="13"/>
  <c r="C214" i="13"/>
  <c r="D214" i="13"/>
  <c r="E214" i="13"/>
  <c r="C215" i="13"/>
  <c r="D215" i="13"/>
  <c r="E215" i="13"/>
  <c r="C216" i="13"/>
  <c r="D216" i="13"/>
  <c r="E216" i="13"/>
  <c r="C217" i="13"/>
  <c r="D217" i="13"/>
  <c r="E217" i="13"/>
  <c r="C218" i="13"/>
  <c r="D218" i="13"/>
  <c r="E218" i="13"/>
  <c r="C219" i="13"/>
  <c r="D219" i="13"/>
  <c r="E219" i="13"/>
  <c r="C220" i="13"/>
  <c r="D220" i="13"/>
  <c r="E220" i="13"/>
  <c r="C221" i="13"/>
  <c r="D221" i="13"/>
  <c r="E221" i="13"/>
  <c r="C222" i="13"/>
  <c r="D222" i="13"/>
  <c r="E222" i="13"/>
  <c r="C223" i="13"/>
  <c r="D223" i="13"/>
  <c r="E223" i="13"/>
  <c r="C224" i="13"/>
  <c r="D224" i="13"/>
  <c r="E224" i="13"/>
  <c r="C225" i="13"/>
  <c r="D225" i="13"/>
  <c r="E225" i="13"/>
  <c r="C226" i="13"/>
  <c r="D226" i="13"/>
  <c r="E226" i="13"/>
  <c r="C227" i="13"/>
  <c r="D227" i="13"/>
  <c r="E227" i="13"/>
  <c r="C228" i="13"/>
  <c r="D228" i="13"/>
  <c r="E228" i="13"/>
  <c r="C229" i="13"/>
  <c r="D229" i="13"/>
  <c r="E229" i="13"/>
  <c r="C230" i="13"/>
  <c r="D230" i="13"/>
  <c r="E230" i="13"/>
  <c r="C231" i="13"/>
  <c r="D231" i="13"/>
  <c r="E231" i="13"/>
  <c r="C232" i="13"/>
  <c r="D232" i="13"/>
  <c r="E232" i="13"/>
  <c r="C233" i="13"/>
  <c r="D233" i="13"/>
  <c r="E233" i="13"/>
  <c r="C234" i="13"/>
  <c r="D234" i="13"/>
  <c r="E234" i="13"/>
  <c r="C235" i="13"/>
  <c r="D235" i="13"/>
  <c r="E235" i="13"/>
  <c r="C236" i="13"/>
  <c r="D236" i="13"/>
  <c r="E236" i="13"/>
  <c r="C237" i="13"/>
  <c r="D237" i="13"/>
  <c r="E237" i="13"/>
  <c r="C238" i="13"/>
  <c r="D238" i="13"/>
  <c r="E238" i="13"/>
  <c r="C239" i="13"/>
  <c r="D239" i="13"/>
  <c r="E239" i="13"/>
  <c r="C240" i="13"/>
  <c r="D240" i="13"/>
  <c r="E240" i="13"/>
  <c r="C241" i="13"/>
  <c r="D241" i="13"/>
  <c r="E241" i="13"/>
  <c r="C242" i="13"/>
  <c r="D242" i="13"/>
  <c r="E242" i="13"/>
  <c r="C243" i="13"/>
  <c r="D243" i="13"/>
  <c r="E243" i="13"/>
  <c r="C244" i="13"/>
  <c r="D244" i="13"/>
  <c r="E244" i="13"/>
  <c r="C245" i="13"/>
  <c r="D245" i="13"/>
  <c r="E245" i="13"/>
  <c r="C246" i="13"/>
  <c r="D246" i="13"/>
  <c r="E246" i="13"/>
  <c r="C247" i="13"/>
  <c r="D247" i="13"/>
  <c r="E247" i="13"/>
  <c r="C248" i="13"/>
  <c r="D248" i="13"/>
  <c r="E248" i="13"/>
  <c r="C249" i="13"/>
  <c r="D249" i="13"/>
  <c r="E249" i="13"/>
  <c r="C250" i="13"/>
  <c r="D250" i="13"/>
  <c r="E250" i="13"/>
  <c r="C251" i="13"/>
  <c r="D251" i="13"/>
  <c r="E251" i="13"/>
  <c r="C252" i="13"/>
  <c r="D252" i="13"/>
  <c r="E252" i="13"/>
  <c r="C253" i="13"/>
  <c r="D253" i="13"/>
  <c r="E253" i="13"/>
  <c r="C254" i="13"/>
  <c r="D254" i="13"/>
  <c r="E254" i="13"/>
  <c r="C255" i="13"/>
  <c r="D255" i="13"/>
  <c r="E255" i="13"/>
  <c r="C256" i="13"/>
  <c r="D256" i="13"/>
  <c r="E256" i="13"/>
  <c r="C257" i="13"/>
  <c r="D257" i="13"/>
  <c r="E257" i="13"/>
  <c r="C258" i="13"/>
  <c r="D258" i="13"/>
  <c r="E258" i="13"/>
  <c r="C259" i="13"/>
  <c r="D259" i="13"/>
  <c r="E259" i="13"/>
  <c r="C260" i="13"/>
  <c r="D260" i="13"/>
  <c r="E260" i="13"/>
  <c r="C261" i="13"/>
  <c r="D261" i="13"/>
  <c r="E261" i="13"/>
  <c r="C262" i="13"/>
  <c r="D262" i="13"/>
  <c r="E262" i="13"/>
  <c r="C263" i="13"/>
  <c r="D263" i="13"/>
  <c r="E263" i="13"/>
  <c r="C264" i="13"/>
  <c r="D264" i="13"/>
  <c r="E264" i="13"/>
  <c r="C265" i="13"/>
  <c r="D265" i="13"/>
  <c r="E265" i="13"/>
  <c r="C266" i="13"/>
  <c r="D266" i="13"/>
  <c r="E266" i="13"/>
  <c r="C267" i="13"/>
  <c r="D267" i="13"/>
  <c r="E267" i="13"/>
  <c r="C268" i="13"/>
  <c r="D268" i="13"/>
  <c r="E268" i="13"/>
  <c r="C269" i="13"/>
  <c r="D269" i="13"/>
  <c r="E269" i="13"/>
  <c r="C270" i="13"/>
  <c r="D270" i="13"/>
  <c r="E270" i="13"/>
  <c r="C271" i="13"/>
  <c r="D271" i="13"/>
  <c r="E271" i="13"/>
  <c r="C272" i="13"/>
  <c r="D272" i="13"/>
  <c r="E272" i="13"/>
  <c r="C273" i="13"/>
  <c r="D273" i="13"/>
  <c r="E273" i="13"/>
  <c r="C274" i="13"/>
  <c r="D274" i="13"/>
  <c r="E274" i="13"/>
  <c r="C275" i="13"/>
  <c r="D275" i="13"/>
  <c r="E275" i="13"/>
  <c r="C276" i="13"/>
  <c r="D276" i="13"/>
  <c r="E276" i="13"/>
  <c r="C277" i="13"/>
  <c r="D277" i="13"/>
  <c r="E277" i="13"/>
  <c r="C278" i="13"/>
  <c r="D278" i="13"/>
  <c r="E278" i="13"/>
  <c r="C279" i="13"/>
  <c r="D279" i="13"/>
  <c r="E279" i="13"/>
  <c r="C280" i="13"/>
  <c r="D280" i="13"/>
  <c r="E280" i="13"/>
  <c r="C281" i="13"/>
  <c r="D281" i="13"/>
  <c r="E281" i="13"/>
  <c r="C282" i="13"/>
  <c r="D282" i="13"/>
  <c r="E282" i="13"/>
  <c r="C283" i="13"/>
  <c r="D283" i="13"/>
  <c r="E283" i="13"/>
  <c r="C284" i="13"/>
  <c r="D284" i="13"/>
  <c r="E284" i="13"/>
  <c r="C285" i="13"/>
  <c r="D285" i="13"/>
  <c r="E285" i="13"/>
  <c r="C286" i="13"/>
  <c r="D286" i="13"/>
  <c r="E286" i="13"/>
  <c r="C287" i="13"/>
  <c r="D287" i="13"/>
  <c r="E287" i="13"/>
  <c r="C288" i="13"/>
  <c r="D288" i="13"/>
  <c r="E288" i="13"/>
  <c r="C289" i="13"/>
  <c r="D289" i="13"/>
  <c r="E289" i="13"/>
  <c r="C290" i="13"/>
  <c r="D290" i="13"/>
  <c r="E290" i="13"/>
  <c r="C291" i="13"/>
  <c r="D291" i="13"/>
  <c r="E291" i="13"/>
  <c r="C292" i="13"/>
  <c r="D292" i="13"/>
  <c r="E292" i="13"/>
  <c r="C293" i="13"/>
  <c r="D293" i="13"/>
  <c r="E293" i="13"/>
  <c r="C294" i="13"/>
  <c r="D294" i="13"/>
  <c r="E294" i="13"/>
  <c r="C295" i="13"/>
  <c r="D295" i="13"/>
  <c r="E295" i="13"/>
  <c r="C296" i="13"/>
  <c r="D296" i="13"/>
  <c r="E296" i="13"/>
  <c r="C297" i="13"/>
  <c r="D297" i="13"/>
  <c r="E297" i="13"/>
  <c r="C298" i="13"/>
  <c r="D298" i="13"/>
  <c r="E298" i="13"/>
  <c r="C299" i="13"/>
  <c r="D299" i="13"/>
  <c r="E299" i="13"/>
  <c r="C300" i="13"/>
  <c r="D300" i="13"/>
  <c r="E300" i="13"/>
  <c r="C301" i="13"/>
  <c r="D301" i="13"/>
  <c r="E301" i="13"/>
  <c r="C306" i="13"/>
  <c r="D306" i="13"/>
  <c r="E306" i="13"/>
  <c r="C307" i="13"/>
  <c r="D307" i="13"/>
  <c r="E307" i="13"/>
  <c r="C308" i="13"/>
  <c r="D308" i="13"/>
  <c r="E308" i="13"/>
  <c r="C309" i="13"/>
  <c r="D309" i="13"/>
  <c r="E309" i="13"/>
  <c r="C310" i="13"/>
  <c r="D310" i="13"/>
  <c r="E310" i="13"/>
  <c r="C311" i="13"/>
  <c r="D311" i="13"/>
  <c r="E311" i="13"/>
  <c r="C312" i="13"/>
  <c r="D312" i="13"/>
  <c r="E312" i="13"/>
  <c r="C313" i="13"/>
  <c r="D313" i="13"/>
  <c r="E313" i="13"/>
  <c r="C302" i="13"/>
  <c r="D302" i="13"/>
  <c r="E302" i="13"/>
  <c r="C303" i="13"/>
  <c r="D303" i="13"/>
  <c r="E303" i="13"/>
  <c r="C304" i="13"/>
  <c r="D304" i="13"/>
  <c r="E304" i="13"/>
  <c r="C305" i="13"/>
  <c r="D305" i="13"/>
  <c r="E305" i="13"/>
  <c r="C314" i="13"/>
  <c r="D314" i="13"/>
  <c r="E314" i="13"/>
  <c r="C315" i="13"/>
  <c r="D315" i="13"/>
  <c r="E315" i="13"/>
  <c r="C316" i="13"/>
  <c r="D316" i="13"/>
  <c r="E316" i="13"/>
  <c r="C317" i="13"/>
  <c r="D317" i="13"/>
  <c r="E317" i="13"/>
  <c r="C318" i="13"/>
  <c r="D318" i="13"/>
  <c r="E318" i="13"/>
  <c r="C319" i="13"/>
  <c r="D319" i="13"/>
  <c r="E319" i="13"/>
  <c r="C320" i="13"/>
  <c r="D320" i="13"/>
  <c r="E320" i="13"/>
  <c r="C321" i="13"/>
  <c r="D321" i="13"/>
  <c r="E321" i="13"/>
  <c r="C322" i="13"/>
  <c r="D322" i="13"/>
  <c r="E322" i="13"/>
  <c r="C323" i="13"/>
  <c r="D323" i="13"/>
  <c r="E323" i="13"/>
  <c r="C324" i="13"/>
  <c r="D324" i="13"/>
  <c r="E324" i="13"/>
  <c r="C325" i="13"/>
  <c r="D325" i="13"/>
  <c r="E325" i="13"/>
  <c r="C326" i="13"/>
  <c r="D326" i="13"/>
  <c r="E326" i="13"/>
  <c r="C327" i="13"/>
  <c r="D327" i="13"/>
  <c r="E327" i="13"/>
  <c r="C328" i="13"/>
  <c r="D328" i="13"/>
  <c r="E328" i="13"/>
  <c r="C329" i="13"/>
  <c r="D329" i="13"/>
  <c r="E329" i="13"/>
  <c r="C330" i="13"/>
  <c r="D330" i="13"/>
  <c r="E330" i="13"/>
  <c r="C331" i="13"/>
  <c r="D331" i="13"/>
  <c r="E331" i="13"/>
  <c r="C332" i="13"/>
  <c r="D332" i="13"/>
  <c r="E332" i="13"/>
  <c r="C5" i="13"/>
  <c r="D5" i="13"/>
  <c r="E5" i="13"/>
  <c r="D16" i="13"/>
  <c r="E16" i="13"/>
  <c r="D6" i="13"/>
  <c r="E6" i="13"/>
  <c r="E36" i="13" l="1"/>
  <c r="E35" i="13"/>
  <c r="D35" i="13"/>
  <c r="D36" i="13"/>
  <c r="C13" i="19" l="1"/>
  <c r="D12" i="13" l="1"/>
  <c r="D20" i="13" l="1"/>
  <c r="D51" i="13"/>
  <c r="D34" i="13"/>
  <c r="D33" i="13"/>
  <c r="D19" i="13"/>
  <c r="D21" i="13"/>
  <c r="D23" i="13"/>
  <c r="D31" i="13"/>
  <c r="D32" i="13"/>
  <c r="D15" i="13"/>
  <c r="D17" i="13"/>
  <c r="D8" i="13"/>
  <c r="D10" i="13"/>
  <c r="D18" i="13"/>
  <c r="D52" i="13"/>
  <c r="D13" i="13"/>
  <c r="D14" i="13"/>
  <c r="D11" i="13"/>
  <c r="E20" i="13"/>
  <c r="E51" i="13"/>
  <c r="E34" i="13"/>
  <c r="E33" i="13"/>
  <c r="E19" i="13"/>
  <c r="E21" i="13"/>
  <c r="E23" i="13"/>
  <c r="E31" i="13"/>
  <c r="E32" i="13"/>
  <c r="E15" i="13"/>
  <c r="E17" i="13"/>
  <c r="E8" i="13"/>
  <c r="E10" i="13"/>
  <c r="E18" i="13"/>
  <c r="E52" i="13"/>
  <c r="E13" i="13"/>
  <c r="E14" i="13"/>
  <c r="E11" i="13"/>
  <c r="E28" i="13"/>
  <c r="D28" i="13"/>
  <c r="E27" i="13"/>
  <c r="D27" i="13"/>
  <c r="E26" i="13"/>
  <c r="D26" i="13"/>
  <c r="E25" i="13"/>
  <c r="D25" i="13"/>
  <c r="E24" i="13"/>
  <c r="D24" i="13"/>
  <c r="E22" i="13"/>
  <c r="D22" i="13"/>
  <c r="E50" i="13"/>
  <c r="D50" i="13"/>
  <c r="E49" i="13"/>
  <c r="D49" i="13"/>
  <c r="E48" i="13"/>
  <c r="D48" i="13"/>
  <c r="E47" i="13"/>
  <c r="D47" i="13"/>
  <c r="E9" i="13"/>
  <c r="D9" i="13"/>
  <c r="E7" i="13"/>
  <c r="D7" i="13"/>
  <c r="E46" i="13"/>
  <c r="D46" i="13"/>
  <c r="E45" i="13"/>
  <c r="D45" i="13"/>
  <c r="E44" i="13"/>
  <c r="D44" i="13"/>
  <c r="E43" i="13"/>
  <c r="D43" i="13"/>
  <c r="E42" i="13"/>
  <c r="D42" i="13"/>
  <c r="E41" i="13"/>
  <c r="D41" i="13"/>
  <c r="E40" i="13"/>
  <c r="D40" i="13"/>
  <c r="E39" i="13"/>
  <c r="D39" i="13"/>
  <c r="E38" i="13"/>
  <c r="D38" i="13"/>
  <c r="E37" i="13"/>
  <c r="D37" i="13"/>
  <c r="G55" i="22" l="1"/>
  <c r="H49" i="25" l="1"/>
  <c r="E23" i="19" l="1"/>
  <c r="D23" i="19" l="1"/>
  <c r="U5" i="13" l="1"/>
  <c r="AD5" i="13" s="1"/>
  <c r="T5" i="13"/>
  <c r="V5" i="13" s="1"/>
  <c r="D8" i="19" l="1"/>
  <c r="D11" i="19"/>
  <c r="D10" i="19"/>
  <c r="D9" i="19"/>
  <c r="D7" i="19"/>
  <c r="D12" i="19"/>
  <c r="W5" i="13"/>
  <c r="AF5" i="13" s="1"/>
  <c r="AE5" i="13"/>
  <c r="D13" i="19" l="1"/>
  <c r="G9" i="19"/>
  <c r="H9" i="19" s="1"/>
  <c r="E7" i="19"/>
  <c r="F7" i="19" s="1"/>
  <c r="C18" i="19"/>
  <c r="G18" i="19" s="1"/>
  <c r="G12" i="19"/>
  <c r="H12" i="19" s="1"/>
  <c r="E10" i="19"/>
  <c r="F10" i="19" s="1"/>
  <c r="E11" i="19"/>
  <c r="F11" i="19" s="1"/>
  <c r="C22" i="19"/>
  <c r="G22" i="19" s="1"/>
  <c r="C21" i="19"/>
  <c r="G21" i="19" s="1"/>
  <c r="G11" i="19"/>
  <c r="H11" i="19" s="1"/>
  <c r="E8" i="19"/>
  <c r="F8" i="19" s="1"/>
  <c r="E12" i="19"/>
  <c r="F12" i="19" s="1"/>
  <c r="G8" i="19"/>
  <c r="H8" i="19" s="1"/>
  <c r="E9" i="19"/>
  <c r="F9" i="19" s="1"/>
  <c r="C19" i="19"/>
  <c r="G19" i="19" s="1"/>
  <c r="C20" i="19"/>
  <c r="G20" i="19" s="1"/>
  <c r="G10" i="19"/>
  <c r="H10" i="19" s="1"/>
  <c r="C17" i="19"/>
  <c r="G17" i="19" s="1"/>
  <c r="G7" i="19"/>
  <c r="E13" i="19" l="1"/>
  <c r="F13" i="19" s="1"/>
  <c r="G13" i="19"/>
  <c r="H13" i="19" s="1"/>
  <c r="H7" i="19"/>
  <c r="G23" i="19"/>
  <c r="C23" i="19"/>
</calcChain>
</file>

<file path=xl/sharedStrings.xml><?xml version="1.0" encoding="utf-8"?>
<sst xmlns="http://schemas.openxmlformats.org/spreadsheetml/2006/main" count="5814" uniqueCount="1355">
  <si>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</si>
  <si>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</si>
  <si>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</si>
  <si>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</si>
  <si>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</si>
  <si>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</si>
  <si>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</si>
  <si>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</si>
  <si>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</si>
  <si>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</si>
  <si>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</si>
  <si>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</si>
  <si>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</si>
  <si>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</si>
  <si>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</si>
  <si>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</si>
  <si>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</si>
  <si>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</si>
  <si>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</si>
  <si>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</si>
  <si>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</si>
  <si>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</si>
  <si>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</si>
  <si>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</si>
  <si>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Weekend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</si>
  <si>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</si>
  <si>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</si>
  <si>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</si>
  <si>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</si>
  <si>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</si>
  <si>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</si>
  <si>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</si>
  <si>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</si>
  <si>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</si>
  <si>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</si>
  <si>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Tariefsopbouw</t>
  </si>
  <si>
    <t>kosten / jaar</t>
  </si>
  <si>
    <t>uren / jaar</t>
  </si>
  <si>
    <t>Tapijt</t>
  </si>
  <si>
    <t>Vloer afwerking</t>
  </si>
  <si>
    <t>Entree</t>
  </si>
  <si>
    <t>Glasbewassing</t>
  </si>
  <si>
    <t>Wassen handdoeken</t>
  </si>
  <si>
    <t>Prijs per stuk</t>
  </si>
  <si>
    <t>Wassen theedoeken</t>
  </si>
  <si>
    <t>prijs per stuk</t>
  </si>
  <si>
    <t>Verwijderen kauwgom buitenterrein</t>
  </si>
  <si>
    <t>Vlek verwijderen textiele bekleding zitvlak stoelen</t>
  </si>
  <si>
    <t>Prijs per beurt</t>
  </si>
  <si>
    <t xml:space="preserve">Reinigen van plafonds </t>
  </si>
  <si>
    <t>prijs per m²</t>
  </si>
  <si>
    <t>Reinigen van vitrage</t>
  </si>
  <si>
    <t>Reinigen van kunststoflamellen</t>
  </si>
  <si>
    <t>Reinigen van stoffenlamellen</t>
  </si>
  <si>
    <t>Reinigen van horizontale kunststoflamellen (luxaflex)</t>
  </si>
  <si>
    <t xml:space="preserve">Het verwijderen van aanslag per unit incl. (de-)montage </t>
  </si>
  <si>
    <t>Het desinfecteren van alle sanitaire onderdelen</t>
  </si>
  <si>
    <t>prijs per toiletunit</t>
  </si>
  <si>
    <t xml:space="preserve">Vegen van het buitenterrein 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</si>
  <si>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</si>
  <si>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</si>
  <si>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</si>
  <si>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</si>
  <si>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</si>
  <si>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</si>
  <si>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</si>
  <si>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</si>
  <si>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</si>
  <si>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</si>
  <si>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</si>
  <si>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</si>
  <si>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</si>
  <si>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</si>
  <si>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</si>
  <si>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r>
      <t>Prijs per m</t>
    </r>
    <r>
      <rPr>
        <vertAlign val="superscript"/>
        <sz val="9"/>
        <rFont val="Verdana"/>
        <family val="2"/>
      </rPr>
      <t>2</t>
    </r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</si>
  <si>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</si>
  <si>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</si>
  <si>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</si>
  <si>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</si>
  <si>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</si>
  <si>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</si>
  <si>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</si>
  <si>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</si>
  <si>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</si>
  <si>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</si>
  <si>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</si>
  <si>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Rekentarieven</t>
  </si>
  <si>
    <t>€</t>
  </si>
  <si>
    <t>Standaard</t>
  </si>
  <si>
    <t>Eindejaarsuitkering</t>
  </si>
  <si>
    <t>Overige directe kosten</t>
  </si>
  <si>
    <t>Overige indirecte kosten</t>
  </si>
  <si>
    <t>Overige loonkosten</t>
  </si>
  <si>
    <t>Ochtend/avond</t>
  </si>
  <si>
    <t>ma. t/m vr. 6:00 - 21:30 uur</t>
  </si>
  <si>
    <t>ma. t/m vr. 21:30 - 6:00 uur</t>
  </si>
  <si>
    <t>vr. 21:30 t/m ma. 6:00 uur</t>
  </si>
  <si>
    <t>Feestdag</t>
  </si>
  <si>
    <t>Erkende feestdagen</t>
  </si>
  <si>
    <t>Tarief 
excl. 21% BTW</t>
  </si>
  <si>
    <t>Tarief 
incl. 21% BTW</t>
  </si>
  <si>
    <t>% opslag op loonkosten</t>
  </si>
  <si>
    <t>Tarief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</si>
  <si>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</si>
  <si>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</si>
  <si>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</si>
  <si>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</si>
  <si>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</si>
  <si>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</si>
  <si>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</si>
  <si>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</si>
  <si>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</si>
  <si>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</si>
  <si>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</si>
  <si>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</si>
  <si>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</si>
  <si>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</si>
  <si>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</si>
  <si>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</si>
  <si>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</si>
  <si>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</si>
  <si>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</si>
  <si>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Vloer code</t>
  </si>
  <si>
    <t>Frequentie weekend</t>
  </si>
  <si>
    <t>Aantal weken/jr</t>
  </si>
  <si>
    <t>Frequentie</t>
  </si>
  <si>
    <t>Norm (m2/uur)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</si>
  <si>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</si>
  <si>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</si>
  <si>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</si>
  <si>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</si>
  <si>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</si>
  <si>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</si>
  <si>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</si>
  <si>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</si>
  <si>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</si>
  <si>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</si>
  <si>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</si>
  <si>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</si>
  <si>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</si>
  <si>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</si>
  <si>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</si>
  <si>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</si>
  <si>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</si>
  <si>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</si>
  <si>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</si>
  <si>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</si>
  <si>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</si>
  <si>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</si>
  <si>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</si>
  <si>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</si>
  <si>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</si>
  <si>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</si>
  <si>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</si>
  <si>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</si>
  <si>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</si>
  <si>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</si>
  <si>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</si>
  <si>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</si>
  <si>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</si>
  <si>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</si>
  <si>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</si>
  <si>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</si>
  <si>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</si>
  <si>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</si>
  <si>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</si>
  <si>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</si>
  <si>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</si>
  <si>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</si>
  <si>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</si>
  <si>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Vloeronderhoud</t>
  </si>
  <si>
    <t>Ruimtestaat</t>
  </si>
  <si>
    <t>Oppervlakte i/o</t>
  </si>
  <si>
    <t>Uren / jaar</t>
  </si>
  <si>
    <t>Kosten / jaar</t>
  </si>
  <si>
    <t>Kosten / m2</t>
  </si>
  <si>
    <t>Glasbewassing
Kosten / jaar</t>
  </si>
  <si>
    <t>Vloeronderhoud
Kosten / jaar</t>
  </si>
  <si>
    <t>Totalisatie (excl. BTW)</t>
  </si>
  <si>
    <t>Kolom1</t>
  </si>
  <si>
    <t>Schoonmaakonderhoud
Kosten / jaar</t>
  </si>
  <si>
    <t>Prijs excl. BTW</t>
  </si>
  <si>
    <t xml:space="preserve">Aan genoemde aantallen kunnen geen rechten worden ontleend. </t>
  </si>
  <si>
    <t>Regie- en afroepwerkzaamheden</t>
  </si>
  <si>
    <t>Genoemde aantallen zijn fictief en dienen om een vergelijkingsprijs op te stellen</t>
  </si>
  <si>
    <t>Werkzaamheid</t>
  </si>
  <si>
    <t>Prijs per uur</t>
  </si>
  <si>
    <t>Regiewerkzaamheden (schoonmaakonderhoud, ma-vr. tussen 6:00 en 21:30)</t>
  </si>
  <si>
    <t>Specialistische regiewerkzaamheden  (ma-vr. tussen 6:00 en 21:30)</t>
  </si>
  <si>
    <t>Cateringwerkzaamheden (ma-vr. tussen 6:00 en 21:30)</t>
  </si>
  <si>
    <t>Prijs per stuk per beurt</t>
  </si>
  <si>
    <t>Vaatwasser inruimen, activeren en uitruimen</t>
  </si>
  <si>
    <t>Reinigen koelkast binnen- en buitenzijde</t>
  </si>
  <si>
    <t>Reinigen van magnetron binnen- en buitenzijde</t>
  </si>
  <si>
    <t>Reinigen van koffieautomaat binnen- en buitenzijde</t>
  </si>
  <si>
    <t>Calamiteitenservice inclusief materialen en middelen</t>
  </si>
  <si>
    <t>Buiten</t>
  </si>
  <si>
    <t>Intensief reinigen voegen tegelwanden</t>
  </si>
  <si>
    <r>
      <t>Prijs per m</t>
    </r>
    <r>
      <rPr>
        <vertAlign val="superscript"/>
        <sz val="9"/>
        <rFont val="Verdana"/>
        <family val="2"/>
      </rPr>
      <t xml:space="preserve">2 </t>
    </r>
    <r>
      <rPr>
        <sz val="9"/>
        <rFont val="Verdana"/>
        <family val="2"/>
      </rPr>
      <t>per beurt</t>
    </r>
  </si>
  <si>
    <t>Regie per uur</t>
  </si>
  <si>
    <t>De opgegeven prijzen zijn tijdens de gehele contractduur van toepassing als afroepprijs.</t>
  </si>
  <si>
    <t>Machinaal schrobben en droogzuigen</t>
  </si>
  <si>
    <t>Textiel reinigen</t>
  </si>
  <si>
    <t>Dieptereiniging sanitair</t>
  </si>
  <si>
    <t>Fantomatten sanitaire ruimte</t>
  </si>
  <si>
    <t>Stoomreinigen sanitaire ruimte</t>
  </si>
  <si>
    <t>Klein technisch onderhoud, verhelpen techische gebreken</t>
  </si>
  <si>
    <t>Wanden en plafonds</t>
  </si>
  <si>
    <t>Volledig (diep)reinigen van de deur (beide zijden), (tegel-)wanden, vloeren en putjes (in- en uitwendig)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</si>
  <si>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</si>
  <si>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</si>
  <si>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</si>
  <si>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</si>
  <si>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</si>
  <si>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</si>
  <si>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</si>
  <si>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</si>
  <si>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t>Alle groen gearceerde velden dienen ingevuld te worden, overige cellen mogen niet gewijzigd worden</t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</si>
  <si>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</si>
  <si>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</si>
  <si>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Totaalprijs
Kosten / jaar</t>
  </si>
  <si>
    <t>Locaties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</si>
  <si>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</si>
  <si>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</si>
  <si>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</si>
  <si>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</si>
  <si>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</si>
  <si>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</si>
  <si>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Samenvatting schoonmaakonderhoud</t>
  </si>
  <si>
    <t>prijs per toiletunit*</t>
  </si>
  <si>
    <t>* zie tabblad Werkprogramma voor definities</t>
  </si>
  <si>
    <r>
      <t>Alle groen gearceerde velden dienen ingevuld te worden, overige cellen mogen niet gewijzigd worden (</t>
    </r>
    <r>
      <rPr>
        <sz val="9"/>
        <rFont val="Verdana"/>
        <family val="2"/>
      </rPr>
      <t>m.u.v. de tabel Rechtsgeldige Ondertekening), waar alle stippellijnen ingevuld dienen te worden)</t>
    </r>
  </si>
  <si>
    <t>……………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</si>
  <si>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</si>
  <si>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</si>
  <si>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</si>
  <si>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</si>
  <si>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</si>
  <si>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</si>
  <si>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</si>
  <si>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</si>
  <si>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</si>
  <si>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</si>
  <si>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</si>
  <si>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>Volledig reinigen kunststofwanden (maximaal 6 meter hoog)</t>
  </si>
  <si>
    <t>Volledig reinigen geschilderde wanden (maximaal 6 meter hoog)</t>
  </si>
  <si>
    <t>Volledig reinigen tegelwanden (maximaal 6 meter hoog)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</si>
  <si>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</si>
  <si>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</si>
  <si>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</si>
  <si>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</si>
  <si>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Reinigen van keukenkastjes binnen- en buitenzijde</t>
  </si>
  <si>
    <t>Vloersoort / toelichting</t>
  </si>
  <si>
    <t>Garderobe</t>
  </si>
  <si>
    <t>Prijs per strekkende meter, incl materialen en middelen</t>
  </si>
  <si>
    <t>H4</t>
  </si>
  <si>
    <t>Spinhoogwerker</t>
  </si>
  <si>
    <t>Opmerking 1</t>
  </si>
  <si>
    <t>Vliesgevel/boeiboord/damwand</t>
  </si>
  <si>
    <t>Geboorte- datum</t>
  </si>
  <si>
    <t>Branche datum</t>
  </si>
  <si>
    <t>Soort  contract</t>
  </si>
  <si>
    <t>Aantal uur op object</t>
  </si>
  <si>
    <t>&gt; 1,5 jaar op object?</t>
  </si>
  <si>
    <t>Functiecode</t>
  </si>
  <si>
    <t>Loongroep</t>
  </si>
  <si>
    <t>Basis-uurloon</t>
  </si>
  <si>
    <t>OT Dienstjaren</t>
  </si>
  <si>
    <t>VET toeslag</t>
  </si>
  <si>
    <t>Pers. Toeslag</t>
  </si>
  <si>
    <t>Reiskosten boven CAO voor 31-12-2007 afgesproken</t>
  </si>
  <si>
    <t>In het bezit van basisvak-diploma? Ja/Nee</t>
  </si>
  <si>
    <t>Lift</t>
  </si>
  <si>
    <t>Linoleum</t>
  </si>
  <si>
    <t>Opleverstaat schoonmaak</t>
  </si>
  <si>
    <t>Element</t>
  </si>
  <si>
    <t>Onderdeel</t>
  </si>
  <si>
    <t>Reinheidsniveau</t>
  </si>
  <si>
    <t>Acceptabel</t>
  </si>
  <si>
    <t>(dagelijks toegestane afwijking)</t>
  </si>
  <si>
    <t>Inventaris :</t>
  </si>
  <si>
    <t>Algemeen</t>
  </si>
  <si>
    <t>Alle inventarisonderdelen dienen vrij te zijn van: stickers, lijmresten en kauwgom.</t>
  </si>
  <si>
    <t xml:space="preserve">Aanrechtblad </t>
  </si>
  <si>
    <t>Geheel buitenzijde</t>
  </si>
  <si>
    <t>Stof-, vlek-, aanslag en streepvrij</t>
  </si>
  <si>
    <t>Lichte stofvorming, enkele vingertasten en zichtbare vlekken max. 1 tot 3 st.</t>
  </si>
  <si>
    <t>Audiovisuele middelen</t>
  </si>
  <si>
    <t>Lichte stofvorming bovenzijde</t>
  </si>
  <si>
    <t>Afvalbak/prullenbak</t>
  </si>
  <si>
    <t>Inhoud, plastic zak</t>
  </si>
  <si>
    <t>Inhoud geleegd, schone plastic zak aanwezig. Afwezigheid van fruitvliegjes</t>
  </si>
  <si>
    <t>Lichte stofvorming, enkele vinger tasten of kleine zichtbare vlekken max 3 tot 7 st.</t>
  </si>
  <si>
    <t>Geheel</t>
  </si>
  <si>
    <t>Stof-, vlek-, aanslag en streepvrij. Afwezigheid van fruitvliegjes.</t>
  </si>
  <si>
    <t>Afval</t>
  </si>
  <si>
    <t>Afgevoerd naar containers</t>
  </si>
  <si>
    <t>Balie</t>
  </si>
  <si>
    <t>Enkele vinger tasten of kleine zichtbare vlekken max 1 tot 3 st.</t>
  </si>
  <si>
    <t>Brandblusapparatuur</t>
  </si>
  <si>
    <t>Lichte stofvorming</t>
  </si>
  <si>
    <t>Bureau/Tafel/Incl. onderlegger</t>
  </si>
  <si>
    <t>Enkele vinger tasten of kleine zichtbare vlekken, max. 3 tot 7 st.</t>
  </si>
  <si>
    <t>Bureaulamp</t>
  </si>
  <si>
    <t>Enkele vinger tasten of kleine zichtbare vlekken, max. 3 tot 7 st., lichte stofvorming op voetlamp</t>
  </si>
  <si>
    <t>Kapstok/Garderoberek</t>
  </si>
  <si>
    <t>Lichte stofvorming, enkele vinger tasten en zichtbare vlekken max. 1 tot 3 st.</t>
  </si>
  <si>
    <t>Kast hoog</t>
  </si>
  <si>
    <t>Lichte stofvorming bovenzijde, enkele vinger tasten of kleine zichtbare vlekken max 3 tot 7 st.</t>
  </si>
  <si>
    <t>Kast laag/Ladenblok</t>
  </si>
  <si>
    <t>Enkele vinger tasten of kleine zichtbare vlekken, max. 3 tot 7 st</t>
  </si>
  <si>
    <t>Lampen</t>
  </si>
  <si>
    <t>Locker</t>
  </si>
  <si>
    <t>Papierbak</t>
  </si>
  <si>
    <t>Inhoud</t>
  </si>
  <si>
    <t>Inhoud geleegd, stof en vlekvrij</t>
  </si>
  <si>
    <t>PC, incl. toebehoren</t>
  </si>
  <si>
    <t>Lichte stofvorming bovenzijde, enkele vinger tasten en kleine zichtbare vlekken max. 1 tot 3 st.</t>
  </si>
  <si>
    <t>Plantenbak</t>
  </si>
  <si>
    <t>Enkele vinger tasten of kleine zichtbare vlekken max. 3 tot 7 st., enkele schopstrepen max. 3 tot 7 st.</t>
  </si>
  <si>
    <t>Plinten/kabelgoten</t>
  </si>
  <si>
    <t>Lichte stofvorming bovenzijde, enkele vinger tasten of zichtbare vlekken max 7 tot 10 st., enkele schopstrepen max. 3 tot 7 st</t>
  </si>
  <si>
    <t>Printer/copier</t>
  </si>
  <si>
    <t>Stoel/bank/kruk</t>
  </si>
  <si>
    <t>Licht stofvorming in naden, enkele vinger tasten of kleine zichtbare vlekken max. 3 tot 7 st. op achterzijde leuning</t>
  </si>
  <si>
    <t>Telefoon</t>
  </si>
  <si>
    <t>Vitrinekast</t>
  </si>
  <si>
    <t>Whiteboard/Schoolbord/Krijtrichel</t>
  </si>
  <si>
    <t>Bouwdelen :</t>
  </si>
  <si>
    <t>Alle bouwdelen dienen vrij te zijn van: stickers, lijmresten en kauwgom.</t>
  </si>
  <si>
    <t>Deur/deurglas</t>
  </si>
  <si>
    <t>Enkele vinger tasten of kleine zichtbare vlekken max. 7 tot 10 stuks, enkele schopstrepen max. 1 tot 3 st.</t>
  </si>
  <si>
    <t>Glas binnenzijde</t>
  </si>
  <si>
    <t>Enkele vinger tasten of kleine zichtbare vlekken max. 3 tot 7 st.</t>
  </si>
  <si>
    <t>Kabelgoot</t>
  </si>
  <si>
    <t>Lichte stofvorming bovenzijde, enkele vinger tasten of zichtbare vlekken max 7 tot 10 st., enkele schopstrepen max. 3 tot 7 st.</t>
  </si>
  <si>
    <t>Lichtknop/contact/</t>
  </si>
  <si>
    <t>Lichte stofvorming bovenzijde, enkele vinger tasten of kleine zichtbare vlekken max 1 tot 3 st.</t>
  </si>
  <si>
    <t>Plafond</t>
  </si>
  <si>
    <t>Geen zichtbare spinrag, lichte stofvorming en kleine zichtbare vlekken max. 3 stuks</t>
  </si>
  <si>
    <t>Plafond rooster</t>
  </si>
  <si>
    <t>Radiator/convectorkast/paneel</t>
  </si>
  <si>
    <t>Randen</t>
  </si>
  <si>
    <t>Enkele vinger tasten of kleine zichtbare vlekken max. 1 tot 3 st., enkele schopstrepen max. 1 tot 3 st</t>
  </si>
  <si>
    <t>Richels</t>
  </si>
  <si>
    <t>Lichte stofvorming, enkele vinger tasten of kleine zichtbare vlekken max. 3 tot 7 st., enkele schopstrepen max. 3 tot 7 st.</t>
  </si>
  <si>
    <t>Trapleuning / balustrade</t>
  </si>
  <si>
    <t>Lichte stofvorming bovenzijde, enkele vinger tasten of kleine zichtbare vlekken max 1 tot 3 st</t>
  </si>
  <si>
    <t>Vensterbank</t>
  </si>
  <si>
    <t>Ventilatierooster</t>
  </si>
  <si>
    <t>Verlichtingsarmatuur en buizen &lt; 2.00 m</t>
  </si>
  <si>
    <t>Wanden</t>
  </si>
  <si>
    <t>Enkele vingertasten of kleine zichtbare vlekken max. 3 tot 7 st., enkele schopstrepen max. 3 tot 7 st., geen vlekken en schopstrepen tot om 3,5m hoogte</t>
  </si>
  <si>
    <t>Sanitaire elementen:</t>
  </si>
  <si>
    <t xml:space="preserve">Alle sanitaire elementen dienen vrij te zijn van: stickers, lijmresten, kauwgom, zeepresten en huidvetten. </t>
  </si>
  <si>
    <t>Aut. handdoek/zeep/lucht</t>
  </si>
  <si>
    <t>Stof-, vlek-, aanslag en streepvrij en bijgevuld</t>
  </si>
  <si>
    <t>Lichte stofvorming bovenzijde, enkele vinger tasten of zichtbare vlekken max. 3 tot 7 st.</t>
  </si>
  <si>
    <t>Borstel- en borstelhouder</t>
  </si>
  <si>
    <t>Lichte stofvorming bovenzijde, enkele vinger tasten of zichtbare vlekken max. 7 tot 10 st</t>
  </si>
  <si>
    <t>Doorspoelinstallatie</t>
  </si>
  <si>
    <t>Enkele vinger tasten of zichtbare vlekken max. 1 tot 3 st.</t>
  </si>
  <si>
    <t>Kalkvrij</t>
  </si>
  <si>
    <t>Handgreep/steun</t>
  </si>
  <si>
    <t>Hygienebox</t>
  </si>
  <si>
    <t>Schaam-tussenschot</t>
  </si>
  <si>
    <t>Spiegel</t>
  </si>
  <si>
    <t>Enkele vinger tasten of kleine zichtbare vlekken, max. 1 tot 3 st. Enkele waterdruppels toegestaan.</t>
  </si>
  <si>
    <t>Toiletpot-bril/Urinoir/Doorspoelinst.</t>
  </si>
  <si>
    <t>Enkele zichtbare vlekken max. 3 tot 7 st.</t>
  </si>
  <si>
    <t>Toiletrolhouder</t>
  </si>
  <si>
    <t>Lichte stofvorming bovenzijde, enkele vinger tasten of zichtbare vlekken max. 7 tot 10 st.</t>
  </si>
  <si>
    <t>Wand sanitair/Planchet</t>
  </si>
  <si>
    <t>Wastafel</t>
  </si>
  <si>
    <t>Stof-, vlek-, aanslag en streepvrij. Geen zeepresten</t>
  </si>
  <si>
    <t>Vloer :</t>
  </si>
  <si>
    <t>Alle vloeren dienen vrij te zijn van stickers, lijmresten en kauwgom</t>
  </si>
  <si>
    <t>Harde vloeren (steen / pvc)</t>
  </si>
  <si>
    <t>Bureaukamers</t>
  </si>
  <si>
    <t>Grofvuil-, stof-, vlek-, aanslag en streepvrij. Geen schopstrepen</t>
  </si>
  <si>
    <t>Geen losliggend en/of zichtbaar vuil en enkele zichtbare vlekken max 8 st</t>
  </si>
  <si>
    <t>Leslokalen</t>
  </si>
  <si>
    <t>Verkeersruimte</t>
  </si>
  <si>
    <t xml:space="preserve">Geen losliggend en/of zichtbaar vuil en enkele zichtbare vlekken max 10 st.  </t>
  </si>
  <si>
    <t>Sanitaire ruimten</t>
  </si>
  <si>
    <t xml:space="preserve">Geen losliggend en/of zichtbaar vuil en enkele zichtbare vlekken max 1 st.  </t>
  </si>
  <si>
    <t>Grofvuil-, stof-, vlekvrij</t>
  </si>
  <si>
    <t>Handeling</t>
  </si>
  <si>
    <t>vochtig afnemen</t>
  </si>
  <si>
    <t>Verlichtingsarmatuur en buizen &gt; 2.00 m</t>
  </si>
  <si>
    <t>periodiek vloeronderhoud conform afspraak</t>
  </si>
  <si>
    <t>Harde vloeren zonder extra behandeling, zoals steen, beton e.d.</t>
  </si>
  <si>
    <t>Vergader/spreekkamers</t>
  </si>
  <si>
    <t>Handvaardigheidlokaal</t>
  </si>
  <si>
    <t>Groepruimte / kantine</t>
  </si>
  <si>
    <t>Personeelsruimte</t>
  </si>
  <si>
    <t>Lokaal</t>
  </si>
  <si>
    <t>Gym - / speellokaal</t>
  </si>
  <si>
    <t>Gemiddelde
indexering</t>
  </si>
  <si>
    <t>CBS index</t>
  </si>
  <si>
    <t>CAO</t>
  </si>
  <si>
    <t>Tarief excl btw</t>
  </si>
  <si>
    <t>Percentage</t>
  </si>
  <si>
    <t>Soort indexatie</t>
  </si>
  <si>
    <t>Indexatie</t>
  </si>
  <si>
    <t>Topstrippen en conserveren</t>
  </si>
  <si>
    <t>Tapijtreinigen, sproei-extractiemethode</t>
  </si>
  <si>
    <t>Tapijtreinigen, poedermethode</t>
  </si>
  <si>
    <t>De drukspoeler controleren op goede werking en ontdoen van aanslag op de buitenzijde</t>
  </si>
  <si>
    <t>De spoelpijp ontdoen van aanslag en controleren op losse of defecte bevestigingsbeugels op de aansluiting van de pot en op lekkage</t>
  </si>
  <si>
    <t>Het verwijderen van vervuiling van schaamschotten</t>
  </si>
  <si>
    <t>Het reinigen van het toilet/urinoir aan de buitenzijde</t>
  </si>
  <si>
    <t>De toiletbril ontdoen van aanslag, demonteren van een bril met brugstuk (teneinde het vuil eronder te verwijderen) en weer monteren</t>
  </si>
  <si>
    <t>De binnen- en buitenzijde van de stortbak ontdoen van aanslag en vuil (gietijzer alleen buitenzijde)</t>
  </si>
  <si>
    <t>De stortbak controleren op het functioneren van het mechanisme, het waterniveau en de bevestiging ervan</t>
  </si>
  <si>
    <t>De stopkraan van de stortbak ontkalken en controleren op goede werking</t>
  </si>
  <si>
    <t>Het verwijderen van organische en anorganische vervuiling op de binnen- en buitenzijde van de wastafel</t>
  </si>
  <si>
    <t>Alle spiegels reinigen</t>
  </si>
  <si>
    <t>Diepreiniging volgens programma</t>
  </si>
  <si>
    <t>Sanitaire ruimte</t>
  </si>
  <si>
    <t>Datum in dienst</t>
  </si>
  <si>
    <t>De gehele vloer en alle wanden reinigen met fantomat</t>
  </si>
  <si>
    <t>Toestel berging</t>
  </si>
  <si>
    <t>Sport ruimten</t>
  </si>
  <si>
    <t>Opmerking</t>
  </si>
  <si>
    <t>Handelingen dieptereiniging 2 x per jaar</t>
  </si>
  <si>
    <t>Opleverstaat schoonmaak periodiek (tijdens vakanties uitvoeren) 2 x per jaar</t>
  </si>
  <si>
    <t>……………………………………………………</t>
  </si>
  <si>
    <t>Ruimte- 
nummer</t>
  </si>
  <si>
    <t>Unit</t>
  </si>
  <si>
    <t>Reiskosten netto</t>
  </si>
  <si>
    <t>Geldig tot</t>
  </si>
  <si>
    <r>
      <t xml:space="preserve">Alle groen gearceerde velden dienen ingevuld te worden, overige cellen mogen niet gewijzigd worden    </t>
    </r>
    <r>
      <rPr>
        <b/>
        <sz val="9"/>
        <color rgb="FFFF0000"/>
        <rFont val="Verdana"/>
        <family val="2"/>
      </rPr>
      <t xml:space="preserve"> </t>
    </r>
  </si>
  <si>
    <t>2023</t>
  </si>
  <si>
    <t>2024</t>
  </si>
  <si>
    <t>2025</t>
  </si>
  <si>
    <t>2026</t>
  </si>
  <si>
    <t>Cesar Frankstraat 4</t>
  </si>
  <si>
    <t>Almelo</t>
  </si>
  <si>
    <t>Catharina van Renneslaan 35</t>
  </si>
  <si>
    <t>Rijssen</t>
  </si>
  <si>
    <t>Slot 31</t>
  </si>
  <si>
    <t>Tubbergen</t>
  </si>
  <si>
    <t>Huyerenseweg 1</t>
  </si>
  <si>
    <t>00</t>
  </si>
  <si>
    <t>1</t>
  </si>
  <si>
    <t>10</t>
  </si>
  <si>
    <t>Berging</t>
  </si>
  <si>
    <t>12</t>
  </si>
  <si>
    <t>13</t>
  </si>
  <si>
    <t>Cv-ruimte</t>
  </si>
  <si>
    <t>14</t>
  </si>
  <si>
    <t>Container</t>
  </si>
  <si>
    <t>16</t>
  </si>
  <si>
    <t>17</t>
  </si>
  <si>
    <t>Trappenhuis</t>
  </si>
  <si>
    <t>18</t>
  </si>
  <si>
    <t>Trap</t>
  </si>
  <si>
    <t>19</t>
  </si>
  <si>
    <t>Werkkast</t>
  </si>
  <si>
    <t>2</t>
  </si>
  <si>
    <t>Concierge</t>
  </si>
  <si>
    <t>20</t>
  </si>
  <si>
    <t>Leslokaal</t>
  </si>
  <si>
    <t>21</t>
  </si>
  <si>
    <t>22</t>
  </si>
  <si>
    <t>23</t>
  </si>
  <si>
    <t>24</t>
  </si>
  <si>
    <t>25</t>
  </si>
  <si>
    <t>Gang</t>
  </si>
  <si>
    <t>27</t>
  </si>
  <si>
    <t>Overblijflokaal</t>
  </si>
  <si>
    <t>27a</t>
  </si>
  <si>
    <t>27b</t>
  </si>
  <si>
    <t>27c</t>
  </si>
  <si>
    <t>27d</t>
  </si>
  <si>
    <t>28</t>
  </si>
  <si>
    <t>29</t>
  </si>
  <si>
    <t>3</t>
  </si>
  <si>
    <t>Repro</t>
  </si>
  <si>
    <t>30</t>
  </si>
  <si>
    <t>Opslag/magazijn</t>
  </si>
  <si>
    <t>31</t>
  </si>
  <si>
    <t>32</t>
  </si>
  <si>
    <t>33</t>
  </si>
  <si>
    <t>Werkplaats</t>
  </si>
  <si>
    <t>34</t>
  </si>
  <si>
    <t>Kantoor</t>
  </si>
  <si>
    <t>35</t>
  </si>
  <si>
    <t>Houtbewerking</t>
  </si>
  <si>
    <t>36</t>
  </si>
  <si>
    <t>37</t>
  </si>
  <si>
    <t>38</t>
  </si>
  <si>
    <t>Overblijfruimte</t>
  </si>
  <si>
    <t>39</t>
  </si>
  <si>
    <t>4</t>
  </si>
  <si>
    <t>42</t>
  </si>
  <si>
    <t>Meters</t>
  </si>
  <si>
    <t>43</t>
  </si>
  <si>
    <t>44</t>
  </si>
  <si>
    <t>46</t>
  </si>
  <si>
    <t>Gymlokaal</t>
  </si>
  <si>
    <t>47</t>
  </si>
  <si>
    <t>Kleedruimte/douche</t>
  </si>
  <si>
    <t>48</t>
  </si>
  <si>
    <t>49</t>
  </si>
  <si>
    <t>5</t>
  </si>
  <si>
    <t>50</t>
  </si>
  <si>
    <t>Kleedruimte</t>
  </si>
  <si>
    <t>51</t>
  </si>
  <si>
    <t>Portaal</t>
  </si>
  <si>
    <t>53</t>
  </si>
  <si>
    <t>Douche/toilet</t>
  </si>
  <si>
    <t>54</t>
  </si>
  <si>
    <t>55</t>
  </si>
  <si>
    <t>Tuinberging</t>
  </si>
  <si>
    <t>56</t>
  </si>
  <si>
    <t>57</t>
  </si>
  <si>
    <t>58</t>
  </si>
  <si>
    <t>6</t>
  </si>
  <si>
    <t>60</t>
  </si>
  <si>
    <t>61</t>
  </si>
  <si>
    <t>62</t>
  </si>
  <si>
    <t>63</t>
  </si>
  <si>
    <t>64</t>
  </si>
  <si>
    <t>65</t>
  </si>
  <si>
    <t>66</t>
  </si>
  <si>
    <t>67</t>
  </si>
  <si>
    <t>7</t>
  </si>
  <si>
    <t>Toilet meisjes</t>
  </si>
  <si>
    <t>8</t>
  </si>
  <si>
    <t>9</t>
  </si>
  <si>
    <t>Handvaardigheid</t>
  </si>
  <si>
    <t>01</t>
  </si>
  <si>
    <t>101</t>
  </si>
  <si>
    <t>103</t>
  </si>
  <si>
    <t>104</t>
  </si>
  <si>
    <t>104a</t>
  </si>
  <si>
    <t>106</t>
  </si>
  <si>
    <t>Toilet jongens</t>
  </si>
  <si>
    <t>107</t>
  </si>
  <si>
    <t>108</t>
  </si>
  <si>
    <t>109</t>
  </si>
  <si>
    <t>Biologie</t>
  </si>
  <si>
    <t>110</t>
  </si>
  <si>
    <t>110a</t>
  </si>
  <si>
    <t>110b</t>
  </si>
  <si>
    <t>110c</t>
  </si>
  <si>
    <t>110D</t>
  </si>
  <si>
    <t>111</t>
  </si>
  <si>
    <t>Huisvuil</t>
  </si>
  <si>
    <t>111A</t>
  </si>
  <si>
    <t>Schacht</t>
  </si>
  <si>
    <t>112</t>
  </si>
  <si>
    <t>Liftje</t>
  </si>
  <si>
    <t>113</t>
  </si>
  <si>
    <t>Verbindingsgang + trap</t>
  </si>
  <si>
    <t>114</t>
  </si>
  <si>
    <t>115</t>
  </si>
  <si>
    <t>116</t>
  </si>
  <si>
    <t>116A</t>
  </si>
  <si>
    <t>117</t>
  </si>
  <si>
    <t>118</t>
  </si>
  <si>
    <t>119</t>
  </si>
  <si>
    <t>120</t>
  </si>
  <si>
    <t>121</t>
  </si>
  <si>
    <t>122</t>
  </si>
  <si>
    <t>122A</t>
  </si>
  <si>
    <t>128</t>
  </si>
  <si>
    <t>Scheikunde</t>
  </si>
  <si>
    <t>128a</t>
  </si>
  <si>
    <t>129</t>
  </si>
  <si>
    <t>130</t>
  </si>
  <si>
    <t>Kabinet</t>
  </si>
  <si>
    <t>131</t>
  </si>
  <si>
    <t>Prakticum scheikunde</t>
  </si>
  <si>
    <t>132</t>
  </si>
  <si>
    <t>Directeur</t>
  </si>
  <si>
    <t>134</t>
  </si>
  <si>
    <t>Administratie</t>
  </si>
  <si>
    <t>135</t>
  </si>
  <si>
    <t>Wachtruimte</t>
  </si>
  <si>
    <t>136</t>
  </si>
  <si>
    <t>Conrector</t>
  </si>
  <si>
    <t>137</t>
  </si>
  <si>
    <t>Archief</t>
  </si>
  <si>
    <t>138</t>
  </si>
  <si>
    <t>Roken doc.</t>
  </si>
  <si>
    <t>139</t>
  </si>
  <si>
    <t>140</t>
  </si>
  <si>
    <t>02</t>
  </si>
  <si>
    <t>201</t>
  </si>
  <si>
    <t>202</t>
  </si>
  <si>
    <t>203</t>
  </si>
  <si>
    <t>204</t>
  </si>
  <si>
    <t>205a</t>
  </si>
  <si>
    <t>Voorruimte toilet</t>
  </si>
  <si>
    <t>205b</t>
  </si>
  <si>
    <t>Toilet dames docenten</t>
  </si>
  <si>
    <t>205c</t>
  </si>
  <si>
    <t>Toilet heren docenten</t>
  </si>
  <si>
    <t>207</t>
  </si>
  <si>
    <t>Keuken</t>
  </si>
  <si>
    <t>208</t>
  </si>
  <si>
    <t>209</t>
  </si>
  <si>
    <t>Miva toilet</t>
  </si>
  <si>
    <t>209a</t>
  </si>
  <si>
    <t>210a</t>
  </si>
  <si>
    <t>210b</t>
  </si>
  <si>
    <t>210c</t>
  </si>
  <si>
    <t>211</t>
  </si>
  <si>
    <t>212</t>
  </si>
  <si>
    <t>Lerarenkamer</t>
  </si>
  <si>
    <t>213</t>
  </si>
  <si>
    <t>Decaan</t>
  </si>
  <si>
    <t>214</t>
  </si>
  <si>
    <t>Moderator</t>
  </si>
  <si>
    <t>215</t>
  </si>
  <si>
    <t>215A</t>
  </si>
  <si>
    <t>217</t>
  </si>
  <si>
    <t>Verbindingsgang +  trap</t>
  </si>
  <si>
    <t>219</t>
  </si>
  <si>
    <t>220</t>
  </si>
  <si>
    <t>221</t>
  </si>
  <si>
    <t>222</t>
  </si>
  <si>
    <t>223</t>
  </si>
  <si>
    <t>224</t>
  </si>
  <si>
    <t>225</t>
  </si>
  <si>
    <t>226</t>
  </si>
  <si>
    <t>227a</t>
  </si>
  <si>
    <t>Systeembeheer</t>
  </si>
  <si>
    <t>227b</t>
  </si>
  <si>
    <t>227c</t>
  </si>
  <si>
    <t>228</t>
  </si>
  <si>
    <t>228A</t>
  </si>
  <si>
    <t>230</t>
  </si>
  <si>
    <t>Kantine</t>
  </si>
  <si>
    <t>232</t>
  </si>
  <si>
    <t>Theorie natuurkunde</t>
  </si>
  <si>
    <t>233</t>
  </si>
  <si>
    <t>234</t>
  </si>
  <si>
    <t>Berging tbv podium</t>
  </si>
  <si>
    <t>235</t>
  </si>
  <si>
    <t>236</t>
  </si>
  <si>
    <t>Practicum natuurkunde</t>
  </si>
  <si>
    <t>236a</t>
  </si>
  <si>
    <t>237</t>
  </si>
  <si>
    <t>Schoolhuis</t>
  </si>
  <si>
    <t>238</t>
  </si>
  <si>
    <t>238A</t>
  </si>
  <si>
    <t>239</t>
  </si>
  <si>
    <t>240</t>
  </si>
  <si>
    <t>241</t>
  </si>
  <si>
    <t>03</t>
  </si>
  <si>
    <t>301</t>
  </si>
  <si>
    <t>302</t>
  </si>
  <si>
    <t>303</t>
  </si>
  <si>
    <t>304</t>
  </si>
  <si>
    <t>308</t>
  </si>
  <si>
    <t>309</t>
  </si>
  <si>
    <t>309a</t>
  </si>
  <si>
    <t>310a</t>
  </si>
  <si>
    <t>310b</t>
  </si>
  <si>
    <t>310c</t>
  </si>
  <si>
    <t>311</t>
  </si>
  <si>
    <t>312</t>
  </si>
  <si>
    <t>314</t>
  </si>
  <si>
    <t>moderator</t>
  </si>
  <si>
    <t>315</t>
  </si>
  <si>
    <t>315A</t>
  </si>
  <si>
    <t>316</t>
  </si>
  <si>
    <t>317</t>
  </si>
  <si>
    <t>319</t>
  </si>
  <si>
    <t>320</t>
  </si>
  <si>
    <t>321</t>
  </si>
  <si>
    <t>322</t>
  </si>
  <si>
    <t>323</t>
  </si>
  <si>
    <t>324</t>
  </si>
  <si>
    <t>325</t>
  </si>
  <si>
    <t>326</t>
  </si>
  <si>
    <t>327</t>
  </si>
  <si>
    <t>328</t>
  </si>
  <si>
    <t>328A</t>
  </si>
  <si>
    <t>332</t>
  </si>
  <si>
    <t>333a</t>
  </si>
  <si>
    <t>333b</t>
  </si>
  <si>
    <t>334</t>
  </si>
  <si>
    <t>336</t>
  </si>
  <si>
    <t>337</t>
  </si>
  <si>
    <t>338</t>
  </si>
  <si>
    <t>339</t>
  </si>
  <si>
    <t>Opslag</t>
  </si>
  <si>
    <t>Spreekkamer</t>
  </si>
  <si>
    <t>Kantoor docent</t>
  </si>
  <si>
    <t>Kast</t>
  </si>
  <si>
    <t>Gymzaal</t>
  </si>
  <si>
    <t>Douche</t>
  </si>
  <si>
    <t>Toiletten</t>
  </si>
  <si>
    <t>Hal</t>
  </si>
  <si>
    <t>TR</t>
  </si>
  <si>
    <t>0.01</t>
  </si>
  <si>
    <t>0.02a</t>
  </si>
  <si>
    <t>MK</t>
  </si>
  <si>
    <t>0.02b</t>
  </si>
  <si>
    <t>0.03</t>
  </si>
  <si>
    <t>Vergaderruimte</t>
  </si>
  <si>
    <t>0.04</t>
  </si>
  <si>
    <t>PR Kwaliteitszorg</t>
  </si>
  <si>
    <t>0.05</t>
  </si>
  <si>
    <t>Directie</t>
  </si>
  <si>
    <t>0.05a</t>
  </si>
  <si>
    <t>Kastenwand</t>
  </si>
  <si>
    <t>0.06</t>
  </si>
  <si>
    <t>0.06a</t>
  </si>
  <si>
    <t>0.07</t>
  </si>
  <si>
    <t>FInacieen</t>
  </si>
  <si>
    <t>0.08</t>
  </si>
  <si>
    <t>Flexplek</t>
  </si>
  <si>
    <t>0.09</t>
  </si>
  <si>
    <t>Toilet heren</t>
  </si>
  <si>
    <t>0.09a</t>
  </si>
  <si>
    <t>Toilet</t>
  </si>
  <si>
    <t>0.09b</t>
  </si>
  <si>
    <t>0.10</t>
  </si>
  <si>
    <t>Toilet dames</t>
  </si>
  <si>
    <t>0.10a</t>
  </si>
  <si>
    <t>0.11</t>
  </si>
  <si>
    <t>Archief / opslag</t>
  </si>
  <si>
    <t>0.12</t>
  </si>
  <si>
    <t>Techniek</t>
  </si>
  <si>
    <t>0.13</t>
  </si>
  <si>
    <t>0.14</t>
  </si>
  <si>
    <t>0.15</t>
  </si>
  <si>
    <t>Administratie kantoor</t>
  </si>
  <si>
    <t>19a</t>
  </si>
  <si>
    <t>Mediatheek</t>
  </si>
  <si>
    <t>Server</t>
  </si>
  <si>
    <t>26</t>
  </si>
  <si>
    <t>26a</t>
  </si>
  <si>
    <t>11</t>
  </si>
  <si>
    <t>15</t>
  </si>
  <si>
    <t>Aula</t>
  </si>
  <si>
    <t>40</t>
  </si>
  <si>
    <t>45</t>
  </si>
  <si>
    <t>52</t>
  </si>
  <si>
    <t>11a</t>
  </si>
  <si>
    <t>12a</t>
  </si>
  <si>
    <t>Personeelskamer</t>
  </si>
  <si>
    <t>16a</t>
  </si>
  <si>
    <t>MIVA</t>
  </si>
  <si>
    <t>Muzieklokaal</t>
  </si>
  <si>
    <t>10a</t>
  </si>
  <si>
    <t>Kleedkamer</t>
  </si>
  <si>
    <t>10b</t>
  </si>
  <si>
    <t>10c</t>
  </si>
  <si>
    <t>10d</t>
  </si>
  <si>
    <t>10e</t>
  </si>
  <si>
    <t>11b</t>
  </si>
  <si>
    <t>Douche docent</t>
  </si>
  <si>
    <t>11c</t>
  </si>
  <si>
    <t>11d</t>
  </si>
  <si>
    <t>12b</t>
  </si>
  <si>
    <t>12c</t>
  </si>
  <si>
    <t>12d</t>
  </si>
  <si>
    <t>12e</t>
  </si>
  <si>
    <t>13a</t>
  </si>
  <si>
    <t>13b</t>
  </si>
  <si>
    <t>13c</t>
  </si>
  <si>
    <t>13d</t>
  </si>
  <si>
    <t>14a</t>
  </si>
  <si>
    <t>14b</t>
  </si>
  <si>
    <t>15a</t>
  </si>
  <si>
    <t>15b</t>
  </si>
  <si>
    <t>15c</t>
  </si>
  <si>
    <t>15d</t>
  </si>
  <si>
    <t>15e</t>
  </si>
  <si>
    <t>15f</t>
  </si>
  <si>
    <t>15g</t>
  </si>
  <si>
    <t>16b</t>
  </si>
  <si>
    <t>17a</t>
  </si>
  <si>
    <t>17b</t>
  </si>
  <si>
    <t>18a</t>
  </si>
  <si>
    <t>18b</t>
  </si>
  <si>
    <t>23a</t>
  </si>
  <si>
    <t>24a</t>
  </si>
  <si>
    <t>25a</t>
  </si>
  <si>
    <t>25b</t>
  </si>
  <si>
    <t>25c</t>
  </si>
  <si>
    <t>26b</t>
  </si>
  <si>
    <t>CV</t>
  </si>
  <si>
    <t>26c</t>
  </si>
  <si>
    <t>26d</t>
  </si>
  <si>
    <t>Koeling</t>
  </si>
  <si>
    <t>27e</t>
  </si>
  <si>
    <t>28a</t>
  </si>
  <si>
    <t>28d</t>
  </si>
  <si>
    <t>28e</t>
  </si>
  <si>
    <t>28f</t>
  </si>
  <si>
    <t>30a</t>
  </si>
  <si>
    <t>30b</t>
  </si>
  <si>
    <t>30c</t>
  </si>
  <si>
    <t>31a</t>
  </si>
  <si>
    <t>31b</t>
  </si>
  <si>
    <t>31c</t>
  </si>
  <si>
    <t>31d</t>
  </si>
  <si>
    <t>31e</t>
  </si>
  <si>
    <t>Openleercentrum</t>
  </si>
  <si>
    <t>32a</t>
  </si>
  <si>
    <t>32b</t>
  </si>
  <si>
    <t>32c</t>
  </si>
  <si>
    <t>34a</t>
  </si>
  <si>
    <t>34b</t>
  </si>
  <si>
    <t>35a</t>
  </si>
  <si>
    <t>35b</t>
  </si>
  <si>
    <t>36a</t>
  </si>
  <si>
    <t>Werkruimte congierge</t>
  </si>
  <si>
    <t>36b</t>
  </si>
  <si>
    <t>36c</t>
  </si>
  <si>
    <t>36d</t>
  </si>
  <si>
    <t>37a</t>
  </si>
  <si>
    <t>37b</t>
  </si>
  <si>
    <t>37c</t>
  </si>
  <si>
    <t>39a</t>
  </si>
  <si>
    <t>39b</t>
  </si>
  <si>
    <t>41</t>
  </si>
  <si>
    <t>41a</t>
  </si>
  <si>
    <t>41b</t>
  </si>
  <si>
    <t>42a</t>
  </si>
  <si>
    <t>42b</t>
  </si>
  <si>
    <t>42c</t>
  </si>
  <si>
    <t>45a</t>
  </si>
  <si>
    <t>46a</t>
  </si>
  <si>
    <t>52a</t>
  </si>
  <si>
    <t>52b</t>
  </si>
  <si>
    <t>102</t>
  </si>
  <si>
    <t>102a</t>
  </si>
  <si>
    <t>102b</t>
  </si>
  <si>
    <t>103a</t>
  </si>
  <si>
    <t>103b</t>
  </si>
  <si>
    <t>105</t>
  </si>
  <si>
    <t>109a</t>
  </si>
  <si>
    <t>109b</t>
  </si>
  <si>
    <t>115a</t>
  </si>
  <si>
    <t>116a</t>
  </si>
  <si>
    <t>116b</t>
  </si>
  <si>
    <t>117a</t>
  </si>
  <si>
    <t>120a</t>
  </si>
  <si>
    <t>123</t>
  </si>
  <si>
    <t>124</t>
  </si>
  <si>
    <t>125</t>
  </si>
  <si>
    <t>125c</t>
  </si>
  <si>
    <t>126</t>
  </si>
  <si>
    <t>126a</t>
  </si>
  <si>
    <t>127</t>
  </si>
  <si>
    <t>130a</t>
  </si>
  <si>
    <t>130b</t>
  </si>
  <si>
    <t>130c</t>
  </si>
  <si>
    <t>130d</t>
  </si>
  <si>
    <t>133</t>
  </si>
  <si>
    <t>133a</t>
  </si>
  <si>
    <t>134a</t>
  </si>
  <si>
    <t>138a</t>
  </si>
  <si>
    <t>138b</t>
  </si>
  <si>
    <t>138c</t>
  </si>
  <si>
    <t>Fitness/berging</t>
  </si>
  <si>
    <t>205</t>
  </si>
  <si>
    <t>206</t>
  </si>
  <si>
    <t>OLC</t>
  </si>
  <si>
    <t>7604 JG</t>
  </si>
  <si>
    <t>7604 KV</t>
  </si>
  <si>
    <t>7604 JG </t>
  </si>
  <si>
    <t>7461 CP</t>
  </si>
  <si>
    <t>7608 ND</t>
  </si>
  <si>
    <t>7651 LR</t>
  </si>
  <si>
    <t>Onbepaalde tijd</t>
  </si>
  <si>
    <t>Ja</t>
  </si>
  <si>
    <t>Mdw algemeen schoonmaakonderhoud I</t>
  </si>
  <si>
    <t>Meewerkend voorvrouw</t>
  </si>
  <si>
    <t>Nee</t>
  </si>
  <si>
    <t>Ingang van arbeidsongeschiktheid</t>
  </si>
  <si>
    <t>Percentage arbeidsongeschiktheid</t>
  </si>
  <si>
    <t>PXC Aalderinkshoek</t>
  </si>
  <si>
    <t>Stichting Facilitair Beheer Van Renneslaan</t>
  </si>
  <si>
    <t>Stafbureau</t>
  </si>
  <si>
    <t>PXC Rijssen</t>
  </si>
  <si>
    <t>Graaf Ottostraat 48</t>
  </si>
  <si>
    <t>Cesar Frankstraat 6</t>
  </si>
  <si>
    <t>SGC Almelo</t>
  </si>
  <si>
    <t>SGC Tubbergen</t>
  </si>
  <si>
    <t>Bijlage 5 dient in Excel format te worden toegevoegd. Deze pagina dient daarnaast rechtsgeldig ondertekend als PDF te worden toegevoegd.</t>
  </si>
  <si>
    <t>Plavuizen</t>
  </si>
  <si>
    <t>8a</t>
  </si>
  <si>
    <t>9a</t>
  </si>
  <si>
    <t>7c</t>
  </si>
  <si>
    <t>7b</t>
  </si>
  <si>
    <t>7a</t>
  </si>
  <si>
    <t>3c</t>
  </si>
  <si>
    <t>3b</t>
  </si>
  <si>
    <t>3a</t>
  </si>
  <si>
    <t>2d</t>
  </si>
  <si>
    <t>2c</t>
  </si>
  <si>
    <t>2b</t>
  </si>
  <si>
    <t>1d</t>
  </si>
  <si>
    <t>1c</t>
  </si>
  <si>
    <t>1b</t>
  </si>
  <si>
    <t>1a</t>
  </si>
  <si>
    <t>8b</t>
  </si>
  <si>
    <t>8c</t>
  </si>
  <si>
    <t>9b</t>
  </si>
  <si>
    <t>Beton</t>
  </si>
  <si>
    <t>9c</t>
  </si>
  <si>
    <t>Rubber</t>
  </si>
  <si>
    <t>10b1</t>
  </si>
  <si>
    <t>Gietvloer</t>
  </si>
  <si>
    <t>Collegezaal</t>
  </si>
  <si>
    <t>kantoor</t>
  </si>
  <si>
    <t>Betalab</t>
  </si>
  <si>
    <t>Praktijklokaal</t>
  </si>
  <si>
    <t>Werkruimte</t>
  </si>
  <si>
    <t>Tapijttegels</t>
  </si>
  <si>
    <t>Vloertegels</t>
  </si>
  <si>
    <t>Vinyl</t>
  </si>
  <si>
    <t>0.13a</t>
  </si>
  <si>
    <t>Pantry vergaderruimte</t>
  </si>
  <si>
    <t>vergaderruimte</t>
  </si>
  <si>
    <t>Extra werkzaamheden</t>
  </si>
  <si>
    <t>2027</t>
  </si>
  <si>
    <t>Gladheidbestrijding</t>
  </si>
  <si>
    <t>121a</t>
  </si>
  <si>
    <t>Omschrijving</t>
  </si>
  <si>
    <t>Gevelbeplating</t>
  </si>
  <si>
    <t>Planning in overleg met opdrachtgever</t>
  </si>
  <si>
    <t>prijs per m2</t>
  </si>
  <si>
    <t>Sneeuwruimen incl gladheidbestrijding</t>
  </si>
  <si>
    <t>Prijs per m2</t>
  </si>
  <si>
    <t>M2</t>
  </si>
  <si>
    <t>Dak reinigen</t>
  </si>
  <si>
    <t>Zonnepanelen reinigen</t>
  </si>
  <si>
    <t>Dakgoten reinigen</t>
  </si>
  <si>
    <t>prijs per strekende meter</t>
  </si>
  <si>
    <t>Kunststof kozijnen waxen</t>
  </si>
  <si>
    <t>Paden zijn uitgewerkt in bijlage, welke na gunning wordt gedeeld met de opdrachtgever</t>
  </si>
  <si>
    <t>bg</t>
  </si>
  <si>
    <t>T 001</t>
  </si>
  <si>
    <t>T 002</t>
  </si>
  <si>
    <t>T 003</t>
  </si>
  <si>
    <t>T 004</t>
  </si>
  <si>
    <t>T 005</t>
  </si>
  <si>
    <t>T 007</t>
  </si>
  <si>
    <t>T 008</t>
  </si>
  <si>
    <t>T 009</t>
  </si>
  <si>
    <t>T 010</t>
  </si>
  <si>
    <t>T 011</t>
  </si>
  <si>
    <t>T 012</t>
  </si>
  <si>
    <t>T 017</t>
  </si>
  <si>
    <t>T 022</t>
  </si>
  <si>
    <t>T 023</t>
  </si>
  <si>
    <t>T 025</t>
  </si>
  <si>
    <t>T 026</t>
  </si>
  <si>
    <t>T 030</t>
  </si>
  <si>
    <t>T 031</t>
  </si>
  <si>
    <t>T 032</t>
  </si>
  <si>
    <t>T 033</t>
  </si>
  <si>
    <t>T 034</t>
  </si>
  <si>
    <t>T 035</t>
  </si>
  <si>
    <t>T 036</t>
  </si>
  <si>
    <t>T 037</t>
  </si>
  <si>
    <t>T 038</t>
  </si>
  <si>
    <t>T 039</t>
  </si>
  <si>
    <t>T 041</t>
  </si>
  <si>
    <t>T 043</t>
  </si>
  <si>
    <t>T 044</t>
  </si>
  <si>
    <t>T 045</t>
  </si>
  <si>
    <t>T 046</t>
  </si>
  <si>
    <t>T 047</t>
  </si>
  <si>
    <t>T 048</t>
  </si>
  <si>
    <t>T 049</t>
  </si>
  <si>
    <t>T 050</t>
  </si>
  <si>
    <t>T 101</t>
  </si>
  <si>
    <t>T 102</t>
  </si>
  <si>
    <t>T 103</t>
  </si>
  <si>
    <t>T 104</t>
  </si>
  <si>
    <t>T 105</t>
  </si>
  <si>
    <t>T 106</t>
  </si>
  <si>
    <t>T 120</t>
  </si>
  <si>
    <t>T 121</t>
  </si>
  <si>
    <t>T 122</t>
  </si>
  <si>
    <t>T 130</t>
  </si>
  <si>
    <t>T 131</t>
  </si>
  <si>
    <t>T 140</t>
  </si>
  <si>
    <t>T 142</t>
  </si>
  <si>
    <t>T 143</t>
  </si>
  <si>
    <t>T 145</t>
  </si>
  <si>
    <t>T 146</t>
  </si>
  <si>
    <t>T 147</t>
  </si>
  <si>
    <t>T 148</t>
  </si>
  <si>
    <t>T149</t>
  </si>
  <si>
    <t>steen</t>
  </si>
  <si>
    <t>lino</t>
  </si>
  <si>
    <t>tapijt</t>
  </si>
  <si>
    <t>pvc</t>
  </si>
  <si>
    <t>sportvloer</t>
  </si>
  <si>
    <t>1e</t>
  </si>
  <si>
    <t>2e</t>
  </si>
  <si>
    <t>3e</t>
  </si>
  <si>
    <t>4e</t>
  </si>
  <si>
    <t>5e</t>
  </si>
  <si>
    <t>6e</t>
  </si>
  <si>
    <t>7e</t>
  </si>
  <si>
    <t>8e</t>
  </si>
  <si>
    <t>9e</t>
  </si>
  <si>
    <t>11e</t>
  </si>
  <si>
    <t>13e</t>
  </si>
  <si>
    <t>14e</t>
  </si>
  <si>
    <t>16e</t>
  </si>
  <si>
    <t>17e</t>
  </si>
  <si>
    <t>18e</t>
  </si>
  <si>
    <t>19e</t>
  </si>
  <si>
    <t>20e</t>
  </si>
  <si>
    <t>21e</t>
  </si>
  <si>
    <t>22e</t>
  </si>
  <si>
    <t>23e</t>
  </si>
  <si>
    <t>24e</t>
  </si>
  <si>
    <t>25e</t>
  </si>
  <si>
    <t>26e</t>
  </si>
  <si>
    <t>29e</t>
  </si>
  <si>
    <t>30e</t>
  </si>
  <si>
    <t>32e</t>
  </si>
  <si>
    <t>33e</t>
  </si>
  <si>
    <t>34e</t>
  </si>
  <si>
    <t>35e</t>
  </si>
  <si>
    <t>36e</t>
  </si>
  <si>
    <t>37e</t>
  </si>
  <si>
    <t>38e</t>
  </si>
  <si>
    <t>39e</t>
  </si>
  <si>
    <t>40e</t>
  </si>
  <si>
    <t>Miva</t>
  </si>
  <si>
    <t>Sportzaal</t>
  </si>
  <si>
    <t>Studiegang</t>
  </si>
  <si>
    <t>Studieruimte</t>
  </si>
  <si>
    <t>t</t>
  </si>
  <si>
    <t>l</t>
  </si>
  <si>
    <t>p</t>
  </si>
  <si>
    <t>s</t>
  </si>
  <si>
    <t>Mat</t>
  </si>
  <si>
    <t>2a</t>
  </si>
  <si>
    <t>Naaldvilt</t>
  </si>
  <si>
    <t>28c</t>
  </si>
  <si>
    <t>29a</t>
  </si>
  <si>
    <t>Practicumlokaal</t>
  </si>
  <si>
    <t>Ruimte gebruiks-intentie</t>
  </si>
  <si>
    <t>Extra werkzaamheden kosten /jaar</t>
  </si>
  <si>
    <t>Lichtstraat (enkel gemeten, dubbel te wassen)</t>
  </si>
  <si>
    <t>Trap / balustrade (enkel gemeten, dubbel te wassen)</t>
  </si>
  <si>
    <t>Pui (hoofdingang)</t>
  </si>
  <si>
    <t>kelder</t>
  </si>
  <si>
    <t>entree</t>
  </si>
  <si>
    <t>kantine</t>
  </si>
  <si>
    <t>concierge</t>
  </si>
  <si>
    <t>keuken</t>
  </si>
  <si>
    <t>repro</t>
  </si>
  <si>
    <t>toilet dames</t>
  </si>
  <si>
    <t>toilet heren</t>
  </si>
  <si>
    <t>berging</t>
  </si>
  <si>
    <t>gang</t>
  </si>
  <si>
    <t>theorielokaal T6</t>
  </si>
  <si>
    <t>theorielokaal T5</t>
  </si>
  <si>
    <t>theorielokaal T4</t>
  </si>
  <si>
    <t>teamleider</t>
  </si>
  <si>
    <t>trappenhuis</t>
  </si>
  <si>
    <t>garderobe/lockers</t>
  </si>
  <si>
    <t>decaan</t>
  </si>
  <si>
    <t>theorielokaal T3</t>
  </si>
  <si>
    <t>theorielokaal T2</t>
  </si>
  <si>
    <t>theorielokaal T1</t>
  </si>
  <si>
    <t>vaklokaal V1</t>
  </si>
  <si>
    <t>algemene berging</t>
  </si>
  <si>
    <t>lift</t>
  </si>
  <si>
    <t>schacht</t>
  </si>
  <si>
    <t>miva</t>
  </si>
  <si>
    <t>lockerruimte</t>
  </si>
  <si>
    <t>kabinet</t>
  </si>
  <si>
    <t>aula</t>
  </si>
  <si>
    <t>theorielokaal T7</t>
  </si>
  <si>
    <t>theorielokaal T8</t>
  </si>
  <si>
    <t>buitenberging</t>
  </si>
  <si>
    <t>vaklokaal V4</t>
  </si>
  <si>
    <t>machines</t>
  </si>
  <si>
    <t>vaklokaal V3</t>
  </si>
  <si>
    <t>vaklokaal V2</t>
  </si>
  <si>
    <t>tochtportaal</t>
  </si>
  <si>
    <t>meterkast</t>
  </si>
  <si>
    <t>kleedruimte jongens</t>
  </si>
  <si>
    <t>docenten kleedruimte</t>
  </si>
  <si>
    <t>werkkast</t>
  </si>
  <si>
    <t>kleedruimte meisjes</t>
  </si>
  <si>
    <t>gymlokaal</t>
  </si>
  <si>
    <t>toestellenberging</t>
  </si>
  <si>
    <t>vaklokaal biologie V6</t>
  </si>
  <si>
    <t>theorielokaal T11</t>
  </si>
  <si>
    <t>theorielokaal T12</t>
  </si>
  <si>
    <t>kluis/opslag administratie</t>
  </si>
  <si>
    <t>spreekkamer</t>
  </si>
  <si>
    <t>administratie</t>
  </si>
  <si>
    <t>directie</t>
  </si>
  <si>
    <t>mediatheek</t>
  </si>
  <si>
    <t>vaklokaal ICT V5</t>
  </si>
  <si>
    <t>theorielokaal T10</t>
  </si>
  <si>
    <t>theorielokaal T9</t>
  </si>
  <si>
    <t>vaklokaal V7</t>
  </si>
  <si>
    <t>machinekamer</t>
  </si>
  <si>
    <t>cv-ruimte</t>
  </si>
  <si>
    <t>personeelskamer</t>
  </si>
  <si>
    <t>lokaal</t>
  </si>
  <si>
    <t xml:space="preserve">kantoor </t>
  </si>
  <si>
    <t>douche meisjes</t>
  </si>
  <si>
    <t>douche jongens</t>
  </si>
  <si>
    <t>toilet jongens</t>
  </si>
  <si>
    <t>toilet meisjes</t>
  </si>
  <si>
    <t>douche docenten</t>
  </si>
  <si>
    <t>Oud tapijt</t>
  </si>
  <si>
    <t>Tarket</t>
  </si>
  <si>
    <t>Airmaster tapijttegels</t>
  </si>
  <si>
    <t>Tapijt/Tarket/Steen</t>
  </si>
  <si>
    <t>Pulastic</t>
  </si>
  <si>
    <t>Betonverf</t>
  </si>
  <si>
    <t>nieuw bgg</t>
  </si>
  <si>
    <t>Bepating ingang</t>
  </si>
  <si>
    <t>Grijs</t>
  </si>
  <si>
    <t>Bepating zijkant</t>
  </si>
  <si>
    <t>containerruimte</t>
  </si>
  <si>
    <t>berging SDV</t>
  </si>
  <si>
    <t>fietsen personeel</t>
  </si>
  <si>
    <t>KCA</t>
  </si>
  <si>
    <t>technische ruimte</t>
  </si>
  <si>
    <t>opslag facilitair</t>
  </si>
  <si>
    <t>conciergeloge</t>
  </si>
  <si>
    <t>opslag concierge</t>
  </si>
  <si>
    <t>fietsenstalling</t>
  </si>
  <si>
    <t>opslag</t>
  </si>
  <si>
    <t>metaal</t>
  </si>
  <si>
    <t>Lassen</t>
  </si>
  <si>
    <t>techniekhal</t>
  </si>
  <si>
    <t>metselen</t>
  </si>
  <si>
    <t>machinale</t>
  </si>
  <si>
    <t>magazijn metaal</t>
  </si>
  <si>
    <t>magazijn electro</t>
  </si>
  <si>
    <t>magazijn bouw</t>
  </si>
  <si>
    <t>toiletgroep techniekhal</t>
  </si>
  <si>
    <t>magazijn metselen</t>
  </si>
  <si>
    <t xml:space="preserve"> compressor</t>
  </si>
  <si>
    <t>TN15+TN16 en BV01</t>
  </si>
  <si>
    <t>docentenruimte</t>
  </si>
  <si>
    <t>opslag beeldvorming</t>
  </si>
  <si>
    <t>sportzaal 1</t>
  </si>
  <si>
    <t>toestelberging</t>
  </si>
  <si>
    <t>dameskleedruimte</t>
  </si>
  <si>
    <t>sportzaal 2</t>
  </si>
  <si>
    <t>trappenhuis bij sportzaal</t>
  </si>
  <si>
    <t>berging, werkkast</t>
  </si>
  <si>
    <t>kleedruimte heren</t>
  </si>
  <si>
    <t>kleedr. MIVA</t>
  </si>
  <si>
    <t>berging totaal</t>
  </si>
  <si>
    <t>toiletgroep bij Economieplein</t>
  </si>
  <si>
    <t>trappenhuisbij Ec-plein</t>
  </si>
  <si>
    <t>verkeersruimte bij EC07</t>
  </si>
  <si>
    <t>verkeersruimte bij EC01</t>
  </si>
  <si>
    <t>verkeersruimte bij GTL03</t>
  </si>
  <si>
    <t>verkeersruimte bij GTL02</t>
  </si>
  <si>
    <t>trappenhuis GTL / techniekhal</t>
  </si>
  <si>
    <t>magazijn GTL</t>
  </si>
  <si>
    <t>werkkast bij GTL</t>
  </si>
  <si>
    <t>GTL01</t>
  </si>
  <si>
    <t>GTL02</t>
  </si>
  <si>
    <t>GTL06</t>
  </si>
  <si>
    <t>GTL05</t>
  </si>
  <si>
    <t>GTL03</t>
  </si>
  <si>
    <t>GTL04</t>
  </si>
  <si>
    <t>EC01</t>
  </si>
  <si>
    <t>Ec02 + EC03 + 04</t>
  </si>
  <si>
    <t>EC05</t>
  </si>
  <si>
    <t>Ec06 + Ec07</t>
  </si>
  <si>
    <t>Ec08</t>
  </si>
  <si>
    <t>L103 leeromg 1</t>
  </si>
  <si>
    <t>L104</t>
  </si>
  <si>
    <t>L105</t>
  </si>
  <si>
    <t>L106</t>
  </si>
  <si>
    <t>L101, garderobe</t>
  </si>
  <si>
    <t>trappenhuis achter</t>
  </si>
  <si>
    <t>toiletgroep leeromgeving 1</t>
  </si>
  <si>
    <t>trappenhuis bij leeromg 1</t>
  </si>
  <si>
    <t>MU01, MU02, MU03</t>
  </si>
  <si>
    <t>verkeersruimte bij MU01</t>
  </si>
  <si>
    <t>A004, conciergeruimte</t>
  </si>
  <si>
    <t>MU04, berging muziek</t>
  </si>
  <si>
    <t>entree Noordik</t>
  </si>
  <si>
    <t>A001 Mediatheek</t>
  </si>
  <si>
    <t>T103 thuisbasis</t>
  </si>
  <si>
    <t>T104</t>
  </si>
  <si>
    <t>T105</t>
  </si>
  <si>
    <t>T106</t>
  </si>
  <si>
    <t>verkeersruimte bij T106</t>
  </si>
  <si>
    <t>trappenhuis bij thuisbasis 1</t>
  </si>
  <si>
    <t>A005, conciergeruimte</t>
  </si>
  <si>
    <t>entree PiusX</t>
  </si>
  <si>
    <t>toiletgroep bij thuisbasis 1</t>
  </si>
  <si>
    <t>A006, archief Noordik</t>
  </si>
  <si>
    <t>A006, archief PiusX</t>
  </si>
  <si>
    <t>verkeersruimte bij D011</t>
  </si>
  <si>
    <t>D012, berging noordik</t>
  </si>
  <si>
    <t>D013, berging PiuX</t>
  </si>
  <si>
    <t>D011 vergaderruimte</t>
  </si>
  <si>
    <t>D010</t>
  </si>
  <si>
    <t>D009</t>
  </si>
  <si>
    <t>D008</t>
  </si>
  <si>
    <t>D007</t>
  </si>
  <si>
    <t>D005</t>
  </si>
  <si>
    <t>D004</t>
  </si>
  <si>
    <t>D003, loc.beheerder</t>
  </si>
  <si>
    <t>D002</t>
  </si>
  <si>
    <t>D001</t>
  </si>
  <si>
    <t>verkeersruimte bij VI01</t>
  </si>
  <si>
    <t>verkeersruimte bij VI03</t>
  </si>
  <si>
    <t>VI01</t>
  </si>
  <si>
    <t>VI02</t>
  </si>
  <si>
    <t>VI03</t>
  </si>
  <si>
    <t>VI04</t>
  </si>
  <si>
    <t>systeembeheer</t>
  </si>
  <si>
    <t>VI07</t>
  </si>
  <si>
    <t>VI08</t>
  </si>
  <si>
    <t>LW01, garderobe</t>
  </si>
  <si>
    <t>toiletgroep bij LW01</t>
  </si>
  <si>
    <t>trappenhuis bij LW03</t>
  </si>
  <si>
    <t>LW03</t>
  </si>
  <si>
    <t>LW04</t>
  </si>
  <si>
    <t>LW05</t>
  </si>
  <si>
    <t>LW06</t>
  </si>
  <si>
    <t>A102, stoelberging</t>
  </si>
  <si>
    <t>A103, stoelenberging</t>
  </si>
  <si>
    <t>kantine No+podium</t>
  </si>
  <si>
    <t>kantine Pi</t>
  </si>
  <si>
    <t>verkeerruimte bij A101 kantine</t>
  </si>
  <si>
    <t>A104, keuken</t>
  </si>
  <si>
    <t>A105, opslag keuken</t>
  </si>
  <si>
    <t>herentoilet</t>
  </si>
  <si>
    <t xml:space="preserve">werkkast  </t>
  </si>
  <si>
    <t>damestoilet</t>
  </si>
  <si>
    <t>verkeersruimte bij toilet</t>
  </si>
  <si>
    <t>trappenhuis bij A111</t>
  </si>
  <si>
    <t>verkeersruimte bij A112</t>
  </si>
  <si>
    <t>A10, werkkast</t>
  </si>
  <si>
    <t>A110, patchruimte</t>
  </si>
  <si>
    <t>A112, infotheek</t>
  </si>
  <si>
    <t>A111</t>
  </si>
  <si>
    <t>A113</t>
  </si>
  <si>
    <t>A114</t>
  </si>
  <si>
    <t>T202</t>
  </si>
  <si>
    <t>T203</t>
  </si>
  <si>
    <t>T204</t>
  </si>
  <si>
    <t>L014</t>
  </si>
  <si>
    <t>L016</t>
  </si>
  <si>
    <t>L013, herenkleedkamer</t>
  </si>
  <si>
    <t>L014, herenkleedkamer</t>
  </si>
  <si>
    <t>verkeersruimte bij L014</t>
  </si>
  <si>
    <t>ZW01</t>
  </si>
  <si>
    <t>ZW02</t>
  </si>
  <si>
    <t>ZW03</t>
  </si>
  <si>
    <t>ZW04</t>
  </si>
  <si>
    <t>ZW05</t>
  </si>
  <si>
    <t>ZW06</t>
  </si>
  <si>
    <t>ZW07</t>
  </si>
  <si>
    <t>ZW08</t>
  </si>
  <si>
    <t>ZW11</t>
  </si>
  <si>
    <t>ZW12</t>
  </si>
  <si>
    <t>ZW13</t>
  </si>
  <si>
    <t>ZW15</t>
  </si>
  <si>
    <t>ZW16</t>
  </si>
  <si>
    <t>ZW17</t>
  </si>
  <si>
    <t>ZW18</t>
  </si>
  <si>
    <t>toiletgroep bij ZW08</t>
  </si>
  <si>
    <t>trappenhuis bij ZW08</t>
  </si>
  <si>
    <t>ZW09, miva lesruimte</t>
  </si>
  <si>
    <t>verkeersruimte bij ZW01</t>
  </si>
  <si>
    <t>trappenhuis bij ZW01</t>
  </si>
  <si>
    <t>L201, garderobe</t>
  </si>
  <si>
    <t>toiletgroep</t>
  </si>
  <si>
    <t>L203 leeromg 3 No</t>
  </si>
  <si>
    <t>L204</t>
  </si>
  <si>
    <t>L205</t>
  </si>
  <si>
    <t>L206</t>
  </si>
  <si>
    <t>Sc01</t>
  </si>
  <si>
    <t>Sc02</t>
  </si>
  <si>
    <t>Sc03+Sc04</t>
  </si>
  <si>
    <t>Sc05</t>
  </si>
  <si>
    <t>Sc06</t>
  </si>
  <si>
    <t>SC07, magazijn techniek</t>
  </si>
  <si>
    <t>Sc08, magazijn biologie en verzorging</t>
  </si>
  <si>
    <t>verkeersruimte</t>
  </si>
  <si>
    <t>A203 pers.ruimte</t>
  </si>
  <si>
    <t>A206</t>
  </si>
  <si>
    <t>A207 Pi</t>
  </si>
  <si>
    <t>A203 No</t>
  </si>
  <si>
    <t>A204 patchkasten</t>
  </si>
  <si>
    <t>toiletgroep bij pers.ruimte</t>
  </si>
  <si>
    <t>verkeersruimte bij A207</t>
  </si>
  <si>
    <t>T301 +T302 thuisbasis 3 Pi</t>
  </si>
  <si>
    <t>T303</t>
  </si>
  <si>
    <t>T304</t>
  </si>
  <si>
    <t>AVO01</t>
  </si>
  <si>
    <t>AVO02</t>
  </si>
  <si>
    <t>AVO03+04</t>
  </si>
  <si>
    <t>AVO05</t>
  </si>
  <si>
    <t>AVO06</t>
  </si>
  <si>
    <t>AVO07</t>
  </si>
  <si>
    <t>SDV01</t>
  </si>
  <si>
    <t>toiletgroep bij AV</t>
  </si>
  <si>
    <t>werkkast bij AV</t>
  </si>
  <si>
    <t>verkeersruimte bij AV</t>
  </si>
  <si>
    <t>spreekkamer AV</t>
  </si>
  <si>
    <t>Examenbureau</t>
  </si>
  <si>
    <t>Magazijn AVO</t>
  </si>
  <si>
    <t>TN11</t>
  </si>
  <si>
    <t>A005</t>
  </si>
  <si>
    <t>BV02</t>
  </si>
  <si>
    <t>BV03</t>
  </si>
  <si>
    <t>L001</t>
  </si>
  <si>
    <t>L002</t>
  </si>
  <si>
    <t>L004</t>
  </si>
  <si>
    <t>L005</t>
  </si>
  <si>
    <t>L008</t>
  </si>
  <si>
    <t>L006</t>
  </si>
  <si>
    <t>L009</t>
  </si>
  <si>
    <t>L010</t>
  </si>
  <si>
    <t>EC07</t>
  </si>
  <si>
    <t>L103</t>
  </si>
  <si>
    <t>L101</t>
  </si>
  <si>
    <t>BG</t>
  </si>
  <si>
    <t>1ste</t>
  </si>
  <si>
    <t>2de</t>
  </si>
  <si>
    <t>beton</t>
  </si>
  <si>
    <t>tegels</t>
  </si>
  <si>
    <t>rubber</t>
  </si>
  <si>
    <t>Noordik</t>
  </si>
  <si>
    <t>Pius</t>
  </si>
  <si>
    <t>2m</t>
  </si>
  <si>
    <t>2 x per maand</t>
  </si>
  <si>
    <t>Kunststof</t>
  </si>
  <si>
    <t>Sportvloer</t>
  </si>
  <si>
    <t>Nr.</t>
  </si>
  <si>
    <t xml:space="preserve"> locatie Slot Almelo</t>
  </si>
  <si>
    <t xml:space="preserve"> locatie Rijssen</t>
  </si>
  <si>
    <t xml:space="preserve"> locatie Slot</t>
  </si>
  <si>
    <t xml:space="preserve"> locatie Aalderinkshoek</t>
  </si>
  <si>
    <t xml:space="preserve"> locatie Tubbergen</t>
  </si>
  <si>
    <t xml:space="preserve"> locatie Slot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</si>
</sst>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2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.0"/>
    <numFmt numFmtId="180" formatCode="#,##0_ ;\-#,##0\ "/>
    <numFmt numFmtId="181" formatCode="#,##0.0_ ;\-#,##0.0\ "/>
    <numFmt numFmtId="182" formatCode="_ [$€-2]\ * #,##0.00_ ;_ [$€-2]\ * \-#,##0.00_ ;_ [$€-2]\ * &quot;-&quot;??_ ;_ @_ "/>
    <numFmt numFmtId="183" formatCode="&quot;€&quot;\ #,##0.00_-"/>
  </numFmts>
  <fonts count="54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vertAlign val="superscript"/>
      <sz val="9"/>
      <name val="Verdana"/>
      <family val="2"/>
    </font>
    <font>
      <sz val="9"/>
      <color indexed="8"/>
      <name val="Verdana"/>
      <family val="2"/>
    </font>
    <font>
      <b/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10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10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b/>
      <sz val="9"/>
      <color rgb="FFFF0000"/>
      <name val="Verdana"/>
      <family val="2"/>
    </font>
    <font>
      <sz val="9"/>
      <name val="Geneva"/>
    </font>
    <font>
      <sz val="10"/>
      <color indexed="8"/>
      <name val="Arial"/>
      <family val="2"/>
    </font>
    <font>
      <sz val="9"/>
      <name val="Verdana"/>
      <family val="2"/>
    </font>
    <font>
      <sz val="9"/>
      <name val="Verdana"/>
      <family val="2"/>
    </font>
    <font>
      <sz val="8"/>
      <name val="Verdana"/>
      <family val="2"/>
    </font>
    <font>
      <b/>
      <sz val="9"/>
      <color rgb="FFFFFFFF"/>
      <name val="Verdana"/>
      <family val="2"/>
    </font>
  </fonts>
  <fills count="17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/>
      <top style="thick">
        <color theme="0"/>
      </top>
      <bottom/>
      <diagonal/>
    </border>
  </borders>
  <cellStyleXfs count="75">
    <xf numFmtId="0" fontId="0" fillId="0" borderId="0"/>
    <xf numFmtId="0" fontId="13" fillId="0" borderId="0"/>
    <xf numFmtId="171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164" fontId="19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168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165" fontId="8" fillId="0" borderId="0">
      <alignment horizontal="center" vertical="center" textRotation="90" wrapText="1"/>
    </xf>
    <xf numFmtId="0" fontId="15" fillId="2" borderId="1"/>
    <xf numFmtId="174" fontId="9" fillId="0" borderId="0"/>
    <xf numFmtId="0" fontId="16" fillId="0" borderId="0" applyNumberFormat="0" applyBorder="0">
      <protection locked="0"/>
    </xf>
    <xf numFmtId="0" fontId="17" fillId="0" borderId="0"/>
    <xf numFmtId="0" fontId="18" fillId="3" borderId="2" applyNumberFormat="0" applyFont="0" applyFill="0" applyBorder="0" applyAlignment="0">
      <alignment horizontal="right"/>
    </xf>
    <xf numFmtId="0" fontId="15" fillId="4" borderId="3" applyNumberFormat="0" applyFont="0" applyBorder="0">
      <alignment horizontal="center"/>
    </xf>
    <xf numFmtId="0" fontId="11" fillId="0" borderId="0"/>
    <xf numFmtId="0" fontId="22" fillId="0" borderId="0"/>
    <xf numFmtId="0" fontId="5" fillId="0" borderId="0"/>
    <xf numFmtId="167" fontId="5" fillId="0" borderId="0" applyFont="0" applyFill="0" applyBorder="0" applyAlignment="0" applyProtection="0"/>
    <xf numFmtId="175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23" fillId="0" borderId="0"/>
    <xf numFmtId="9" fontId="23" fillId="0" borderId="0" applyFont="0" applyFill="0" applyBorder="0" applyAlignment="0" applyProtection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9" fillId="2" borderId="1"/>
    <xf numFmtId="0" fontId="5" fillId="0" borderId="0"/>
    <xf numFmtId="0" fontId="4" fillId="0" borderId="0"/>
    <xf numFmtId="9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44" fontId="5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44" fontId="45" fillId="0" borderId="0" applyFont="0" applyFill="0" applyBorder="0" applyAlignment="0" applyProtection="0"/>
    <xf numFmtId="0" fontId="48" fillId="0" borderId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0" fontId="1" fillId="0" borderId="0"/>
    <xf numFmtId="44" fontId="23" fillId="0" borderId="0" applyFont="0" applyFill="0" applyBorder="0" applyAlignment="0" applyProtection="0"/>
    <xf numFmtId="43" fontId="23" fillId="0" borderId="0" applyFont="0" applyFill="0" applyBorder="0" applyAlignment="0" applyProtection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44" fontId="5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4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5" fillId="0" borderId="0" applyFont="0" applyFill="0" applyBorder="0" applyAlignment="0" applyProtection="0"/>
  </cellStyleXfs>
  <cellXfs count="382">
    <xf numFmtId="0" fontId="0" fillId="0" borderId="0" xfId="0"/>
    <xf numFmtId="0" fontId="25" fillId="0" borderId="0" xfId="0" applyFont="1" applyAlignment="1">
      <alignment horizontal="center"/>
    </xf>
    <xf numFmtId="0" fontId="25" fillId="0" borderId="0" xfId="0" applyFont="1"/>
    <xf numFmtId="0" fontId="31" fillId="0" borderId="0" xfId="29" applyFont="1"/>
    <xf numFmtId="0" fontId="25" fillId="0" borderId="0" xfId="0" applyFont="1" applyAlignment="1">
      <alignment vertical="center"/>
    </xf>
    <xf numFmtId="0" fontId="27" fillId="0" borderId="0" xfId="0" applyFont="1" applyAlignment="1">
      <alignment horizontal="center"/>
    </xf>
    <xf numFmtId="169" fontId="25" fillId="0" borderId="0" xfId="0" applyNumberFormat="1" applyFont="1"/>
    <xf numFmtId="2" fontId="25" fillId="0" borderId="0" xfId="0" applyNumberFormat="1" applyFont="1"/>
    <xf numFmtId="0" fontId="25" fillId="0" borderId="0" xfId="0" applyFont="1" applyAlignment="1">
      <alignment vertical="center" wrapText="1"/>
    </xf>
    <xf numFmtId="0" fontId="25" fillId="0" borderId="0" xfId="30" applyFont="1" applyAlignment="1">
      <alignment vertical="center"/>
    </xf>
    <xf numFmtId="164" fontId="25" fillId="5" borderId="9" xfId="0" applyNumberFormat="1" applyFont="1" applyFill="1" applyBorder="1" applyAlignment="1">
      <alignment horizontal="left" vertical="center"/>
    </xf>
    <xf numFmtId="10" fontId="25" fillId="5" borderId="9" xfId="0" applyNumberFormat="1" applyFont="1" applyFill="1" applyBorder="1" applyAlignment="1">
      <alignment horizontal="center" vertical="center"/>
    </xf>
    <xf numFmtId="173" fontId="25" fillId="0" borderId="9" xfId="0" applyNumberFormat="1" applyFont="1" applyBorder="1" applyAlignment="1">
      <alignment vertical="center"/>
    </xf>
    <xf numFmtId="10" fontId="25" fillId="0" borderId="9" xfId="0" applyNumberFormat="1" applyFont="1" applyBorder="1" applyAlignment="1">
      <alignment horizontal="center" vertical="center"/>
    </xf>
    <xf numFmtId="171" fontId="25" fillId="0" borderId="9" xfId="2" applyFont="1" applyBorder="1" applyAlignment="1" applyProtection="1">
      <alignment horizontal="left" vertical="center"/>
      <protection locked="0"/>
    </xf>
    <xf numFmtId="172" fontId="25" fillId="0" borderId="9" xfId="31" applyNumberFormat="1" applyFont="1" applyBorder="1" applyAlignment="1" applyProtection="1">
      <alignment horizontal="left" vertical="center"/>
      <protection hidden="1"/>
    </xf>
    <xf numFmtId="0" fontId="29" fillId="0" borderId="0" xfId="0" applyFont="1" applyAlignment="1">
      <alignment vertical="center"/>
    </xf>
    <xf numFmtId="0" fontId="27" fillId="0" borderId="0" xfId="0" applyFont="1" applyAlignment="1">
      <alignment horizontal="center" vertical="center"/>
    </xf>
    <xf numFmtId="170" fontId="25" fillId="0" borderId="0" xfId="0" applyNumberFormat="1" applyFont="1" applyAlignment="1">
      <alignment vertical="center"/>
    </xf>
    <xf numFmtId="170" fontId="25" fillId="0" borderId="0" xfId="0" applyNumberFormat="1" applyFont="1" applyAlignment="1" applyProtection="1">
      <alignment horizontal="center" vertical="center"/>
      <protection locked="0"/>
    </xf>
    <xf numFmtId="166" fontId="25" fillId="0" borderId="0" xfId="0" applyNumberFormat="1" applyFont="1" applyAlignment="1" applyProtection="1">
      <alignment horizontal="left" vertical="center"/>
      <protection hidden="1"/>
    </xf>
    <xf numFmtId="0" fontId="25" fillId="0" borderId="0" xfId="0" applyFont="1" applyAlignment="1">
      <alignment horizontal="center" vertical="center"/>
    </xf>
    <xf numFmtId="170" fontId="25" fillId="0" borderId="0" xfId="0" applyNumberFormat="1" applyFont="1" applyAlignment="1">
      <alignment horizontal="center" vertical="center"/>
    </xf>
    <xf numFmtId="172" fontId="25" fillId="0" borderId="0" xfId="31" applyNumberFormat="1" applyFont="1" applyAlignment="1" applyProtection="1">
      <alignment horizontal="left" vertical="center"/>
      <protection hidden="1"/>
    </xf>
    <xf numFmtId="171" fontId="25" fillId="0" borderId="0" xfId="2" applyFont="1" applyAlignment="1" applyProtection="1">
      <alignment horizontal="left" vertical="center"/>
      <protection locked="0"/>
    </xf>
    <xf numFmtId="9" fontId="25" fillId="0" borderId="9" xfId="0" applyNumberFormat="1" applyFont="1" applyBorder="1" applyAlignment="1">
      <alignment horizontal="center" vertical="center"/>
    </xf>
    <xf numFmtId="173" fontId="25" fillId="0" borderId="9" xfId="0" applyNumberFormat="1" applyFont="1" applyBorder="1" applyAlignment="1" applyProtection="1">
      <alignment vertical="center"/>
      <protection locked="0"/>
    </xf>
    <xf numFmtId="173" fontId="25" fillId="0" borderId="9" xfId="2" applyNumberFormat="1" applyFont="1" applyBorder="1" applyAlignment="1" applyProtection="1">
      <alignment horizontal="left" vertical="center"/>
      <protection hidden="1"/>
    </xf>
    <xf numFmtId="173" fontId="25" fillId="0" borderId="0" xfId="0" applyNumberFormat="1" applyFont="1" applyAlignment="1">
      <alignment vertical="center"/>
    </xf>
    <xf numFmtId="0" fontId="25" fillId="0" borderId="0" xfId="30" applyFont="1" applyAlignment="1">
      <alignment vertical="center" wrapText="1"/>
    </xf>
    <xf numFmtId="0" fontId="25" fillId="0" borderId="0" xfId="30" applyFont="1" applyAlignment="1">
      <alignment horizontal="center" vertical="center"/>
    </xf>
    <xf numFmtId="0" fontId="25" fillId="0" borderId="0" xfId="0" applyFont="1" applyAlignment="1">
      <alignment wrapText="1"/>
    </xf>
    <xf numFmtId="2" fontId="25" fillId="0" borderId="0" xfId="0" applyNumberFormat="1" applyFont="1" applyAlignment="1">
      <alignment vertical="center" wrapText="1"/>
    </xf>
    <xf numFmtId="0" fontId="25" fillId="0" borderId="0" xfId="0" applyFont="1" applyAlignment="1">
      <alignment horizontal="center" vertical="center" wrapText="1"/>
    </xf>
    <xf numFmtId="4" fontId="25" fillId="0" borderId="0" xfId="0" applyNumberFormat="1" applyFont="1" applyAlignment="1">
      <alignment vertical="center"/>
    </xf>
    <xf numFmtId="4" fontId="25" fillId="0" borderId="0" xfId="0" applyNumberFormat="1" applyFont="1" applyAlignment="1">
      <alignment horizontal="center" vertical="center"/>
    </xf>
    <xf numFmtId="164" fontId="25" fillId="0" borderId="0" xfId="8" applyFont="1" applyAlignment="1">
      <alignment vertical="center"/>
    </xf>
    <xf numFmtId="0" fontId="27" fillId="0" borderId="0" xfId="0" applyFont="1" applyAlignment="1">
      <alignment vertical="center"/>
    </xf>
    <xf numFmtId="3" fontId="25" fillId="0" borderId="0" xfId="0" applyNumberFormat="1" applyFont="1" applyAlignment="1">
      <alignment horizontal="center" vertical="center"/>
    </xf>
    <xf numFmtId="2" fontId="28" fillId="0" borderId="0" xfId="0" applyNumberFormat="1" applyFont="1" applyAlignment="1">
      <alignment horizontal="left" vertical="center"/>
    </xf>
    <xf numFmtId="164" fontId="25" fillId="6" borderId="0" xfId="0" applyNumberFormat="1" applyFont="1" applyFill="1" applyAlignment="1">
      <alignment horizontal="center" vertical="center"/>
    </xf>
    <xf numFmtId="3" fontId="25" fillId="0" borderId="0" xfId="8" applyNumberFormat="1" applyFont="1" applyAlignment="1">
      <alignment vertical="center"/>
    </xf>
    <xf numFmtId="0" fontId="25" fillId="0" borderId="5" xfId="30" applyFont="1" applyBorder="1" applyAlignment="1">
      <alignment vertical="center"/>
    </xf>
    <xf numFmtId="0" fontId="25" fillId="0" borderId="10" xfId="30" applyFont="1" applyBorder="1" applyAlignment="1">
      <alignment vertical="center"/>
    </xf>
    <xf numFmtId="0" fontId="32" fillId="0" borderId="0" xfId="29" applyFont="1"/>
    <xf numFmtId="0" fontId="31" fillId="0" borderId="0" xfId="29" applyFont="1" applyAlignment="1">
      <alignment horizontal="center" vertical="center"/>
    </xf>
    <xf numFmtId="173" fontId="35" fillId="9" borderId="13" xfId="0" applyNumberFormat="1" applyFont="1" applyFill="1" applyBorder="1" applyAlignment="1">
      <alignment horizontal="center" vertical="center" wrapText="1"/>
    </xf>
    <xf numFmtId="1" fontId="36" fillId="8" borderId="0" xfId="30" applyNumberFormat="1" applyFont="1" applyFill="1" applyAlignment="1">
      <alignment horizontal="center" vertical="center"/>
    </xf>
    <xf numFmtId="0" fontId="36" fillId="8" borderId="0" xfId="30" applyFont="1" applyFill="1" applyAlignment="1">
      <alignment horizontal="left" vertical="center"/>
    </xf>
    <xf numFmtId="1" fontId="36" fillId="7" borderId="0" xfId="30" applyNumberFormat="1" applyFont="1" applyFill="1" applyAlignment="1">
      <alignment horizontal="center" vertical="center"/>
    </xf>
    <xf numFmtId="0" fontId="36" fillId="7" borderId="0" xfId="30" applyFont="1" applyFill="1" applyAlignment="1">
      <alignment horizontal="left" vertical="center"/>
    </xf>
    <xf numFmtId="0" fontId="35" fillId="9" borderId="0" xfId="0" applyFont="1" applyFill="1" applyAlignment="1">
      <alignment horizontal="center" vertical="center" wrapText="1"/>
    </xf>
    <xf numFmtId="0" fontId="35" fillId="9" borderId="0" xfId="0" applyFont="1" applyFill="1" applyAlignment="1">
      <alignment vertical="center" wrapText="1"/>
    </xf>
    <xf numFmtId="164" fontId="35" fillId="9" borderId="0" xfId="0" applyNumberFormat="1" applyFont="1" applyFill="1" applyAlignment="1">
      <alignment horizontal="center" vertical="center" wrapText="1"/>
    </xf>
    <xf numFmtId="0" fontId="36" fillId="8" borderId="0" xfId="0" applyFont="1" applyFill="1" applyAlignment="1">
      <alignment horizontal="center" vertical="center"/>
    </xf>
    <xf numFmtId="0" fontId="36" fillId="8" borderId="0" xfId="0" applyFont="1" applyFill="1" applyAlignment="1">
      <alignment vertical="center"/>
    </xf>
    <xf numFmtId="164" fontId="36" fillId="5" borderId="0" xfId="0" applyNumberFormat="1" applyFont="1" applyFill="1" applyAlignment="1">
      <alignment horizontal="center" vertical="center"/>
    </xf>
    <xf numFmtId="0" fontId="36" fillId="7" borderId="0" xfId="0" applyFont="1" applyFill="1" applyAlignment="1">
      <alignment horizontal="center" vertical="center"/>
    </xf>
    <xf numFmtId="0" fontId="36" fillId="7" borderId="0" xfId="0" applyFont="1" applyFill="1" applyAlignment="1">
      <alignment vertical="center"/>
    </xf>
    <xf numFmtId="0" fontId="36" fillId="8" borderId="0" xfId="0" applyFont="1" applyFill="1" applyAlignment="1">
      <alignment horizontal="left" vertical="center"/>
    </xf>
    <xf numFmtId="4" fontId="36" fillId="7" borderId="0" xfId="0" applyNumberFormat="1" applyFont="1" applyFill="1" applyAlignment="1">
      <alignment horizontal="left" vertical="center"/>
    </xf>
    <xf numFmtId="0" fontId="36" fillId="7" borderId="0" xfId="0" applyFont="1" applyFill="1" applyAlignment="1">
      <alignment horizontal="left" vertical="center"/>
    </xf>
    <xf numFmtId="4" fontId="35" fillId="9" borderId="0" xfId="0" applyNumberFormat="1" applyFont="1" applyFill="1" applyAlignment="1">
      <alignment horizontal="center" vertical="center" wrapText="1"/>
    </xf>
    <xf numFmtId="164" fontId="35" fillId="9" borderId="0" xfId="8" applyFont="1" applyFill="1" applyAlignment="1">
      <alignment horizontal="center" vertical="center" wrapText="1"/>
    </xf>
    <xf numFmtId="4" fontId="36" fillId="8" borderId="0" xfId="0" applyNumberFormat="1" applyFont="1" applyFill="1" applyAlignment="1">
      <alignment vertical="center"/>
    </xf>
    <xf numFmtId="4" fontId="36" fillId="8" borderId="0" xfId="0" applyNumberFormat="1" applyFont="1" applyFill="1" applyAlignment="1">
      <alignment horizontal="center" vertical="center"/>
    </xf>
    <xf numFmtId="173" fontId="36" fillId="8" borderId="0" xfId="0" applyNumberFormat="1" applyFont="1" applyFill="1" applyAlignment="1">
      <alignment horizontal="center" vertical="center"/>
    </xf>
    <xf numFmtId="3" fontId="36" fillId="8" borderId="0" xfId="0" applyNumberFormat="1" applyFont="1" applyFill="1" applyAlignment="1">
      <alignment horizontal="center" vertical="center"/>
    </xf>
    <xf numFmtId="4" fontId="36" fillId="7" borderId="0" xfId="0" applyNumberFormat="1" applyFont="1" applyFill="1" applyAlignment="1">
      <alignment vertical="center"/>
    </xf>
    <xf numFmtId="4" fontId="36" fillId="7" borderId="0" xfId="0" applyNumberFormat="1" applyFont="1" applyFill="1" applyAlignment="1">
      <alignment horizontal="center" vertical="center"/>
    </xf>
    <xf numFmtId="173" fontId="36" fillId="7" borderId="0" xfId="0" applyNumberFormat="1" applyFont="1" applyFill="1" applyAlignment="1">
      <alignment horizontal="center" vertical="center"/>
    </xf>
    <xf numFmtId="3" fontId="36" fillId="7" borderId="0" xfId="0" applyNumberFormat="1" applyFont="1" applyFill="1" applyAlignment="1">
      <alignment horizontal="center" vertical="center"/>
    </xf>
    <xf numFmtId="0" fontId="25" fillId="6" borderId="0" xfId="0" applyFont="1" applyFill="1"/>
    <xf numFmtId="0" fontId="25" fillId="6" borderId="0" xfId="0" applyFont="1" applyFill="1" applyAlignment="1">
      <alignment horizontal="center"/>
    </xf>
    <xf numFmtId="0" fontId="25" fillId="6" borderId="0" xfId="0" applyFont="1" applyFill="1" applyAlignment="1">
      <alignment wrapText="1"/>
    </xf>
    <xf numFmtId="0" fontId="27" fillId="0" borderId="0" xfId="0" applyFont="1" applyAlignment="1">
      <alignment horizontal="center" vertical="center" wrapText="1"/>
    </xf>
    <xf numFmtId="0" fontId="34" fillId="9" borderId="0" xfId="0" applyFont="1" applyFill="1" applyAlignment="1">
      <alignment horizontal="center" vertical="center" wrapText="1"/>
    </xf>
    <xf numFmtId="4" fontId="34" fillId="9" borderId="0" xfId="0" applyNumberFormat="1" applyFont="1" applyFill="1" applyAlignment="1">
      <alignment horizontal="center" vertical="center" wrapText="1"/>
    </xf>
    <xf numFmtId="164" fontId="34" fillId="9" borderId="0" xfId="8" applyFont="1" applyFill="1" applyAlignment="1">
      <alignment horizontal="center" vertical="center" wrapText="1"/>
    </xf>
    <xf numFmtId="0" fontId="25" fillId="0" borderId="0" xfId="0" applyFont="1" applyAlignment="1">
      <alignment horizontal="center" vertical="center" textRotation="90"/>
    </xf>
    <xf numFmtId="0" fontId="25" fillId="0" borderId="9" xfId="0" applyFont="1" applyBorder="1" applyAlignment="1">
      <alignment horizontal="center" vertical="center" textRotation="90"/>
    </xf>
    <xf numFmtId="0" fontId="33" fillId="0" borderId="0" xfId="30" applyFont="1" applyAlignment="1">
      <alignment vertical="center"/>
    </xf>
    <xf numFmtId="0" fontId="25" fillId="0" borderId="0" xfId="0" applyFont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textRotation="90" wrapText="1"/>
    </xf>
    <xf numFmtId="173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 textRotation="90"/>
    </xf>
    <xf numFmtId="0" fontId="25" fillId="6" borderId="0" xfId="0" applyFont="1" applyFill="1" applyAlignment="1">
      <alignment vertical="center"/>
    </xf>
    <xf numFmtId="168" fontId="25" fillId="0" borderId="0" xfId="19" applyFont="1" applyAlignment="1">
      <alignment horizontal="center" vertical="center" wrapText="1"/>
    </xf>
    <xf numFmtId="173" fontId="25" fillId="0" borderId="0" xfId="0" applyNumberFormat="1" applyFont="1" applyAlignment="1">
      <alignment horizontal="center" vertical="center" wrapText="1"/>
    </xf>
    <xf numFmtId="0" fontId="25" fillId="6" borderId="0" xfId="0" applyFont="1" applyFill="1" applyAlignment="1">
      <alignment horizontal="center" vertical="center" wrapText="1"/>
    </xf>
    <xf numFmtId="0" fontId="25" fillId="6" borderId="0" xfId="0" applyFont="1" applyFill="1" applyAlignment="1">
      <alignment vertical="center" wrapText="1"/>
    </xf>
    <xf numFmtId="2" fontId="25" fillId="6" borderId="0" xfId="0" applyNumberFormat="1" applyFont="1" applyFill="1"/>
    <xf numFmtId="169" fontId="25" fillId="6" borderId="0" xfId="0" applyNumberFormat="1" applyFont="1" applyFill="1"/>
    <xf numFmtId="17" fontId="25" fillId="6" borderId="0" xfId="0" applyNumberFormat="1" applyFont="1" applyFill="1" applyAlignment="1">
      <alignment horizontal="center"/>
    </xf>
    <xf numFmtId="2" fontId="27" fillId="6" borderId="0" xfId="0" applyNumberFormat="1" applyFont="1" applyFill="1" applyAlignment="1">
      <alignment vertical="center"/>
    </xf>
    <xf numFmtId="169" fontId="25" fillId="6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center" vertical="center"/>
    </xf>
    <xf numFmtId="169" fontId="25" fillId="6" borderId="0" xfId="0" applyNumberFormat="1" applyFont="1" applyFill="1" applyAlignment="1">
      <alignment wrapText="1"/>
    </xf>
    <xf numFmtId="0" fontId="39" fillId="6" borderId="10" xfId="30" applyFont="1" applyFill="1" applyBorder="1" applyAlignment="1">
      <alignment vertical="center" wrapText="1"/>
    </xf>
    <xf numFmtId="0" fontId="35" fillId="10" borderId="9" xfId="0" applyFont="1" applyFill="1" applyBorder="1" applyAlignment="1">
      <alignment horizontal="center" vertical="center" wrapText="1"/>
    </xf>
    <xf numFmtId="170" fontId="35" fillId="10" borderId="9" xfId="0" applyNumberFormat="1" applyFont="1" applyFill="1" applyBorder="1" applyAlignment="1">
      <alignment horizontal="center" vertical="center" wrapText="1"/>
    </xf>
    <xf numFmtId="0" fontId="34" fillId="10" borderId="7" xfId="0" applyFont="1" applyFill="1" applyBorder="1" applyAlignment="1">
      <alignment vertical="center" wrapText="1"/>
    </xf>
    <xf numFmtId="0" fontId="34" fillId="10" borderId="4" xfId="0" applyFont="1" applyFill="1" applyBorder="1" applyAlignment="1">
      <alignment vertical="center" wrapText="1"/>
    </xf>
    <xf numFmtId="0" fontId="25" fillId="0" borderId="0" xfId="30" applyFont="1" applyAlignment="1">
      <alignment horizontal="center" vertical="center" wrapText="1"/>
    </xf>
    <xf numFmtId="0" fontId="27" fillId="6" borderId="0" xfId="0" applyFont="1" applyFill="1" applyAlignment="1">
      <alignment horizontal="left" vertical="center"/>
    </xf>
    <xf numFmtId="2" fontId="27" fillId="5" borderId="0" xfId="0" applyNumberFormat="1" applyFont="1" applyFill="1" applyAlignment="1">
      <alignment horizontal="center" vertical="center"/>
    </xf>
    <xf numFmtId="2" fontId="27" fillId="0" borderId="0" xfId="0" applyNumberFormat="1" applyFont="1" applyAlignment="1">
      <alignment horizontal="center" vertical="center"/>
    </xf>
    <xf numFmtId="0" fontId="26" fillId="0" borderId="0" xfId="30" applyFont="1" applyAlignment="1">
      <alignment horizontal="center" vertical="center"/>
    </xf>
    <xf numFmtId="9" fontId="27" fillId="5" borderId="0" xfId="38" applyFont="1" applyFill="1" applyAlignment="1">
      <alignment horizontal="center" vertical="center"/>
    </xf>
    <xf numFmtId="2" fontId="25" fillId="6" borderId="0" xfId="0" applyNumberFormat="1" applyFont="1" applyFill="1" applyAlignment="1">
      <alignment vertical="center"/>
    </xf>
    <xf numFmtId="17" fontId="25" fillId="6" borderId="0" xfId="0" applyNumberFormat="1" applyFont="1" applyFill="1" applyAlignment="1">
      <alignment horizontal="center" vertical="center"/>
    </xf>
    <xf numFmtId="177" fontId="25" fillId="6" borderId="0" xfId="0" applyNumberFormat="1" applyFont="1" applyFill="1" applyAlignment="1">
      <alignment vertical="center"/>
    </xf>
    <xf numFmtId="177" fontId="25" fillId="6" borderId="0" xfId="0" applyNumberFormat="1" applyFont="1" applyFill="1" applyAlignment="1">
      <alignment horizontal="center" vertical="center"/>
    </xf>
    <xf numFmtId="2" fontId="25" fillId="6" borderId="0" xfId="0" applyNumberFormat="1" applyFont="1" applyFill="1" applyAlignment="1" applyProtection="1">
      <alignment vertical="center"/>
      <protection hidden="1"/>
    </xf>
    <xf numFmtId="177" fontId="25" fillId="0" borderId="0" xfId="0" applyNumberFormat="1" applyFont="1" applyAlignment="1">
      <alignment vertical="center"/>
    </xf>
    <xf numFmtId="177" fontId="25" fillId="0" borderId="0" xfId="0" applyNumberFormat="1" applyFont="1" applyAlignment="1">
      <alignment horizontal="center" vertical="center"/>
    </xf>
    <xf numFmtId="0" fontId="25" fillId="0" borderId="0" xfId="0" applyFont="1" applyAlignment="1" applyProtection="1">
      <alignment vertical="center"/>
      <protection hidden="1"/>
    </xf>
    <xf numFmtId="169" fontId="25" fillId="0" borderId="0" xfId="0" applyNumberFormat="1" applyFont="1" applyAlignment="1" applyProtection="1">
      <alignment vertical="center"/>
      <protection hidden="1"/>
    </xf>
    <xf numFmtId="2" fontId="25" fillId="0" borderId="0" xfId="0" applyNumberFormat="1" applyFont="1" applyAlignment="1" applyProtection="1">
      <alignment vertical="center"/>
      <protection hidden="1"/>
    </xf>
    <xf numFmtId="168" fontId="25" fillId="0" borderId="0" xfId="19" applyFont="1" applyAlignment="1">
      <alignment vertical="center"/>
    </xf>
    <xf numFmtId="0" fontId="34" fillId="9" borderId="17" xfId="0" applyFont="1" applyFill="1" applyBorder="1" applyAlignment="1">
      <alignment horizontal="center" vertical="center" wrapText="1"/>
    </xf>
    <xf numFmtId="9" fontId="40" fillId="5" borderId="20" xfId="38" applyFont="1" applyFill="1" applyBorder="1" applyAlignment="1">
      <alignment horizontal="center" vertical="center"/>
    </xf>
    <xf numFmtId="2" fontId="34" fillId="0" borderId="15" xfId="0" applyNumberFormat="1" applyFont="1" applyBorder="1" applyAlignment="1">
      <alignment vertical="center" wrapText="1"/>
    </xf>
    <xf numFmtId="2" fontId="34" fillId="0" borderId="16" xfId="0" applyNumberFormat="1" applyFont="1" applyBorder="1" applyAlignment="1">
      <alignment vertical="center" wrapText="1"/>
    </xf>
    <xf numFmtId="0" fontId="34" fillId="0" borderId="16" xfId="0" applyFont="1" applyBorder="1" applyAlignment="1">
      <alignment vertical="center" wrapText="1"/>
    </xf>
    <xf numFmtId="169" fontId="25" fillId="0" borderId="0" xfId="0" applyNumberFormat="1" applyFont="1" applyAlignment="1">
      <alignment vertical="center"/>
    </xf>
    <xf numFmtId="0" fontId="36" fillId="0" borderId="19" xfId="30" applyFont="1" applyBorder="1" applyAlignment="1">
      <alignment vertical="center"/>
    </xf>
    <xf numFmtId="2" fontId="25" fillId="0" borderId="0" xfId="0" applyNumberFormat="1" applyFont="1" applyAlignment="1">
      <alignment horizontal="center" vertical="center" wrapText="1"/>
    </xf>
    <xf numFmtId="0" fontId="41" fillId="0" borderId="0" xfId="0" applyFont="1" applyAlignment="1">
      <alignment horizontal="center" vertical="center" wrapText="1"/>
    </xf>
    <xf numFmtId="170" fontId="25" fillId="5" borderId="0" xfId="0" applyNumberFormat="1" applyFont="1" applyFill="1" applyAlignment="1">
      <alignment vertical="center"/>
    </xf>
    <xf numFmtId="0" fontId="25" fillId="6" borderId="0" xfId="0" applyFont="1" applyFill="1" applyAlignment="1">
      <alignment horizontal="left" vertical="center"/>
    </xf>
    <xf numFmtId="0" fontId="25" fillId="6" borderId="0" xfId="0" applyFont="1" applyFill="1" applyAlignment="1">
      <alignment horizontal="center" wrapText="1"/>
    </xf>
    <xf numFmtId="17" fontId="27" fillId="6" borderId="0" xfId="0" applyNumberFormat="1" applyFont="1" applyFill="1" applyAlignment="1">
      <alignment horizontal="center"/>
    </xf>
    <xf numFmtId="0" fontId="27" fillId="6" borderId="0" xfId="0" applyFont="1" applyFill="1" applyAlignment="1">
      <alignment horizontal="center"/>
    </xf>
    <xf numFmtId="0" fontId="37" fillId="0" borderId="0" xfId="0" applyFont="1" applyAlignment="1">
      <alignment vertical="center" wrapText="1"/>
    </xf>
    <xf numFmtId="0" fontId="37" fillId="0" borderId="0" xfId="0" applyFont="1" applyAlignment="1">
      <alignment wrapText="1"/>
    </xf>
    <xf numFmtId="0" fontId="35" fillId="9" borderId="9" xfId="0" applyFont="1" applyFill="1" applyBorder="1" applyAlignment="1">
      <alignment horizontal="center" vertical="center" wrapText="1"/>
    </xf>
    <xf numFmtId="0" fontId="35" fillId="9" borderId="9" xfId="0" applyFont="1" applyFill="1" applyBorder="1" applyAlignment="1">
      <alignment horizontal="left" vertical="center" wrapText="1"/>
    </xf>
    <xf numFmtId="168" fontId="35" fillId="9" borderId="9" xfId="19" applyFont="1" applyFill="1" applyBorder="1" applyAlignment="1">
      <alignment horizontal="center" vertical="center" wrapText="1"/>
    </xf>
    <xf numFmtId="173" fontId="35" fillId="9" borderId="9" xfId="0" applyNumberFormat="1" applyFont="1" applyFill="1" applyBorder="1" applyAlignment="1">
      <alignment horizontal="center" vertical="center" wrapText="1"/>
    </xf>
    <xf numFmtId="0" fontId="31" fillId="0" borderId="0" xfId="29" applyFont="1" applyAlignment="1">
      <alignment horizontal="center"/>
    </xf>
    <xf numFmtId="0" fontId="36" fillId="7" borderId="9" xfId="0" applyFont="1" applyFill="1" applyBorder="1" applyAlignment="1">
      <alignment horizontal="left" vertical="center"/>
    </xf>
    <xf numFmtId="0" fontId="36" fillId="8" borderId="9" xfId="0" applyFont="1" applyFill="1" applyBorder="1" applyAlignment="1">
      <alignment horizontal="left" vertical="center"/>
    </xf>
    <xf numFmtId="0" fontId="25" fillId="7" borderId="9" xfId="0" applyFont="1" applyFill="1" applyBorder="1" applyAlignment="1">
      <alignment vertical="center"/>
    </xf>
    <xf numFmtId="182" fontId="25" fillId="7" borderId="9" xfId="0" applyNumberFormat="1" applyFont="1" applyFill="1" applyBorder="1" applyAlignment="1">
      <alignment horizontal="center" vertical="center"/>
    </xf>
    <xf numFmtId="0" fontId="25" fillId="7" borderId="7" xfId="0" applyFont="1" applyFill="1" applyBorder="1" applyAlignment="1">
      <alignment vertical="center"/>
    </xf>
    <xf numFmtId="0" fontId="25" fillId="7" borderId="4" xfId="0" applyFont="1" applyFill="1" applyBorder="1" applyAlignment="1">
      <alignment vertical="center"/>
    </xf>
    <xf numFmtId="0" fontId="25" fillId="7" borderId="14" xfId="0" applyFont="1" applyFill="1" applyBorder="1" applyAlignment="1">
      <alignment vertical="center"/>
    </xf>
    <xf numFmtId="0" fontId="36" fillId="0" borderId="0" xfId="0" applyFont="1" applyAlignment="1">
      <alignment horizontal="center" vertical="center" textRotation="90"/>
    </xf>
    <xf numFmtId="0" fontId="36" fillId="13" borderId="0" xfId="0" applyFont="1" applyFill="1" applyAlignment="1">
      <alignment horizontal="left" vertical="center" wrapText="1"/>
    </xf>
    <xf numFmtId="0" fontId="36" fillId="0" borderId="0" xfId="0" applyFont="1"/>
    <xf numFmtId="173" fontId="40" fillId="13" borderId="9" xfId="0" applyNumberFormat="1" applyFont="1" applyFill="1" applyBorder="1" applyAlignment="1">
      <alignment vertical="center"/>
    </xf>
    <xf numFmtId="170" fontId="36" fillId="13" borderId="9" xfId="0" applyNumberFormat="1" applyFont="1" applyFill="1" applyBorder="1" applyAlignment="1">
      <alignment horizontal="center" vertical="center"/>
    </xf>
    <xf numFmtId="171" fontId="36" fillId="13" borderId="9" xfId="2" applyFont="1" applyFill="1" applyBorder="1" applyAlignment="1" applyProtection="1">
      <alignment horizontal="left" vertical="center"/>
      <protection locked="0"/>
    </xf>
    <xf numFmtId="172" fontId="36" fillId="13" borderId="9" xfId="31" applyNumberFormat="1" applyFont="1" applyFill="1" applyBorder="1" applyAlignment="1" applyProtection="1">
      <alignment horizontal="left" vertical="center"/>
      <protection hidden="1"/>
    </xf>
    <xf numFmtId="170" fontId="36" fillId="13" borderId="9" xfId="0" applyNumberFormat="1" applyFont="1" applyFill="1" applyBorder="1" applyAlignment="1" applyProtection="1">
      <alignment horizontal="center" vertical="center"/>
      <protection locked="0"/>
    </xf>
    <xf numFmtId="172" fontId="36" fillId="13" borderId="9" xfId="2" applyNumberFormat="1" applyFont="1" applyFill="1" applyBorder="1" applyAlignment="1" applyProtection="1">
      <alignment horizontal="left" vertical="center"/>
      <protection hidden="1"/>
    </xf>
    <xf numFmtId="0" fontId="42" fillId="0" borderId="0" xfId="0" applyFont="1" applyAlignment="1">
      <alignment vertical="center"/>
    </xf>
    <xf numFmtId="2" fontId="25" fillId="0" borderId="0" xfId="0" applyNumberFormat="1" applyFont="1" applyAlignment="1">
      <alignment horizontal="center" vertical="center"/>
    </xf>
    <xf numFmtId="1" fontId="25" fillId="0" borderId="0" xfId="38" applyNumberFormat="1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25" fillId="0" borderId="0" xfId="8" applyFont="1" applyAlignment="1">
      <alignment horizontal="right" vertical="center"/>
    </xf>
    <xf numFmtId="2" fontId="28" fillId="0" borderId="0" xfId="0" applyNumberFormat="1" applyFont="1" applyAlignment="1">
      <alignment horizontal="right" vertical="center"/>
    </xf>
    <xf numFmtId="4" fontId="25" fillId="0" borderId="0" xfId="0" applyNumberFormat="1" applyFont="1" applyAlignment="1">
      <alignment horizontal="right" vertical="center"/>
    </xf>
    <xf numFmtId="4" fontId="35" fillId="9" borderId="0" xfId="0" applyNumberFormat="1" applyFont="1" applyFill="1" applyAlignment="1">
      <alignment horizontal="right" vertical="center" wrapText="1"/>
    </xf>
    <xf numFmtId="4" fontId="36" fillId="8" borderId="0" xfId="0" applyNumberFormat="1" applyFont="1" applyFill="1" applyAlignment="1">
      <alignment horizontal="right" vertical="center"/>
    </xf>
    <xf numFmtId="4" fontId="36" fillId="7" borderId="0" xfId="0" applyNumberFormat="1" applyFont="1" applyFill="1" applyAlignment="1">
      <alignment horizontal="right" vertical="center"/>
    </xf>
    <xf numFmtId="0" fontId="36" fillId="11" borderId="0" xfId="0" applyFont="1" applyFill="1" applyAlignment="1">
      <alignment horizontal="center" vertical="center"/>
    </xf>
    <xf numFmtId="0" fontId="36" fillId="11" borderId="0" xfId="0" applyFont="1" applyFill="1" applyAlignment="1">
      <alignment horizontal="left" vertical="center"/>
    </xf>
    <xf numFmtId="0" fontId="36" fillId="11" borderId="0" xfId="0" applyFont="1" applyFill="1" applyAlignment="1">
      <alignment vertical="center"/>
    </xf>
    <xf numFmtId="173" fontId="36" fillId="11" borderId="0" xfId="0" applyNumberFormat="1" applyFont="1" applyFill="1" applyAlignment="1">
      <alignment horizontal="center" vertical="center"/>
    </xf>
    <xf numFmtId="49" fontId="25" fillId="6" borderId="0" xfId="0" applyNumberFormat="1" applyFont="1" applyFill="1" applyAlignment="1">
      <alignment horizontal="center" vertical="center"/>
    </xf>
    <xf numFmtId="49" fontId="25" fillId="0" borderId="0" xfId="0" applyNumberFormat="1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6" fillId="12" borderId="0" xfId="0" applyFont="1" applyFill="1" applyAlignment="1">
      <alignment horizontal="center" vertical="center"/>
    </xf>
    <xf numFmtId="0" fontId="36" fillId="12" borderId="0" xfId="0" applyFont="1" applyFill="1" applyAlignment="1">
      <alignment horizontal="left" vertical="center"/>
    </xf>
    <xf numFmtId="0" fontId="36" fillId="12" borderId="0" xfId="0" applyFont="1" applyFill="1" applyAlignment="1">
      <alignment vertical="center"/>
    </xf>
    <xf numFmtId="0" fontId="36" fillId="12" borderId="0" xfId="0" applyFont="1" applyFill="1" applyAlignment="1">
      <alignment horizontal="right" vertical="center"/>
    </xf>
    <xf numFmtId="173" fontId="36" fillId="12" borderId="0" xfId="0" applyNumberFormat="1" applyFont="1" applyFill="1" applyAlignment="1">
      <alignment horizontal="center" vertical="center"/>
    </xf>
    <xf numFmtId="0" fontId="43" fillId="0" borderId="0" xfId="30" applyFont="1" applyAlignment="1">
      <alignment horizontal="center" vertical="center"/>
    </xf>
    <xf numFmtId="0" fontId="44" fillId="13" borderId="9" xfId="0" applyFont="1" applyFill="1" applyBorder="1" applyAlignment="1">
      <alignment horizontal="center" vertical="center"/>
    </xf>
    <xf numFmtId="0" fontId="44" fillId="13" borderId="9" xfId="0" applyFont="1" applyFill="1" applyBorder="1" applyAlignment="1">
      <alignment vertical="center"/>
    </xf>
    <xf numFmtId="180" fontId="44" fillId="13" borderId="9" xfId="0" applyNumberFormat="1" applyFont="1" applyFill="1" applyBorder="1" applyAlignment="1">
      <alignment vertical="center"/>
    </xf>
    <xf numFmtId="181" fontId="44" fillId="13" borderId="9" xfId="0" applyNumberFormat="1" applyFont="1" applyFill="1" applyBorder="1" applyAlignment="1">
      <alignment vertical="center"/>
    </xf>
    <xf numFmtId="173" fontId="44" fillId="13" borderId="9" xfId="0" applyNumberFormat="1" applyFont="1" applyFill="1" applyBorder="1" applyAlignment="1">
      <alignment vertical="center"/>
    </xf>
    <xf numFmtId="173" fontId="44" fillId="13" borderId="0" xfId="0" applyNumberFormat="1" applyFont="1" applyFill="1" applyAlignment="1">
      <alignment vertical="center"/>
    </xf>
    <xf numFmtId="0" fontId="36" fillId="0" borderId="18" xfId="30" applyFont="1" applyBorder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9" xfId="0" applyFont="1" applyBorder="1" applyAlignment="1">
      <alignment vertical="center"/>
    </xf>
    <xf numFmtId="3" fontId="36" fillId="0" borderId="9" xfId="0" applyNumberFormat="1" applyFont="1" applyBorder="1" applyAlignment="1">
      <alignment vertical="center"/>
    </xf>
    <xf numFmtId="179" fontId="36" fillId="0" borderId="9" xfId="0" applyNumberFormat="1" applyFont="1" applyBorder="1" applyAlignment="1">
      <alignment vertical="center"/>
    </xf>
    <xf numFmtId="1" fontId="36" fillId="0" borderId="9" xfId="0" applyNumberFormat="1" applyFont="1" applyBorder="1" applyAlignment="1">
      <alignment vertical="center"/>
    </xf>
    <xf numFmtId="173" fontId="36" fillId="0" borderId="9" xfId="0" applyNumberFormat="1" applyFont="1" applyBorder="1" applyAlignment="1">
      <alignment vertical="center"/>
    </xf>
    <xf numFmtId="173" fontId="36" fillId="0" borderId="14" xfId="0" applyNumberFormat="1" applyFont="1" applyBorder="1" applyAlignment="1">
      <alignment vertical="center"/>
    </xf>
    <xf numFmtId="173" fontId="0" fillId="0" borderId="9" xfId="0" applyNumberFormat="1" applyBorder="1" applyAlignment="1">
      <alignment vertical="center"/>
    </xf>
    <xf numFmtId="0" fontId="36" fillId="0" borderId="0" xfId="0" applyFont="1" applyAlignment="1">
      <alignment horizontal="center"/>
    </xf>
    <xf numFmtId="2" fontId="25" fillId="16" borderId="0" xfId="0" applyNumberFormat="1" applyFont="1" applyFill="1" applyAlignment="1" applyProtection="1">
      <alignment vertical="center"/>
      <protection hidden="1"/>
    </xf>
    <xf numFmtId="0" fontId="25" fillId="16" borderId="0" xfId="0" applyFont="1" applyFill="1" applyAlignment="1">
      <alignment vertical="center"/>
    </xf>
    <xf numFmtId="0" fontId="25" fillId="6" borderId="5" xfId="30" applyFont="1" applyFill="1" applyBorder="1" applyAlignment="1">
      <alignment vertical="center"/>
    </xf>
    <xf numFmtId="0" fontId="25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vertical="center"/>
    </xf>
    <xf numFmtId="178" fontId="36" fillId="0" borderId="0" xfId="0" applyNumberFormat="1" applyFont="1" applyFill="1" applyAlignment="1">
      <alignment horizontal="center" vertical="center"/>
    </xf>
    <xf numFmtId="0" fontId="5" fillId="0" borderId="0" xfId="42" applyAlignment="1">
      <alignment wrapText="1"/>
    </xf>
    <xf numFmtId="0" fontId="5" fillId="0" borderId="9" xfId="55" applyFont="1" applyBorder="1" applyAlignment="1">
      <alignment horizontal="left" vertical="center" wrapText="1"/>
    </xf>
    <xf numFmtId="49" fontId="49" fillId="0" borderId="9" xfId="55" applyNumberFormat="1" applyFont="1" applyBorder="1" applyAlignment="1" applyProtection="1">
      <alignment horizontal="left" vertical="center" wrapText="1"/>
      <protection hidden="1"/>
    </xf>
    <xf numFmtId="0" fontId="5" fillId="6" borderId="9" xfId="55" applyFont="1" applyFill="1" applyBorder="1" applyAlignment="1">
      <alignment horizontal="left" vertical="center" wrapText="1"/>
    </xf>
    <xf numFmtId="49" fontId="49" fillId="6" borderId="9" xfId="55" applyNumberFormat="1" applyFont="1" applyFill="1" applyBorder="1" applyAlignment="1" applyProtection="1">
      <alignment horizontal="left" vertical="center" wrapText="1"/>
      <protection hidden="1"/>
    </xf>
    <xf numFmtId="0" fontId="49" fillId="0" borderId="9" xfId="55" applyFont="1" applyBorder="1" applyAlignment="1">
      <alignment horizontal="left" vertical="center" wrapText="1"/>
    </xf>
    <xf numFmtId="0" fontId="5" fillId="0" borderId="0" xfId="42" applyAlignment="1">
      <alignment horizontal="left" vertical="center" wrapText="1"/>
    </xf>
    <xf numFmtId="0" fontId="50" fillId="0" borderId="0" xfId="0" applyFont="1" applyFill="1" applyAlignment="1">
      <alignment horizontal="center" vertical="center"/>
    </xf>
    <xf numFmtId="0" fontId="50" fillId="0" borderId="0" xfId="0" applyFont="1" applyFill="1" applyAlignment="1">
      <alignment vertical="center"/>
    </xf>
    <xf numFmtId="0" fontId="50" fillId="0" borderId="0" xfId="0" applyNumberFormat="1" applyFont="1" applyFill="1" applyAlignment="1">
      <alignment vertical="center"/>
    </xf>
    <xf numFmtId="178" fontId="36" fillId="0" borderId="0" xfId="0" applyNumberFormat="1" applyFont="1" applyFill="1" applyAlignment="1">
      <alignment vertical="center"/>
    </xf>
    <xf numFmtId="49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center" vertical="center" wrapText="1"/>
    </xf>
    <xf numFmtId="0" fontId="25" fillId="0" borderId="9" xfId="0" applyFont="1" applyBorder="1" applyAlignment="1">
      <alignment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25" fillId="0" borderId="9" xfId="0" applyFont="1" applyBorder="1" applyAlignment="1">
      <alignment horizontal="left" vertical="center"/>
    </xf>
    <xf numFmtId="10" fontId="35" fillId="10" borderId="9" xfId="0" applyNumberFormat="1" applyFont="1" applyFill="1" applyBorder="1" applyAlignment="1">
      <alignment horizontal="center" vertical="center" wrapText="1"/>
    </xf>
    <xf numFmtId="182" fontId="25" fillId="0" borderId="9" xfId="0" applyNumberFormat="1" applyFont="1" applyBorder="1" applyAlignment="1">
      <alignment vertical="center"/>
    </xf>
    <xf numFmtId="9" fontId="25" fillId="0" borderId="9" xfId="44" applyFont="1" applyBorder="1" applyAlignment="1">
      <alignment vertical="center"/>
    </xf>
    <xf numFmtId="171" fontId="25" fillId="0" borderId="9" xfId="0" applyNumberFormat="1" applyFont="1" applyBorder="1" applyAlignment="1">
      <alignment vertical="center"/>
    </xf>
    <xf numFmtId="44" fontId="25" fillId="5" borderId="9" xfId="48" applyFont="1" applyFill="1" applyBorder="1" applyAlignment="1">
      <alignment horizontal="center" vertical="center"/>
    </xf>
    <xf numFmtId="170" fontId="25" fillId="0" borderId="9" xfId="44" applyNumberFormat="1" applyFont="1" applyFill="1" applyBorder="1" applyAlignment="1">
      <alignment horizontal="center" vertical="center"/>
    </xf>
    <xf numFmtId="9" fontId="25" fillId="0" borderId="9" xfId="0" applyNumberFormat="1" applyFont="1" applyBorder="1" applyAlignment="1">
      <alignment vertical="center"/>
    </xf>
    <xf numFmtId="170" fontId="25" fillId="0" borderId="9" xfId="0" applyNumberFormat="1" applyFont="1" applyBorder="1" applyAlignment="1">
      <alignment horizontal="center" vertical="center"/>
    </xf>
    <xf numFmtId="0" fontId="34" fillId="10" borderId="9" xfId="0" applyFont="1" applyFill="1" applyBorder="1" applyAlignment="1">
      <alignment vertical="center" wrapText="1"/>
    </xf>
    <xf numFmtId="44" fontId="36" fillId="8" borderId="20" xfId="54" applyFont="1" applyFill="1" applyBorder="1" applyAlignment="1">
      <alignment horizontal="left" vertical="center"/>
    </xf>
    <xf numFmtId="44" fontId="36" fillId="7" borderId="20" xfId="54" applyFont="1" applyFill="1" applyBorder="1" applyAlignment="1">
      <alignment horizontal="left" vertical="center"/>
    </xf>
    <xf numFmtId="44" fontId="36" fillId="8" borderId="20" xfId="0" applyNumberFormat="1" applyFont="1" applyFill="1" applyBorder="1" applyAlignment="1">
      <alignment horizontal="left" vertical="center"/>
    </xf>
    <xf numFmtId="0" fontId="40" fillId="13" borderId="23" xfId="0" applyFont="1" applyFill="1" applyBorder="1" applyAlignment="1">
      <alignment horizontal="left" vertical="center" wrapText="1"/>
    </xf>
    <xf numFmtId="173" fontId="36" fillId="8" borderId="19" xfId="0" applyNumberFormat="1" applyFont="1" applyFill="1" applyBorder="1" applyAlignment="1">
      <alignment horizontal="left" vertical="center" wrapText="1"/>
    </xf>
    <xf numFmtId="44" fontId="36" fillId="7" borderId="19" xfId="54" applyFont="1" applyFill="1" applyBorder="1" applyAlignment="1">
      <alignment horizontal="left" vertical="center" wrapText="1"/>
    </xf>
    <xf numFmtId="0" fontId="25" fillId="0" borderId="9" xfId="0" applyFont="1" applyBorder="1" applyAlignment="1">
      <alignment vertical="center"/>
    </xf>
    <xf numFmtId="168" fontId="25" fillId="6" borderId="0" xfId="19" applyFont="1" applyFill="1" applyAlignment="1">
      <alignment vertical="center"/>
    </xf>
    <xf numFmtId="168" fontId="25" fillId="0" borderId="0" xfId="19" applyFont="1" applyAlignment="1" applyProtection="1">
      <alignment vertical="center"/>
      <protection hidden="1"/>
    </xf>
    <xf numFmtId="44" fontId="25" fillId="6" borderId="0" xfId="54" applyFont="1" applyFill="1" applyAlignment="1">
      <alignment vertical="center"/>
    </xf>
    <xf numFmtId="44" fontId="25" fillId="0" borderId="0" xfId="54" applyFont="1" applyAlignment="1">
      <alignment horizontal="center" vertical="center" wrapText="1"/>
    </xf>
    <xf numFmtId="44" fontId="27" fillId="0" borderId="0" xfId="54" applyFont="1" applyAlignment="1">
      <alignment horizontal="center" vertical="center"/>
    </xf>
    <xf numFmtId="0" fontId="36" fillId="5" borderId="0" xfId="0" applyNumberFormat="1" applyFont="1" applyFill="1" applyAlignment="1">
      <alignment horizontal="center" vertical="center"/>
    </xf>
    <xf numFmtId="0" fontId="25" fillId="0" borderId="19" xfId="30" applyFont="1" applyFill="1" applyBorder="1" applyAlignment="1">
      <alignment vertical="center"/>
    </xf>
    <xf numFmtId="0" fontId="25" fillId="0" borderId="19" xfId="30" applyNumberFormat="1" applyFont="1" applyFill="1" applyBorder="1" applyAlignment="1">
      <alignment vertical="center"/>
    </xf>
    <xf numFmtId="0" fontId="25" fillId="0" borderId="0" xfId="0" applyNumberFormat="1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173" fontId="0" fillId="0" borderId="9" xfId="0" applyNumberFormat="1" applyFont="1" applyBorder="1" applyAlignment="1">
      <alignment vertical="center"/>
    </xf>
    <xf numFmtId="0" fontId="0" fillId="12" borderId="0" xfId="0" applyFill="1"/>
    <xf numFmtId="14" fontId="36" fillId="0" borderId="9" xfId="0" applyNumberFormat="1" applyFont="1" applyBorder="1" applyAlignment="1">
      <alignment vertical="center"/>
    </xf>
    <xf numFmtId="0" fontId="36" fillId="0" borderId="9" xfId="0" applyFont="1" applyBorder="1" applyAlignment="1">
      <alignment vertical="center"/>
    </xf>
    <xf numFmtId="44" fontId="36" fillId="0" borderId="9" xfId="57" applyFont="1" applyBorder="1" applyAlignment="1">
      <alignment horizontal="center" vertical="center"/>
    </xf>
    <xf numFmtId="0" fontId="36" fillId="0" borderId="9" xfId="0" applyFont="1" applyBorder="1" applyAlignment="1">
      <alignment vertical="center" wrapText="1"/>
    </xf>
    <xf numFmtId="14" fontId="36" fillId="0" borderId="9" xfId="0" applyNumberFormat="1" applyFont="1" applyBorder="1"/>
    <xf numFmtId="0" fontId="36" fillId="0" borderId="9" xfId="0" applyFont="1" applyBorder="1"/>
    <xf numFmtId="0" fontId="36" fillId="0" borderId="9" xfId="0" applyFont="1" applyBorder="1" applyAlignment="1">
      <alignment horizontal="left" vertical="center"/>
    </xf>
    <xf numFmtId="44" fontId="36" fillId="0" borderId="9" xfId="57" applyFont="1" applyBorder="1" applyAlignment="1">
      <alignment horizontal="center"/>
    </xf>
    <xf numFmtId="168" fontId="36" fillId="0" borderId="9" xfId="19" applyFont="1" applyBorder="1" applyAlignment="1">
      <alignment horizontal="center" vertical="center"/>
    </xf>
    <xf numFmtId="168" fontId="36" fillId="0" borderId="9" xfId="19" applyFont="1" applyBorder="1" applyAlignment="1">
      <alignment horizontal="center"/>
    </xf>
    <xf numFmtId="173" fontId="35" fillId="9" borderId="14" xfId="0" applyNumberFormat="1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left" vertical="center" wrapText="1"/>
    </xf>
    <xf numFmtId="168" fontId="25" fillId="0" borderId="0" xfId="19" applyFont="1" applyFill="1" applyAlignment="1">
      <alignment horizontal="center" vertical="center" wrapText="1"/>
    </xf>
    <xf numFmtId="44" fontId="25" fillId="0" borderId="0" xfId="54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/>
    </xf>
    <xf numFmtId="0" fontId="46" fillId="0" borderId="0" xfId="0" applyFont="1" applyFill="1" applyAlignment="1">
      <alignment horizontal="left" vertical="center"/>
    </xf>
    <xf numFmtId="0" fontId="25" fillId="0" borderId="0" xfId="0" applyNumberFormat="1" applyFont="1" applyFill="1" applyAlignment="1">
      <alignment horizontal="center" vertical="center" wrapText="1"/>
    </xf>
    <xf numFmtId="0" fontId="36" fillId="6" borderId="9" xfId="0" applyFont="1" applyFill="1" applyBorder="1" applyAlignment="1">
      <alignment vertical="center"/>
    </xf>
    <xf numFmtId="14" fontId="36" fillId="6" borderId="9" xfId="0" applyNumberFormat="1" applyFont="1" applyFill="1" applyBorder="1" applyAlignment="1">
      <alignment vertical="center"/>
    </xf>
    <xf numFmtId="14" fontId="36" fillId="6" borderId="9" xfId="0" applyNumberFormat="1" applyFont="1" applyFill="1" applyBorder="1"/>
    <xf numFmtId="0" fontId="36" fillId="6" borderId="9" xfId="0" applyFont="1" applyFill="1" applyBorder="1" applyAlignment="1">
      <alignment horizontal="center" vertical="center"/>
    </xf>
    <xf numFmtId="0" fontId="36" fillId="6" borderId="9" xfId="0" applyFont="1" applyFill="1" applyBorder="1" applyAlignment="1">
      <alignment horizontal="center"/>
    </xf>
    <xf numFmtId="0" fontId="25" fillId="6" borderId="9" xfId="0" applyFont="1" applyFill="1" applyBorder="1" applyAlignment="1">
      <alignment horizontal="center" vertical="center"/>
    </xf>
    <xf numFmtId="0" fontId="36" fillId="6" borderId="9" xfId="0" applyFont="1" applyFill="1" applyBorder="1"/>
    <xf numFmtId="44" fontId="36" fillId="6" borderId="9" xfId="57" applyFont="1" applyFill="1" applyBorder="1" applyAlignment="1">
      <alignment horizontal="center" vertical="center"/>
    </xf>
    <xf numFmtId="0" fontId="36" fillId="6" borderId="9" xfId="0" applyFont="1" applyFill="1" applyBorder="1" applyAlignment="1">
      <alignment wrapText="1"/>
    </xf>
    <xf numFmtId="14" fontId="36" fillId="6" borderId="9" xfId="0" applyNumberFormat="1" applyFont="1" applyFill="1" applyBorder="1" applyAlignment="1">
      <alignment horizontal="center" vertical="center"/>
    </xf>
    <xf numFmtId="14" fontId="25" fillId="6" borderId="9" xfId="0" applyNumberFormat="1" applyFont="1" applyFill="1" applyBorder="1" applyAlignment="1">
      <alignment horizontal="center" vertical="center"/>
    </xf>
    <xf numFmtId="0" fontId="36" fillId="0" borderId="9" xfId="0" applyFont="1" applyFill="1" applyBorder="1" applyAlignment="1">
      <alignment horizontal="center" vertical="center"/>
    </xf>
    <xf numFmtId="14" fontId="36" fillId="0" borderId="9" xfId="0" applyNumberFormat="1" applyFont="1" applyFill="1" applyBorder="1" applyAlignment="1">
      <alignment vertical="center"/>
    </xf>
    <xf numFmtId="0" fontId="36" fillId="0" borderId="9" xfId="0" applyFont="1" applyFill="1" applyBorder="1" applyAlignment="1">
      <alignment vertical="center"/>
    </xf>
    <xf numFmtId="168" fontId="36" fillId="0" borderId="9" xfId="19" applyFont="1" applyFill="1" applyBorder="1" applyAlignment="1">
      <alignment horizontal="center" vertical="center"/>
    </xf>
    <xf numFmtId="44" fontId="36" fillId="0" borderId="9" xfId="57" applyFont="1" applyFill="1" applyBorder="1" applyAlignment="1">
      <alignment horizontal="center" vertical="center"/>
    </xf>
    <xf numFmtId="0" fontId="51" fillId="0" borderId="0" xfId="0" applyFont="1" applyFill="1" applyAlignment="1">
      <alignment horizontal="center" vertical="center"/>
    </xf>
    <xf numFmtId="0" fontId="51" fillId="0" borderId="0" xfId="0" applyNumberFormat="1" applyFont="1" applyFill="1" applyAlignment="1">
      <alignment horizontal="center" vertical="center"/>
    </xf>
    <xf numFmtId="0" fontId="51" fillId="0" borderId="0" xfId="0" applyFont="1" applyFill="1" applyAlignment="1">
      <alignment horizontal="left" vertical="center"/>
    </xf>
    <xf numFmtId="0" fontId="51" fillId="0" borderId="0" xfId="0" applyFont="1" applyFill="1" applyAlignment="1">
      <alignment vertical="center"/>
    </xf>
    <xf numFmtId="177" fontId="51" fillId="0" borderId="0" xfId="0" applyNumberFormat="1" applyFont="1" applyFill="1" applyAlignment="1">
      <alignment horizontal="center" vertical="center"/>
    </xf>
    <xf numFmtId="0" fontId="36" fillId="0" borderId="9" xfId="0" applyFont="1" applyBorder="1" applyAlignment="1">
      <alignment horizontal="center"/>
    </xf>
    <xf numFmtId="0" fontId="0" fillId="0" borderId="9" xfId="0" applyBorder="1"/>
    <xf numFmtId="183" fontId="52" fillId="0" borderId="9" xfId="0" applyNumberFormat="1" applyFont="1" applyBorder="1"/>
    <xf numFmtId="0" fontId="25" fillId="0" borderId="0" xfId="30" applyFont="1" applyFill="1" applyAlignment="1">
      <alignment horizontal="center" vertical="center"/>
    </xf>
    <xf numFmtId="0" fontId="25" fillId="0" borderId="0" xfId="30" applyFont="1" applyFill="1" applyAlignment="1">
      <alignment vertical="center"/>
    </xf>
    <xf numFmtId="2" fontId="27" fillId="0" borderId="0" xfId="0" applyNumberFormat="1" applyFont="1" applyFill="1" applyAlignment="1">
      <alignment horizontal="center" vertical="center"/>
    </xf>
    <xf numFmtId="177" fontId="25" fillId="0" borderId="0" xfId="0" applyNumberFormat="1" applyFont="1" applyFill="1" applyAlignment="1">
      <alignment horizontal="center" vertical="center"/>
    </xf>
    <xf numFmtId="0" fontId="25" fillId="0" borderId="0" xfId="30" applyFont="1" applyAlignment="1">
      <alignment vertical="center"/>
    </xf>
    <xf numFmtId="177" fontId="25" fillId="0" borderId="0" xfId="42" applyNumberFormat="1" applyFont="1" applyFill="1" applyAlignment="1">
      <alignment horizontal="center" vertical="center"/>
    </xf>
    <xf numFmtId="0" fontId="36" fillId="8" borderId="19" xfId="0" applyNumberFormat="1" applyFont="1" applyFill="1" applyBorder="1" applyAlignment="1">
      <alignment horizontal="left" vertical="center" wrapText="1"/>
    </xf>
    <xf numFmtId="44" fontId="36" fillId="8" borderId="0" xfId="54" applyFont="1" applyFill="1" applyAlignment="1">
      <alignment horizontal="center" vertical="center"/>
    </xf>
    <xf numFmtId="44" fontId="36" fillId="7" borderId="0" xfId="54" applyFont="1" applyFill="1" applyAlignment="1">
      <alignment horizontal="center" vertical="center"/>
    </xf>
    <xf numFmtId="178" fontId="36" fillId="0" borderId="0" xfId="0" applyNumberFormat="1" applyFont="1" applyFill="1" applyAlignment="1">
      <alignment horizontal="right" vertical="center"/>
    </xf>
    <xf numFmtId="0" fontId="36" fillId="0" borderId="0" xfId="0" applyNumberFormat="1" applyFont="1" applyFill="1" applyAlignment="1">
      <alignment horizontal="center" vertical="center"/>
    </xf>
    <xf numFmtId="0" fontId="25" fillId="8" borderId="0" xfId="0" applyFont="1" applyFill="1" applyAlignment="1">
      <alignment horizontal="left" vertical="center"/>
    </xf>
    <xf numFmtId="0" fontId="25" fillId="7" borderId="0" xfId="0" applyFont="1" applyFill="1" applyAlignment="1">
      <alignment horizontal="left" vertical="center"/>
    </xf>
    <xf numFmtId="0" fontId="25" fillId="8" borderId="0" xfId="0" applyFont="1" applyFill="1" applyAlignment="1">
      <alignment horizontal="left" vertical="center" wrapText="1"/>
    </xf>
    <xf numFmtId="0" fontId="36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/>
    </xf>
    <xf numFmtId="4" fontId="36" fillId="0" borderId="0" xfId="0" applyNumberFormat="1" applyFont="1" applyFill="1" applyAlignment="1">
      <alignment vertical="center"/>
    </xf>
    <xf numFmtId="4" fontId="36" fillId="0" borderId="0" xfId="0" applyNumberFormat="1" applyFont="1" applyFill="1" applyAlignment="1">
      <alignment horizontal="center" vertical="center"/>
    </xf>
    <xf numFmtId="173" fontId="36" fillId="0" borderId="0" xfId="0" applyNumberFormat="1" applyFont="1" applyFill="1" applyAlignment="1">
      <alignment horizontal="center" vertical="center"/>
    </xf>
    <xf numFmtId="0" fontId="36" fillId="0" borderId="0" xfId="0" applyFont="1" applyFill="1" applyAlignment="1">
      <alignment vertical="center"/>
    </xf>
    <xf numFmtId="44" fontId="36" fillId="0" borderId="20" xfId="54" applyFont="1" applyFill="1" applyBorder="1" applyAlignment="1">
      <alignment horizontal="left" vertical="center"/>
    </xf>
    <xf numFmtId="0" fontId="36" fillId="0" borderId="20" xfId="54" applyNumberFormat="1" applyFont="1" applyFill="1" applyBorder="1" applyAlignment="1">
      <alignment horizontal="left" vertical="center"/>
    </xf>
    <xf numFmtId="4" fontId="34" fillId="9" borderId="5" xfId="0" applyNumberFormat="1" applyFont="1" applyFill="1" applyBorder="1" applyAlignment="1">
      <alignment horizontal="center" vertical="center" wrapText="1"/>
    </xf>
    <xf numFmtId="0" fontId="27" fillId="0" borderId="9" xfId="30" applyFont="1" applyFill="1" applyBorder="1" applyAlignment="1">
      <alignment horizontal="center" vertical="center" wrapText="1"/>
    </xf>
    <xf numFmtId="0" fontId="53" fillId="15" borderId="9" xfId="0" applyFont="1" applyFill="1" applyBorder="1" applyAlignment="1">
      <alignment horizontal="left" vertical="center" wrapText="1"/>
    </xf>
    <xf numFmtId="0" fontId="52" fillId="0" borderId="9" xfId="0" applyFont="1" applyBorder="1"/>
    <xf numFmtId="0" fontId="34" fillId="10" borderId="7" xfId="0" applyFont="1" applyFill="1" applyBorder="1" applyAlignment="1">
      <alignment horizontal="center" vertical="center" wrapText="1"/>
    </xf>
    <xf numFmtId="0" fontId="34" fillId="10" borderId="4" xfId="0" applyFont="1" applyFill="1" applyBorder="1" applyAlignment="1">
      <alignment horizontal="center" vertical="center" wrapText="1"/>
    </xf>
    <xf numFmtId="0" fontId="34" fillId="10" borderId="14" xfId="0" applyFont="1" applyFill="1" applyBorder="1" applyAlignment="1">
      <alignment horizontal="center" vertical="center" wrapText="1"/>
    </xf>
    <xf numFmtId="0" fontId="38" fillId="10" borderId="8" xfId="30" applyFont="1" applyFill="1" applyBorder="1" applyAlignment="1">
      <alignment horizontal="center" vertical="center" wrapText="1"/>
    </xf>
    <xf numFmtId="0" fontId="38" fillId="10" borderId="11" xfId="30" applyFont="1" applyFill="1" applyBorder="1" applyAlignment="1">
      <alignment horizontal="center" vertical="center" wrapText="1"/>
    </xf>
    <xf numFmtId="0" fontId="33" fillId="0" borderId="0" xfId="30" applyFont="1" applyAlignment="1">
      <alignment horizontal="center" vertical="center"/>
    </xf>
    <xf numFmtId="0" fontId="40" fillId="13" borderId="9" xfId="0" applyFont="1" applyFill="1" applyBorder="1" applyAlignment="1">
      <alignment horizontal="center" vertical="center"/>
    </xf>
    <xf numFmtId="170" fontId="25" fillId="5" borderId="9" xfId="0" applyNumberFormat="1" applyFont="1" applyFill="1" applyBorder="1" applyAlignment="1">
      <alignment horizontal="center" vertical="center"/>
    </xf>
    <xf numFmtId="0" fontId="34" fillId="10" borderId="7" xfId="0" applyFont="1" applyFill="1" applyBorder="1" applyAlignment="1">
      <alignment horizontal="left" vertical="center" wrapText="1"/>
    </xf>
    <xf numFmtId="0" fontId="34" fillId="10" borderId="14" xfId="0" applyFont="1" applyFill="1" applyBorder="1" applyAlignment="1">
      <alignment horizontal="left" vertical="center" wrapText="1"/>
    </xf>
    <xf numFmtId="0" fontId="34" fillId="10" borderId="4" xfId="0" applyFont="1" applyFill="1" applyBorder="1" applyAlignment="1">
      <alignment horizontal="left" vertical="center" wrapText="1"/>
    </xf>
    <xf numFmtId="0" fontId="25" fillId="0" borderId="9" xfId="0" applyFont="1" applyBorder="1" applyAlignment="1">
      <alignment horizontal="left" vertical="center"/>
    </xf>
    <xf numFmtId="0" fontId="25" fillId="0" borderId="9" xfId="0" applyFont="1" applyBorder="1" applyAlignment="1">
      <alignment vertical="center"/>
    </xf>
    <xf numFmtId="9" fontId="25" fillId="0" borderId="7" xfId="0" applyNumberFormat="1" applyFont="1" applyBorder="1" applyAlignment="1">
      <alignment horizontal="left" vertical="center" wrapText="1"/>
    </xf>
    <xf numFmtId="9" fontId="25" fillId="0" borderId="14" xfId="0" applyNumberFormat="1" applyFont="1" applyBorder="1" applyAlignment="1">
      <alignment horizontal="left" vertical="center" wrapText="1"/>
    </xf>
    <xf numFmtId="9" fontId="25" fillId="0" borderId="7" xfId="0" applyNumberFormat="1" applyFont="1" applyBorder="1" applyAlignment="1">
      <alignment horizontal="left" vertical="center"/>
    </xf>
    <xf numFmtId="9" fontId="25" fillId="0" borderId="4" xfId="0" applyNumberFormat="1" applyFont="1" applyBorder="1" applyAlignment="1">
      <alignment horizontal="left" vertical="center"/>
    </xf>
    <xf numFmtId="9" fontId="25" fillId="0" borderId="14" xfId="0" applyNumberFormat="1" applyFont="1" applyBorder="1" applyAlignment="1">
      <alignment horizontal="left" vertical="center"/>
    </xf>
    <xf numFmtId="0" fontId="25" fillId="0" borderId="7" xfId="0" applyFont="1" applyBorder="1" applyAlignment="1">
      <alignment horizontal="left" vertical="center"/>
    </xf>
    <xf numFmtId="0" fontId="25" fillId="0" borderId="14" xfId="0" applyFont="1" applyBorder="1" applyAlignment="1">
      <alignment horizontal="left" vertical="center"/>
    </xf>
    <xf numFmtId="0" fontId="27" fillId="0" borderId="9" xfId="30" applyFont="1" applyBorder="1" applyAlignment="1">
      <alignment horizontal="center" vertical="center"/>
    </xf>
    <xf numFmtId="0" fontId="34" fillId="10" borderId="12" xfId="0" applyFont="1" applyFill="1" applyBorder="1" applyAlignment="1">
      <alignment horizontal="center" vertical="center" wrapText="1"/>
    </xf>
    <xf numFmtId="0" fontId="34" fillId="10" borderId="13" xfId="0" applyFont="1" applyFill="1" applyBorder="1" applyAlignment="1">
      <alignment horizontal="center" vertical="center" wrapText="1"/>
    </xf>
    <xf numFmtId="0" fontId="34" fillId="10" borderId="10" xfId="0" applyFont="1" applyFill="1" applyBorder="1" applyAlignment="1">
      <alignment horizontal="center" vertical="center" wrapText="1"/>
    </xf>
    <xf numFmtId="0" fontId="40" fillId="13" borderId="7" xfId="0" applyFont="1" applyFill="1" applyBorder="1" applyAlignment="1">
      <alignment horizontal="left" vertical="center"/>
    </xf>
    <xf numFmtId="0" fontId="40" fillId="13" borderId="4" xfId="0" applyFont="1" applyFill="1" applyBorder="1" applyAlignment="1">
      <alignment horizontal="left" vertical="center"/>
    </xf>
    <xf numFmtId="0" fontId="40" fillId="13" borderId="14" xfId="0" applyFont="1" applyFill="1" applyBorder="1" applyAlignment="1">
      <alignment horizontal="left" vertical="center"/>
    </xf>
    <xf numFmtId="0" fontId="25" fillId="0" borderId="4" xfId="0" applyFont="1" applyBorder="1" applyAlignment="1">
      <alignment horizontal="left" vertical="center"/>
    </xf>
    <xf numFmtId="10" fontId="25" fillId="5" borderId="7" xfId="0" applyNumberFormat="1" applyFont="1" applyFill="1" applyBorder="1" applyAlignment="1">
      <alignment horizontal="left" vertical="center"/>
    </xf>
    <xf numFmtId="10" fontId="25" fillId="5" borderId="4" xfId="0" applyNumberFormat="1" applyFont="1" applyFill="1" applyBorder="1" applyAlignment="1">
      <alignment horizontal="left" vertical="center"/>
    </xf>
    <xf numFmtId="10" fontId="25" fillId="5" borderId="14" xfId="0" applyNumberFormat="1" applyFont="1" applyFill="1" applyBorder="1" applyAlignment="1">
      <alignment horizontal="left" vertical="center"/>
    </xf>
    <xf numFmtId="170" fontId="27" fillId="5" borderId="7" xfId="0" applyNumberFormat="1" applyFont="1" applyFill="1" applyBorder="1" applyAlignment="1">
      <alignment horizontal="center" vertical="center"/>
    </xf>
    <xf numFmtId="170" fontId="25" fillId="5" borderId="4" xfId="0" applyNumberFormat="1" applyFont="1" applyFill="1" applyBorder="1" applyAlignment="1">
      <alignment horizontal="center" vertical="center"/>
    </xf>
    <xf numFmtId="0" fontId="33" fillId="0" borderId="6" xfId="30" applyFont="1" applyBorder="1" applyAlignment="1">
      <alignment horizontal="center" vertical="center"/>
    </xf>
    <xf numFmtId="0" fontId="33" fillId="0" borderId="0" xfId="30" applyFont="1" applyAlignment="1">
      <alignment horizontal="left" vertical="center"/>
    </xf>
    <xf numFmtId="0" fontId="27" fillId="13" borderId="7" xfId="0" applyFont="1" applyFill="1" applyBorder="1" applyAlignment="1">
      <alignment horizontal="center" vertical="center"/>
    </xf>
    <xf numFmtId="0" fontId="27" fillId="13" borderId="4" xfId="0" applyFont="1" applyFill="1" applyBorder="1" applyAlignment="1">
      <alignment horizontal="center" vertical="center"/>
    </xf>
    <xf numFmtId="0" fontId="27" fillId="13" borderId="14" xfId="0" applyFont="1" applyFill="1" applyBorder="1" applyAlignment="1">
      <alignment horizontal="center" vertical="center"/>
    </xf>
    <xf numFmtId="0" fontId="27" fillId="14" borderId="8" xfId="0" applyFont="1" applyFill="1" applyBorder="1" applyAlignment="1">
      <alignment horizontal="center" vertical="center"/>
    </xf>
    <xf numFmtId="0" fontId="27" fillId="14" borderId="21" xfId="0" applyFont="1" applyFill="1" applyBorder="1" applyAlignment="1">
      <alignment horizontal="center" vertical="center"/>
    </xf>
    <xf numFmtId="0" fontId="27" fillId="14" borderId="22" xfId="0" applyFont="1" applyFill="1" applyBorder="1" applyAlignment="1">
      <alignment horizontal="center" vertical="center"/>
    </xf>
    <xf numFmtId="0" fontId="27" fillId="13" borderId="8" xfId="0" applyFont="1" applyFill="1" applyBorder="1" applyAlignment="1">
      <alignment horizontal="center" vertical="center"/>
    </xf>
    <xf numFmtId="0" fontId="27" fillId="13" borderId="21" xfId="0" applyFont="1" applyFill="1" applyBorder="1" applyAlignment="1">
      <alignment horizontal="center" vertical="center"/>
    </xf>
    <xf numFmtId="0" fontId="27" fillId="13" borderId="22" xfId="0" applyFont="1" applyFill="1" applyBorder="1" applyAlignment="1">
      <alignment horizontal="center" vertical="center"/>
    </xf>
    <xf numFmtId="170" fontId="27" fillId="5" borderId="9" xfId="0" applyNumberFormat="1" applyFont="1" applyFill="1" applyBorder="1" applyAlignment="1">
      <alignment horizontal="center" vertical="center"/>
    </xf>
    <xf numFmtId="4" fontId="25" fillId="0" borderId="9" xfId="0" applyNumberFormat="1" applyFont="1" applyBorder="1" applyAlignment="1">
      <alignment horizontal="center" vertical="center"/>
    </xf>
    <xf numFmtId="0" fontId="33" fillId="0" borderId="0" xfId="30" applyFont="1" applyBorder="1" applyAlignment="1">
      <alignment horizontal="center" vertical="center"/>
    </xf>
    <xf numFmtId="170" fontId="25" fillId="5" borderId="7" xfId="0" applyNumberFormat="1" applyFont="1" applyFill="1" applyBorder="1" applyAlignment="1">
      <alignment horizontal="center" vertical="center"/>
    </xf>
    <xf numFmtId="170" fontId="25" fillId="5" borderId="14" xfId="0" applyNumberFormat="1" applyFont="1" applyFill="1" applyBorder="1" applyAlignment="1">
      <alignment horizontal="center" vertical="center"/>
    </xf>
    <xf numFmtId="0" fontId="25" fillId="0" borderId="8" xfId="0" applyFont="1" applyBorder="1" applyAlignment="1">
      <alignment horizontal="center" vertical="center" textRotation="90"/>
    </xf>
    <xf numFmtId="0" fontId="25" fillId="0" borderId="11" xfId="0" applyFont="1" applyBorder="1" applyAlignment="1">
      <alignment horizontal="center" vertical="center" textRotation="90"/>
    </xf>
    <xf numFmtId="0" fontId="25" fillId="0" borderId="12" xfId="0" applyFont="1" applyBorder="1" applyAlignment="1">
      <alignment horizontal="center" vertical="center" textRotation="90"/>
    </xf>
    <xf numFmtId="0" fontId="25" fillId="0" borderId="8" xfId="0" applyFont="1" applyBorder="1" applyAlignment="1">
      <alignment horizontal="center" vertical="center" textRotation="90" wrapText="1"/>
    </xf>
    <xf numFmtId="0" fontId="25" fillId="0" borderId="11" xfId="0" applyFont="1" applyBorder="1" applyAlignment="1">
      <alignment horizontal="center" vertical="center" textRotation="90" wrapText="1"/>
    </xf>
    <xf numFmtId="0" fontId="25" fillId="0" borderId="12" xfId="0" applyFont="1" applyBorder="1" applyAlignment="1">
      <alignment horizontal="center" vertical="center" textRotation="90" wrapText="1"/>
    </xf>
    <xf numFmtId="0" fontId="25" fillId="8" borderId="7" xfId="0" applyFont="1" applyFill="1" applyBorder="1" applyAlignment="1">
      <alignment horizontal="center" vertical="center"/>
    </xf>
    <xf numFmtId="0" fontId="25" fillId="8" borderId="4" xfId="0" applyFont="1" applyFill="1" applyBorder="1" applyAlignment="1">
      <alignment horizontal="center" vertical="center"/>
    </xf>
    <xf numFmtId="0" fontId="25" fillId="8" borderId="14" xfId="0" applyFont="1" applyFill="1" applyBorder="1" applyAlignment="1">
      <alignment horizontal="center" vertical="center"/>
    </xf>
    <xf numFmtId="2" fontId="34" fillId="10" borderId="7" xfId="0" applyNumberFormat="1" applyFont="1" applyFill="1" applyBorder="1" applyAlignment="1">
      <alignment horizontal="left" vertical="center"/>
    </xf>
    <xf numFmtId="2" fontId="34" fillId="10" borderId="4" xfId="0" applyNumberFormat="1" applyFont="1" applyFill="1" applyBorder="1" applyAlignment="1">
      <alignment horizontal="left" vertical="center"/>
    </xf>
    <xf numFmtId="49" fontId="34" fillId="10" borderId="4" xfId="29" applyNumberFormat="1" applyFont="1" applyFill="1" applyBorder="1" applyAlignment="1">
      <alignment horizontal="left" vertical="center"/>
    </xf>
    <xf numFmtId="49" fontId="34" fillId="10" borderId="14" xfId="29" applyNumberFormat="1" applyFont="1" applyFill="1" applyBorder="1" applyAlignment="1">
      <alignment horizontal="left" vertical="center"/>
    </xf>
    <xf numFmtId="49" fontId="25" fillId="7" borderId="7" xfId="0" applyNumberFormat="1" applyFont="1" applyFill="1" applyBorder="1" applyAlignment="1">
      <alignment horizontal="center" vertical="center"/>
    </xf>
    <xf numFmtId="49" fontId="25" fillId="7" borderId="14" xfId="0" applyNumberFormat="1" applyFont="1" applyFill="1" applyBorder="1" applyAlignment="1">
      <alignment horizontal="center" vertical="center"/>
    </xf>
    <xf numFmtId="49" fontId="25" fillId="8" borderId="7" xfId="0" applyNumberFormat="1" applyFont="1" applyFill="1" applyBorder="1" applyAlignment="1">
      <alignment horizontal="center" vertical="center"/>
    </xf>
    <xf numFmtId="49" fontId="25" fillId="8" borderId="14" xfId="0" applyNumberFormat="1" applyFont="1" applyFill="1" applyBorder="1" applyAlignment="1">
      <alignment horizontal="center" vertical="center"/>
    </xf>
    <xf numFmtId="49" fontId="25" fillId="7" borderId="4" xfId="0" applyNumberFormat="1" applyFont="1" applyFill="1" applyBorder="1" applyAlignment="1">
      <alignment horizontal="center" vertical="center"/>
    </xf>
    <xf numFmtId="49" fontId="25" fillId="8" borderId="4" xfId="0" applyNumberFormat="1" applyFont="1" applyFill="1" applyBorder="1" applyAlignment="1">
      <alignment horizontal="center" vertical="center"/>
    </xf>
  </cellXfs>
  <cellStyles count="75">
    <cellStyle name="%" xfId="1" xr:uid="{00000000-0005-0000-0000-000000000000}"/>
    <cellStyle name="% 2" xfId="39" xr:uid="{00000000-0005-0000-0000-000001000000}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2 2" xfId="58" xr:uid="{E69FCACB-48CB-4537-BA55-24C44966CD47}"/>
    <cellStyle name="Komma 3" xfId="37" xr:uid="{00000000-0005-0000-0000-000016000000}"/>
    <cellStyle name="Komma 3 2" xfId="61" xr:uid="{B9E78F97-D4F8-44F0-AF07-7D971BEA42C9}"/>
    <cellStyle name="Komma 4" xfId="56" xr:uid="{919DEB51-BFC8-47F3-8C42-1E0AE3D3F518}"/>
    <cellStyle name="Komma 4 2" xfId="73" xr:uid="{63586468-E915-4A8A-9119-4BC7CFD1DD3E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2 2" xfId="69" xr:uid="{3B773AB6-B5D0-4467-BB10-47D3729B3415}"/>
    <cellStyle name="Standaard 3 2 3" xfId="47" xr:uid="{00000000-0005-0000-0000-000028000000}"/>
    <cellStyle name="Standaard 3 2 3 2" xfId="65" xr:uid="{0D189F4C-84A6-4EFC-94C3-C8C7C7C513E9}"/>
    <cellStyle name="Standaard 3 2 4" xfId="62" xr:uid="{3A9548E9-D1D4-45D2-813A-3686B5EB15F8}"/>
    <cellStyle name="Standaard 3 3" xfId="49" xr:uid="{00000000-0005-0000-0000-000029000000}"/>
    <cellStyle name="Standaard 3 3 2" xfId="52" xr:uid="{00000000-0005-0000-0000-00002A000000}"/>
    <cellStyle name="Standaard 3 3 2 2" xfId="70" xr:uid="{B25AEF9F-3274-4525-B466-DC947508C182}"/>
    <cellStyle name="Standaard 3 3 3" xfId="67" xr:uid="{2674C5CB-3DE5-44A6-93A7-5D73CB9B0536}"/>
    <cellStyle name="Standaard 3 4" xfId="50" xr:uid="{00000000-0005-0000-0000-00002B000000}"/>
    <cellStyle name="Standaard 3 4 2" xfId="68" xr:uid="{DEC2041F-C733-47E9-97D4-F2D8AAACFDC8}"/>
    <cellStyle name="Standaard 3 5" xfId="45" xr:uid="{00000000-0005-0000-0000-00002C000000}"/>
    <cellStyle name="Standaard 3 5 2" xfId="63" xr:uid="{6132C18B-00A0-4ED6-B1E5-E35276F9897E}"/>
    <cellStyle name="Standaard 3 6" xfId="53" xr:uid="{00000000-0005-0000-0000-00002D000000}"/>
    <cellStyle name="Standaard 3 6 2" xfId="71" xr:uid="{85C572BD-2F05-4DB9-8AAB-8E2BA80428F8}"/>
    <cellStyle name="Standaard 3 7" xfId="59" xr:uid="{A16F64B6-B89F-4226-B831-862DCE292B56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3 2" xfId="60" xr:uid="{8F143A5E-075B-44B6-BB63-7B2D80E241D2}"/>
    <cellStyle name="Valuta 4" xfId="48" xr:uid="{00000000-0005-0000-0000-000033000000}"/>
    <cellStyle name="Valuta 4 2" xfId="66" xr:uid="{5B36A046-862B-4230-885C-4F095EFA63A0}"/>
    <cellStyle name="Valuta 5" xfId="46" xr:uid="{00000000-0005-0000-0000-000034000000}"/>
    <cellStyle name="Valuta 5 2" xfId="64" xr:uid="{7541A6F4-B33F-49FA-B452-BA16B98F02E4}"/>
    <cellStyle name="Valuta 6" xfId="57" xr:uid="{2F6036FC-E1D4-4DD3-A240-4ECECFEECB7D}"/>
    <cellStyle name="Valuta 6 2" xfId="74" xr:uid="{D4A5EC90-6F8E-4C80-B03F-CB06F5A2DFEC}"/>
    <cellStyle name="Valuta 7" xfId="72" xr:uid="{DFBEC805-BF22-4AC6-AEAA-B232B075C152}"/>
    <cellStyle name="Währung [0]_Aufmaß" xfId="32" xr:uid="{00000000-0005-0000-0000-000035000000}"/>
    <cellStyle name="Währung_Aufmaß" xfId="33" xr:uid="{00000000-0005-0000-0000-000036000000}"/>
  </cellStyles>
  <dxfs count="1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1" formatCode="#,##0.0_ ;\-#,##0.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9" formatCode="#,##0.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80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indexed="1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/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0E096B"/>
      <color rgb="FF346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3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2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Uitgangspunten"/>
      <sheetName val="Nummers"/>
      <sheetName val="Menu"/>
      <sheetName val="Tijdnormen"/>
      <sheetName val="Frekwenties"/>
      <sheetName val="Vloer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  <sheetName val="atir_xls"/>
      <sheetName val="3-Basis_ruimtestaat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15:D36" totalsRowShown="0" headerRowDxfId="196" dataDxfId="195" headerRowCellStyle="Standaard 4">
  <autoFilter ref="A15:D36" xr:uid="{00000000-0009-0000-0100-000006000000}"/>
  <tableColumns count="4">
    <tableColumn id="1" xr3:uid="{00000000-0010-0000-0000-000001000000}" name="Code" dataDxfId="194" dataCellStyle="Standaard 4"/>
    <tableColumn id="2" xr3:uid="{00000000-0010-0000-0000-000002000000}" name="Ruimte omschrijving" dataDxfId="193" dataCellStyle="Standaard 4"/>
    <tableColumn id="3" xr3:uid="{00000000-0010-0000-0000-000003000000}" name="Norm (5w)" dataDxfId="192"/>
    <tableColumn id="4" xr3:uid="{00000000-0010-0000-0000-000004000000}" name="Inspectiecategorie" dataDxfId="191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516A89BB-EF81-42B3-BC58-8C92D4E96597}" name="Invulextraw" displayName="Invulextraw" ref="A8:I10" totalsRowShown="0" headerRowDxfId="76">
  <autoFilter ref="A8:I10" xr:uid="{03191A0D-EB3E-4536-8F67-8014556DFA21}"/>
  <tableColumns count="9">
    <tableColumn id="1" xr3:uid="{9C300FF5-E5CB-4E73-8042-57AF73DE25DF}" name="Code Taak" dataDxfId="75"/>
    <tableColumn id="2" xr3:uid="{F4D31ECA-B672-4E52-AC76-2DA005572B2A}" name="Werkzaamheden"/>
    <tableColumn id="3" xr3:uid="{4704D747-E1B1-4DE8-9F4A-F490828F78D6}" name="Prijs" dataDxfId="74"/>
    <tableColumn id="4" xr3:uid="{63437EEA-F05E-4FE5-88F6-438461A65C49}" name="Omschrijving" dataDxfId="73"/>
    <tableColumn id="5" xr3:uid="{A8A1B57A-5F83-4684-9E35-DE1D9FBCB43B}" name="2023" dataDxfId="72" dataCellStyle="Valuta">
      <calculatedColumnFormula>(Invulextraw[[#This Row],[Prijs]]*Tariefsopbouw!$I$37)+Invulextraw[[#This Row],[Prijs]]</calculatedColumnFormula>
    </tableColumn>
    <tableColumn id="6" xr3:uid="{54D8C526-1CAD-436A-8813-27C9831567E5}" name="2024" dataDxfId="71" dataCellStyle="Valuta">
      <calculatedColumnFormula>E9*Tariefsopbouw!$K$37+E9</calculatedColumnFormula>
    </tableColumn>
    <tableColumn id="7" xr3:uid="{C223DE81-8DB8-4428-8811-DC3CAC82EB9D}" name="2025" dataDxfId="70" dataCellStyle="Valuta">
      <calculatedColumnFormula>F9*Tariefsopbouw!$M$37+F9</calculatedColumnFormula>
    </tableColumn>
    <tableColumn id="8" xr3:uid="{A1810B8F-E4C9-4564-BFAF-0819CED31273}" name="2026" dataDxfId="69" dataCellStyle="Valuta">
      <calculatedColumnFormula>G9*Tariefsopbouw!$O$37+Invulextraw[[#This Row],[2025]]</calculatedColumnFormula>
    </tableColumn>
    <tableColumn id="9" xr3:uid="{C89D6C6A-FA7C-4ACE-8F99-181BFE97C534}" name="2027" dataDxfId="68" dataCellStyle="Valuta">
      <calculatedColumnFormula>H9*Tariefsopbouw!$Q$37+Invulextraw[[#This Row],[2026]]</calculatedColumnFormula>
    </tableColumn>
  </tableColumns>
  <tableStyleInfo name="TableStyleMedium9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B36B13A-BFA5-4500-9477-D19FD27DB34E}" name="Overzichtextraw" displayName="Overzichtextraw" ref="A12:I25" totalsRowCount="1" headerRowDxfId="67" dataDxfId="66" totalsRowDxfId="65">
  <autoFilter ref="A12:I24" xr:uid="{8DD6D31C-85DF-44A7-8D74-D1410F86C1CF}"/>
  <tableColumns count="9">
    <tableColumn id="11" xr3:uid="{8B876D4D-45D4-47CD-BEDC-06155B48174F}" name="Code Locatie" dataDxfId="64" totalsRowDxfId="63"/>
    <tableColumn id="1" xr3:uid="{E8A73C59-D083-4564-A2C0-984BEDCB5ED0}" name="Locatie" totalsRowLabel="Totaal" dataDxfId="62" totalsRowDxfId="61">
      <calculatedColumnFormula>VLOOKUP(Overzichtextraw[[#This Row],[Code Locatie]],Locaties[],2,0)</calculatedColumnFormula>
    </tableColumn>
    <tableColumn id="3" xr3:uid="{2F80EAAE-3175-4755-A2DD-25093386D69D}" name="Code Taak" dataDxfId="60" totalsRowDxfId="59"/>
    <tableColumn id="4" xr3:uid="{98569D95-8097-466E-A934-D89445992D46}" name="Vloersoort / toelichting" dataDxfId="58" totalsRowDxfId="57">
      <calculatedColumnFormula>IF(Overzichtextraw[[#This Row],[Code Taak]]&gt;0,VLOOKUP(Overzichtextraw[[#This Row],[Code Taak]],$A$8:$B$10,2,FALSE),"")</calculatedColumnFormula>
    </tableColumn>
    <tableColumn id="5" xr3:uid="{10CF0992-81C7-4396-9533-B0ADACD2A77D}" name="Prijs per m2" dataDxfId="56" totalsRowDxfId="55" dataCellStyle="Valuta">
      <calculatedColumnFormula>$C$10</calculatedColumnFormula>
    </tableColumn>
    <tableColumn id="6" xr3:uid="{AA14C64F-366B-4CD8-863F-ACDB566CCBA8}" name="M2" dataDxfId="54" totalsRowDxfId="53"/>
    <tableColumn id="8" xr3:uid="{26F85E15-C9AA-4371-B5F2-0C3A080312A9}" name="Frequentie (uitv./jaar)" dataDxfId="52" totalsRowDxfId="51"/>
    <tableColumn id="9" xr3:uid="{BB3F3B63-A3D4-4CC0-9452-238D8484FB96}" name="Kosten/jaar excl. BTW" totalsRowFunction="sum" dataDxfId="50" totalsRowDxfId="49">
      <calculatedColumnFormula>Overzichtextraw[[#This Row],[Prijs per m2]]*Overzichtextraw[[#This Row],[M2]]*Overzichtextraw[[#This Row],[Frequentie (uitv./jaar)]]</calculatedColumnFormula>
    </tableColumn>
    <tableColumn id="2" xr3:uid="{01A3D58E-AB0A-494E-BA42-0A246D51DA55}" name="Opmerking" dataDxfId="48" totalsRowDxfId="47"/>
  </tableColumns>
  <tableStyleInfo name="TableStyleMedium9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B000000}" name="InvulRegie" displayName="InvulRegie" ref="B8:D40" totalsRowCount="1" headerRowDxfId="46" dataDxfId="45" totalsRowDxfId="44">
  <autoFilter ref="B8:D39" xr:uid="{00000000-0009-0000-0100-00000B000000}"/>
  <tableColumns count="3">
    <tableColumn id="1" xr3:uid="{00000000-0010-0000-0B00-000001000000}" name="Werkzaamheid" totalsRowLabel="Totaal" totalsRowDxfId="43"/>
    <tableColumn id="2" xr3:uid="{00000000-0010-0000-0B00-000002000000}" name="Eenheid" totalsRowDxfId="42"/>
    <tableColumn id="3" xr3:uid="{00000000-0010-0000-0B00-000003000000}" name="Prijs excl. BTW" dataDxfId="41" totalsRowDxfId="40"/>
  </tableColumns>
  <tableStyleInfo name="TableStyleMedium9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C000000}" name="Samenvattingschoonmaak" displayName="Samenvattingschoonmaak" ref="A6:H13" totalsRowCount="1" headerRowDxfId="39" dataDxfId="37" totalsRowDxfId="35" headerRowBorderDxfId="38" tableBorderDxfId="36">
  <autoFilter ref="A6:H12" xr:uid="{00000000-0009-0000-0100-00000E000000}"/>
  <tableColumns count="8">
    <tableColumn id="8" xr3:uid="{00000000-0010-0000-0C00-000008000000}" name="Code Locatie" dataDxfId="34" totalsRowDxfId="33"/>
    <tableColumn id="1" xr3:uid="{00000000-0010-0000-0C00-000001000000}" name="Locatie" totalsRowLabel="Totaal" dataDxfId="32" totalsRowDxfId="31"/>
    <tableColumn id="2" xr3:uid="{00000000-0010-0000-0C00-000002000000}" name="Oppervlakte i/o" totalsRowFunction="sum" dataDxfId="30" totalsRowDxfId="29"/>
    <tableColumn id="3" xr3:uid="{00000000-0010-0000-0C00-000003000000}" name="Prest. (m2 /jaar)" totalsRowFunction="sum" dataDxfId="28" totalsRowDxfId="27"/>
    <tableColumn id="4" xr3:uid="{00000000-0010-0000-0C00-000004000000}" name="Uren / jaar" totalsRowFunction="sum" dataDxfId="26" totalsRowDxfId="25"/>
    <tableColumn id="5" xr3:uid="{00000000-0010-0000-0C00-000005000000}" name="Norm (m2/uur)" totalsRowFunction="custom" dataDxfId="24" totalsRowDxfId="23">
      <calculatedColumnFormula>D7/E7</calculatedColumnFormula>
      <totalsRowFormula>Samenvattingschoonmaak[[#Totals],[Prest. (m2 /jaar)]]/Samenvattingschoonmaak[[#Totals],[Uren / jaar]]</totalsRowFormula>
    </tableColumn>
    <tableColumn id="6" xr3:uid="{00000000-0010-0000-0C00-000006000000}" name="Kosten / jaar" totalsRowFunction="sum" dataDxfId="22" totalsRowDxfId="21"/>
    <tableColumn id="7" xr3:uid="{00000000-0010-0000-0C00-000007000000}" name="Kosten / m2" totalsRowFunction="custom" dataDxfId="20" totalsRowDxfId="19">
      <calculatedColumnFormula>G7/C7</calculatedColumnFormula>
      <totalsRowFormula>Samenvattingschoonmaak[[#Totals],[Kosten / jaar]]/Samenvattingschoonmaak[[#Totals],[Oppervlakte i/o]]</totalsRowFormula>
    </tableColumn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D000000}" name="Totalisatie" displayName="Totalisatie" ref="A16:G23" totalsRowCount="1" headerRowDxfId="18" dataDxfId="16" totalsRowDxfId="14" headerRowBorderDxfId="17" tableBorderDxfId="15">
  <autoFilter ref="A16:G22" xr:uid="{00000000-0009-0000-0100-00000F000000}"/>
  <tableColumns count="7">
    <tableColumn id="8" xr3:uid="{00000000-0010-0000-0D00-000008000000}" name="Code Locatie" dataDxfId="13" totalsRowDxfId="6"/>
    <tableColumn id="1" xr3:uid="{00000000-0010-0000-0D00-000001000000}" name="Locaties" totalsRowLabel="Totaal" dataDxfId="12" totalsRowDxfId="5">
      <calculatedColumnFormula>VLOOKUP(Totalisatie[[#This Row],[Code Locatie]],Locaties[],2,0)</calculatedColumnFormula>
    </tableColumn>
    <tableColumn id="4" xr3:uid="{00000000-0010-0000-0D00-000004000000}" name="Schoonmaakonderhoud_x000a_Kosten / jaar" totalsRowFunction="sum" dataDxfId="11" totalsRowDxfId="4">
      <calculatedColumnFormula>SUMIF('Ruimtestaat'!A:A,Totalisatie[[#This Row],[Code Locatie]],'Ruimtestaat'!AF:AF)</calculatedColumnFormula>
    </tableColumn>
    <tableColumn id="6" xr3:uid="{00000000-0010-0000-0D00-000006000000}" name="Glasbewassing_x000a_Kosten / jaar" totalsRowFunction="sum" dataDxfId="10" totalsRowDxfId="3">
      <calculatedColumnFormula>SUMIF(Glasbewassing!$A$23:$A$54,Totalisatie[[#This Row],[Code Locatie]],Glasbewassing!$G$23:$G$54)</calculatedColumnFormula>
    </tableColumn>
    <tableColumn id="2" xr3:uid="{00000000-0010-0000-0D00-000002000000}" name="Vloeronderhoud_x000a_Kosten / jaar" totalsRowFunction="sum" dataDxfId="9" totalsRowDxfId="2">
      <calculatedColumnFormula>SUMIF(Vloeronderhoud!$A$19:$A$49,Totalisatie[[#This Row],[Code Locatie]],Vloeronderhoud!$H$19:$H$49)</calculatedColumnFormula>
    </tableColumn>
    <tableColumn id="3" xr3:uid="{A831AF24-4918-4943-9CA5-457F902C5055}" name="Extra werkzaamheden kosten /jaar" totalsRowFunction="sum" dataDxfId="8" totalsRowDxfId="1">
      <calculatedColumnFormula>SUMIF(Overzichtextraw[[Code Locatie]:[Kosten/jaar excl. BTW]],Totalisatie[[#This Row],[Code Locatie]],Overzichtextraw[Kosten/jaar excl. BTW])</calculatedColumnFormula>
    </tableColumn>
    <tableColumn id="5" xr3:uid="{2A8C3CF1-513F-4CAD-A439-3F5FCA3E0363}" name="Totaalprijs_x000a_Kosten / jaar" totalsRowFunction="sum" dataDxfId="7" totalsRowDxfId="0">
      <calculatedColumnFormula>SUM(Totalisatie[[#This Row],[Schoonmaakonderhoud
Kosten / jaar]:[Extra werkzaamheden kosten /jaar]])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39:F43" totalsRowShown="0" headerRowDxfId="190" dataDxfId="189">
  <autoFilter ref="A39:F43" xr:uid="{00000000-0009-0000-0100-000007000000}"/>
  <tableColumns count="6">
    <tableColumn id="1" xr3:uid="{00000000-0010-0000-0100-000001000000}" name="Code" dataDxfId="188"/>
    <tableColumn id="4" xr3:uid="{00000000-0010-0000-0100-000004000000}" name="Naam" dataDxfId="187"/>
    <tableColumn id="5" xr3:uid="{00000000-0010-0000-0100-000005000000}" name="Aanpassing norm" dataDxfId="186" dataCellStyle="Procent"/>
    <tableColumn id="2" xr3:uid="{00000000-0010-0000-0100-000002000000}" name="Vloersoort omschrijving" dataDxfId="185" dataCellStyle="Standaard 4"/>
    <tableColumn id="7" xr3:uid="{00000000-0010-0000-0100-000007000000}" name="Kolom2" dataDxfId="184" dataCellStyle="Standaard 4"/>
    <tableColumn id="6" xr3:uid="{00000000-0010-0000-0100-000006000000}" name="Kolom1" dataDxfId="183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46:D57" totalsRowShown="0" headerRowDxfId="182" dataDxfId="181">
  <autoFilter ref="A46:D57" xr:uid="{00000000-0009-0000-0100-000008000000}"/>
  <tableColumns count="4">
    <tableColumn id="1" xr3:uid="{00000000-0010-0000-0200-000001000000}" name="Code" dataDxfId="180" dataCellStyle="Standaard 4"/>
    <tableColumn id="2" xr3:uid="{00000000-0010-0000-0200-000002000000}" name="Frequentie omschrijving" dataDxfId="179" dataCellStyle="Standaard 4"/>
    <tableColumn id="3" xr3:uid="{00000000-0010-0000-0200-000003000000}" name="Aanpassing norm" dataDxfId="178" dataCellStyle="Procent"/>
    <tableColumn id="4" xr3:uid="{00000000-0010-0000-0200-000004000000}" name="Uitvoeringen" dataDxfId="17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6:F12" totalsRowShown="0" dataDxfId="176">
  <autoFilter ref="A6:F12" xr:uid="{00000000-0009-0000-0100-00000D000000}"/>
  <tableColumns count="6">
    <tableColumn id="1" xr3:uid="{00000000-0010-0000-0300-000001000000}" name="Code" dataDxfId="175"/>
    <tableColumn id="2" xr3:uid="{00000000-0010-0000-0300-000002000000}" name="Locatie" dataDxfId="174"/>
    <tableColumn id="7" xr3:uid="{00000000-0010-0000-0300-000007000000}" name="Aanpassing norm" dataDxfId="173"/>
    <tableColumn id="3" xr3:uid="{00000000-0010-0000-0300-000003000000}" name="Adres" dataDxfId="172"/>
    <tableColumn id="4" xr3:uid="{00000000-0010-0000-0300-000004000000}" name="Postcode" dataDxfId="171"/>
    <tableColumn id="5" xr3:uid="{00000000-0010-0000-0300-000005000000}" name="Plaats" dataDxfId="17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F881" totalsRowShown="0" headerRowDxfId="169" dataDxfId="168">
  <autoFilter ref="A4:AF881" xr:uid="{B78C5E8C-24C7-4A23-AB0F-63FB43A90518}"/>
  <tableColumns count="32">
    <tableColumn id="32" xr3:uid="{00000000-0010-0000-0400-000020000000}" name="Code" dataDxfId="167"/>
    <tableColumn id="1" xr3:uid="{00000000-0010-0000-0400-000001000000}" name="Locatie" dataDxfId="166"/>
    <tableColumn id="3" xr3:uid="{00000000-0010-0000-0400-000003000000}" name="Adres" dataDxfId="165">
      <calculatedColumnFormula>VLOOKUP(Ruimtestaat[[#This Row],[Code]],Locaties[#All],4,FALSE)</calculatedColumnFormula>
    </tableColumn>
    <tableColumn id="4" xr3:uid="{00000000-0010-0000-0400-000004000000}" name="Postcode" dataDxfId="164">
      <calculatedColumnFormula>VLOOKUP(Ruimtestaat[[#This Row],[Code]],Locaties[#All],5,FALSE)</calculatedColumnFormula>
    </tableColumn>
    <tableColumn id="5" xr3:uid="{00000000-0010-0000-0400-000005000000}" name="Plaats" dataDxfId="163">
      <calculatedColumnFormula>VLOOKUP(Ruimtestaat[[#This Row],[Code]],Locaties[#All],6,FALSE)</calculatedColumnFormula>
    </tableColumn>
    <tableColumn id="2" xr3:uid="{00000000-0010-0000-0400-000002000000}" name="Gebouw gedeelte" dataDxfId="162"/>
    <tableColumn id="6" xr3:uid="{00000000-0010-0000-0400-000006000000}" name="Etage" dataDxfId="161"/>
    <tableColumn id="7" xr3:uid="{00000000-0010-0000-0400-000007000000}" name="Ruimte- _x000a_nummer" dataDxfId="160"/>
    <tableColumn id="8" xr3:uid="{00000000-0010-0000-0400-000008000000}" name="Ruimte omschrijving" dataDxfId="159"/>
    <tableColumn id="9" xr3:uid="{00000000-0010-0000-0400-000009000000}" name="Ruimte code" dataDxfId="158"/>
    <tableColumn id="11" xr3:uid="{00000000-0010-0000-0400-00000B000000}" name="Vloer code" dataDxfId="157"/>
    <tableColumn id="12" xr3:uid="{00000000-0010-0000-0400-00000C000000}" name="Vloer afwerking" dataDxfId="156"/>
    <tableColumn id="13" xr3:uid="{00000000-0010-0000-0400-00000D000000}" name="Oppervlak (netto)" dataDxfId="155"/>
    <tableColumn id="14" xr3:uid="{00000000-0010-0000-0400-00000E000000}" name="Oppervlakte n.i.o." dataDxfId="154"/>
    <tableColumn id="15" xr3:uid="{00000000-0010-0000-0400-00000F000000}" name="Inspectie categorie" dataDxfId="153">
      <calculatedColumnFormula>VLOOKUP(Ruimtestaat[[#This Row],[Ruimte code]],Ruimtegroepen[#All],4,FALSE)</calculatedColumnFormula>
    </tableColumn>
    <tableColumn id="16" xr3:uid="{00000000-0010-0000-0400-000010000000}" name="Opmerking 1" dataDxfId="152"/>
    <tableColumn id="17" xr3:uid="{00000000-0010-0000-0400-000011000000}" name="Aantal weken/jr" dataDxfId="151"/>
    <tableColumn id="18" xr3:uid="{00000000-0010-0000-0400-000012000000}" name="Ruimte gebruiks-intentie" dataDxfId="150"/>
    <tableColumn id="19" xr3:uid="{00000000-0010-0000-0400-000013000000}" name="Uitvoeringen werkdagen" dataDxfId="149">
      <calculatedColumnFormula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calculatedColumnFormula>
    </tableColumn>
    <tableColumn id="20" xr3:uid="{00000000-0010-0000-0400-000014000000}" name="Norm (m2/uur) werkdagen" dataDxfId="148">
      <calculatedColumnFormula>IF(S5&gt;0,VLOOKUP($J5,Ruimtegroepen[],3,FALSE)*VLOOKUP($K5,Vloersoorten[],3,FALSE)*VLOOKUP($R5,Frequenties[],3,FALSE)*VLOOKUP($A5,Locaties[],3,FALSE),0)</calculatedColumnFormula>
    </tableColumn>
    <tableColumn id="21" xr3:uid="{00000000-0010-0000-0400-000015000000}" name="Prest. (m2 /jaar) werkdagen" dataDxfId="147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146" dataCellStyle="Komma">
      <calculatedColumnFormula>IF(T5&gt;0,Ruimtestaat[[#This Row],[Prest. (m2 /jaar) werkdagen]]/Ruimtestaat[[#This Row],[Norm (m2/uur) werkdagen]],0)</calculatedColumnFormula>
    </tableColumn>
    <tableColumn id="23" xr3:uid="{00000000-0010-0000-0400-000017000000}" name="kosten / jaar werkdagen" dataDxfId="145" dataCellStyle="Valuta">
      <calculatedColumnFormula>Ruimtestaat[[#This Row],[uren / jaar werkdagen]]*Tariefsopbouw!$D$38</calculatedColumnFormula>
    </tableColumn>
    <tableColumn id="24" xr3:uid="{00000000-0010-0000-0400-000018000000}" name="Frequentie weekend" dataDxfId="144"/>
    <tableColumn id="38" xr3:uid="{00000000-0010-0000-0400-000026000000}" name="Uitvoeringen weekend" dataDxfId="143">
      <calculatedColumnFormula>IF(Ruimtestaat[[#This Row],[Frequentie weekend]]&gt;0,VALUE(LEFT(X5,1))*Q5,0)</calculatedColumnFormula>
    </tableColumn>
    <tableColumn id="25" xr3:uid="{00000000-0010-0000-0400-000019000000}" name="Norm (m2/uur) weekend" dataDxfId="142">
      <calculatedColumnFormula>IF($Y5&gt;0,VLOOKUP($J5,Ruimtegroepen[],3,FALSE)*VLOOKUP($K5,Vloersoorten[],3,FALSE)*VLOOKUP($X5,Frequenties[],3,FALSE)*VLOOKUP(#REF!,Locaties[],3,FALSE),0)</calculatedColumnFormula>
    </tableColumn>
    <tableColumn id="26" xr3:uid="{00000000-0010-0000-0400-00001A000000}" name="Prest. (m2 /jaar) weekend" dataDxfId="141"/>
    <tableColumn id="27" xr3:uid="{00000000-0010-0000-0400-00001B000000}" name="uren / jaar weekend" dataDxfId="140"/>
    <tableColumn id="28" xr3:uid="{00000000-0010-0000-0400-00001C000000}" name="kosten / jaar weekend" dataDxfId="139">
      <calculatedColumnFormula>Ruimtestaat[[#This Row],[uren / jaar weekend]]*Tariefsopbouw!$D$40</calculatedColumnFormula>
    </tableColumn>
    <tableColumn id="29" xr3:uid="{00000000-0010-0000-0400-00001D000000}" name="Prest. (m2 /jaar)" dataDxfId="138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137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136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8:I21" totalsRowShown="0" headerRowDxfId="135">
  <autoFilter ref="A8:I21" xr:uid="{00000000-0009-0000-0100-000003000000}"/>
  <tableColumns count="9">
    <tableColumn id="1" xr3:uid="{00000000-0010-0000-0500-000001000000}" name="Code taak" dataDxfId="134"/>
    <tableColumn id="2" xr3:uid="{00000000-0010-0000-0500-000002000000}" name="Glassoort/voorziening" dataDxfId="133"/>
    <tableColumn id="3" xr3:uid="{00000000-0010-0000-0500-000003000000}" name="Prijs excl. BTW" dataDxfId="132"/>
    <tableColumn id="4" xr3:uid="{00000000-0010-0000-0500-000004000000}" name="Eenheid" dataDxfId="131"/>
    <tableColumn id="5" xr3:uid="{CC43D47B-51D1-48C7-9FBE-6228B4D72C08}" name="2023" dataDxfId="130" dataCellStyle="Valuta">
      <calculatedColumnFormula>(InvulGlas[[#This Row],[Prijs excl. BTW]]*Tariefsopbouw!$I$35)+InvulGlas[[#This Row],[Prijs excl. BTW]]</calculatedColumnFormula>
    </tableColumn>
    <tableColumn id="6" xr3:uid="{14AF2224-D978-4323-B50E-296D91A6AA97}" name="2024" dataDxfId="129" dataCellStyle="Valuta">
      <calculatedColumnFormula>E9*Tariefsopbouw!$K$35+Glasbewassing!E9</calculatedColumnFormula>
    </tableColumn>
    <tableColumn id="7" xr3:uid="{C18EB174-680A-4DCC-A57F-327D4F1C3675}" name="2025" dataDxfId="128" dataCellStyle="Valuta">
      <calculatedColumnFormula>F9*Tariefsopbouw!$M$35+Glasbewassing!F9</calculatedColumnFormula>
    </tableColumn>
    <tableColumn id="8" xr3:uid="{2002E41E-1578-4095-8CE5-943025AA110B}" name="2026" dataDxfId="127" dataCellStyle="Valuta">
      <calculatedColumnFormula>G10*Tariefsopbouw!$O$35+Glasbewassing!G10</calculatedColumnFormula>
    </tableColumn>
    <tableColumn id="9" xr3:uid="{95B9447D-2760-430F-8929-530FC65F506E}" name="2027" dataDxfId="126" dataCellStyle="Valuta">
      <calculatedColumnFormula>H9*Tariefsopbouw!$Q$35+Glasbewassing!H9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23:H55" totalsRowCount="1" headerRowDxfId="125" dataDxfId="124" totalsRowDxfId="123">
  <autoFilter ref="A23:H54" xr:uid="{00000000-0009-0000-0100-000004000000}"/>
  <tableColumns count="8">
    <tableColumn id="1" xr3:uid="{00000000-0010-0000-0600-000001000000}" name="Code Locatie" totalsRowLabel="Totaal" dataDxfId="122" totalsRowDxfId="121"/>
    <tableColumn id="2" xr3:uid="{00000000-0010-0000-0600-000002000000}" name="Locatie" dataDxfId="120" totalsRowDxfId="119">
      <calculatedColumnFormula>VLOOKUP(OverzichtGlas[[#This Row],[Code Locatie]],Locaties[],2,0)</calculatedColumnFormula>
    </tableColumn>
    <tableColumn id="3" xr3:uid="{00000000-0010-0000-0600-000003000000}" name="Code taak" dataDxfId="118" totalsRowDxfId="117"/>
    <tableColumn id="4" xr3:uid="{00000000-0010-0000-0600-000004000000}" name="Glassoort/voorziening" dataDxfId="116" totalsRowDxfId="115">
      <calculatedColumnFormula>IF(Glasbewassing!$C24&gt;0,VLOOKUP(Glasbewassing!$C24,$A$8:$B$21,2,FALSE),"Hier vult u de inzet van eventuele hoogwerkers in")</calculatedColumnFormula>
    </tableColumn>
    <tableColumn id="5" xr3:uid="{00000000-0010-0000-0600-000005000000}" name="Oppervlakte of dagen" dataDxfId="114" totalsRowDxfId="113"/>
    <tableColumn id="7" xr3:uid="{00000000-0010-0000-0600-000007000000}" name="Frequentie" dataDxfId="112" totalsRowDxfId="111"/>
    <tableColumn id="8" xr3:uid="{00000000-0010-0000-0600-000008000000}" name="Kosten/jaar excl. BTW" totalsRowFunction="sum" dataDxfId="110" totalsRowDxfId="109">
      <calculatedColumnFormula>IF(C24&gt;0,VLOOKUP(OverzichtGlas[[#This Row],[Code taak]],InvulGlas[],3,0)*E24*F24,0)</calculatedColumnFormula>
    </tableColumn>
    <tableColumn id="6" xr3:uid="{F53C43C8-EF00-4EEA-930B-F8B7922BD55E}" name="Opmerking" dataDxfId="108" totalsRowDxfId="107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106">
  <autoFilter ref="A8:I16" xr:uid="{00000000-0009-0000-0100-000001000000}"/>
  <tableColumns count="9">
    <tableColumn id="1" xr3:uid="{00000000-0010-0000-0700-000001000000}" name="Code Taak" dataDxfId="105"/>
    <tableColumn id="2" xr3:uid="{00000000-0010-0000-0700-000002000000}" name="Werkzaamheden"/>
    <tableColumn id="3" xr3:uid="{00000000-0010-0000-0700-000003000000}" name="Prijs" dataDxfId="104"/>
    <tableColumn id="4" xr3:uid="{00000000-0010-0000-0700-000004000000}" name="Omschrijving2" dataDxfId="103"/>
    <tableColumn id="5" xr3:uid="{8DD3E179-6B7B-4CB1-A28F-5B8ADA215124}" name="2023" dataDxfId="102" dataCellStyle="Valuta"/>
    <tableColumn id="6" xr3:uid="{BB6E692A-46D1-42B6-A2AC-B4AAABCA88E4}" name="2024" dataDxfId="101" dataCellStyle="Valuta"/>
    <tableColumn id="7" xr3:uid="{6BFC02B3-9153-4384-A0A7-3FBFD6F25134}" name="2025" dataDxfId="100" dataCellStyle="Valuta"/>
    <tableColumn id="8" xr3:uid="{228E54AD-BFA8-4C70-8624-B963D0DBB212}" name="2026" dataDxfId="99" dataCellStyle="Valuta"/>
    <tableColumn id="9" xr3:uid="{2398F346-59C2-4DEF-820B-7FDF89228FD6}" name="2027" dataDxfId="98" dataCellStyle="Valuta"/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49" totalsRowCount="1" headerRowDxfId="97" dataDxfId="96" totalsRowDxfId="95">
  <autoFilter ref="A18:I48" xr:uid="{00000000-0009-0000-0100-000002000000}"/>
  <tableColumns count="9">
    <tableColumn id="11" xr3:uid="{00000000-0010-0000-0800-00000B000000}" name="Code Locatie" dataDxfId="94" totalsRowDxfId="93"/>
    <tableColumn id="1" xr3:uid="{00000000-0010-0000-0800-000001000000}" name="Locatie" totalsRowLabel="Totaal" dataDxfId="92" totalsRowDxfId="91"/>
    <tableColumn id="3" xr3:uid="{00000000-0010-0000-0800-000003000000}" name="Code Taak" dataDxfId="90" totalsRowDxfId="89"/>
    <tableColumn id="4" xr3:uid="{00000000-0010-0000-0800-000004000000}" name="Vloersoort / toelichting" dataDxfId="88" totalsRowDxfId="87">
      <calculatedColumnFormula>IF(Vloeronderhoud!$C19&gt;0,VLOOKUP(Vloeronderhoud!$C19,$A$8:$B$16,2,FALSE),"")</calculatedColumnFormula>
    </tableColumn>
    <tableColumn id="5" xr3:uid="{00000000-0010-0000-0800-000005000000}" name="Vloersoort" dataDxfId="86" totalsRowDxfId="85"/>
    <tableColumn id="6" xr3:uid="{00000000-0010-0000-0800-000006000000}" name="Oppervlakte" dataDxfId="84" totalsRowDxfId="83">
      <calculatedColumnFormula>SUMIFS('Ruimtestaat'!$M:$M,'Ruimtestaat'!K:K,Vloeronderhoud!E19,'Ruimtestaat'!A:A,Vloeronderhoud!A19)</calculatedColumnFormula>
    </tableColumn>
    <tableColumn id="8" xr3:uid="{00000000-0010-0000-0800-000008000000}" name="Frequentie (uitv./jaar)" dataDxfId="82" totalsRowDxfId="81"/>
    <tableColumn id="9" xr3:uid="{00000000-0010-0000-0800-000009000000}" name="Kosten/jaar excl. BTW" totalsRowFunction="sum" dataDxfId="80" totalsRowDxfId="79">
      <calculatedColumnFormula>G19*#REF!*F19</calculatedColumnFormula>
    </tableColumn>
    <tableColumn id="2" xr3:uid="{3D57AF76-12E7-4FE8-AC08-4DCCC94E1733}" name="Opmerking" dataDxfId="78" totalsRowDxfId="77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1.xml"/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4.xml"/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6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EE8A5-78E4-4C57-8430-12CDE2A20B61}">
  <sheetPr>
    <pageSetUpPr fitToPage="1"/>
  </sheetPr>
  <dimension ref="A1:D91"/>
  <sheetViews>
    <sheetView tabSelected="1" zoomScaleNormal="100" workbookViewId="0">
      <selection sqref="A1:D1"/>
    </sheetView>
  </sheetViews>
  <sheetFormatPr defaultColWidth="9" defaultRowHeight="12.75"/>
  <cols>
    <col min="1" max="1" width="29.5703125" style="209" customWidth="1"/>
    <col min="2" max="2" width="33.28515625" style="209" customWidth="1"/>
    <col min="3" max="3" width="45.42578125" style="209" bestFit="1" customWidth="1"/>
    <col min="4" max="4" width="54" style="209" customWidth="1"/>
    <col min="5" max="16384" width="9" style="203"/>
  </cols>
  <sheetData>
    <row r="1" spans="1:4" ht="17.25" customHeight="1">
      <c r="A1" s="314" t="s">
        <v>274</v>
      </c>
      <c r="B1" s="315"/>
      <c r="C1" s="315"/>
      <c r="D1" s="316"/>
    </row>
    <row r="2" spans="1:4">
      <c r="A2" s="227" t="s">
        <v>275</v>
      </c>
      <c r="B2" s="227" t="s">
        <v>276</v>
      </c>
      <c r="C2" s="227" t="s">
        <v>277</v>
      </c>
      <c r="D2" s="227" t="s">
        <v>278</v>
      </c>
    </row>
    <row r="3" spans="1:4">
      <c r="A3" s="227"/>
      <c r="B3" s="227"/>
      <c r="C3" s="227"/>
      <c r="D3" s="227" t="s">
        <v>279</v>
      </c>
    </row>
    <row r="4" spans="1:4">
      <c r="A4" s="227" t="s">
        <v>280</v>
      </c>
      <c r="B4" s="227"/>
      <c r="C4" s="227"/>
      <c r="D4" s="227"/>
    </row>
    <row r="5" spans="1:4" ht="25.5">
      <c r="A5" s="204" t="s">
        <v>281</v>
      </c>
      <c r="B5" s="204"/>
      <c r="C5" s="205" t="s">
        <v>282</v>
      </c>
      <c r="D5" s="205"/>
    </row>
    <row r="6" spans="1:4" ht="25.5">
      <c r="A6" s="204" t="s">
        <v>283</v>
      </c>
      <c r="B6" s="204" t="s">
        <v>284</v>
      </c>
      <c r="C6" s="205" t="s">
        <v>285</v>
      </c>
      <c r="D6" s="205" t="s">
        <v>286</v>
      </c>
    </row>
    <row r="7" spans="1:4">
      <c r="A7" s="204" t="s">
        <v>287</v>
      </c>
      <c r="B7" s="204" t="s">
        <v>284</v>
      </c>
      <c r="C7" s="205" t="s">
        <v>285</v>
      </c>
      <c r="D7" s="205" t="s">
        <v>288</v>
      </c>
    </row>
    <row r="8" spans="1:4" ht="25.5">
      <c r="A8" s="204" t="s">
        <v>289</v>
      </c>
      <c r="B8" s="204" t="s">
        <v>290</v>
      </c>
      <c r="C8" s="205" t="s">
        <v>291</v>
      </c>
      <c r="D8" s="205" t="s">
        <v>292</v>
      </c>
    </row>
    <row r="9" spans="1:4" ht="25.5">
      <c r="A9" s="204" t="s">
        <v>289</v>
      </c>
      <c r="B9" s="204" t="s">
        <v>293</v>
      </c>
      <c r="C9" s="205" t="s">
        <v>294</v>
      </c>
      <c r="D9" s="205" t="s">
        <v>292</v>
      </c>
    </row>
    <row r="10" spans="1:4">
      <c r="A10" s="204" t="s">
        <v>295</v>
      </c>
      <c r="B10" s="204" t="s">
        <v>293</v>
      </c>
      <c r="C10" s="205" t="s">
        <v>296</v>
      </c>
      <c r="D10" s="205"/>
    </row>
    <row r="11" spans="1:4" ht="30" customHeight="1">
      <c r="A11" s="204" t="s">
        <v>297</v>
      </c>
      <c r="B11" s="204" t="s">
        <v>284</v>
      </c>
      <c r="C11" s="205" t="s">
        <v>285</v>
      </c>
      <c r="D11" s="205" t="s">
        <v>298</v>
      </c>
    </row>
    <row r="12" spans="1:4">
      <c r="A12" s="204" t="s">
        <v>299</v>
      </c>
      <c r="B12" s="204" t="s">
        <v>284</v>
      </c>
      <c r="C12" s="205" t="s">
        <v>285</v>
      </c>
      <c r="D12" s="204" t="s">
        <v>300</v>
      </c>
    </row>
    <row r="13" spans="1:4" ht="25.5">
      <c r="A13" s="206" t="s">
        <v>301</v>
      </c>
      <c r="B13" s="206" t="s">
        <v>284</v>
      </c>
      <c r="C13" s="207" t="s">
        <v>285</v>
      </c>
      <c r="D13" s="207" t="s">
        <v>302</v>
      </c>
    </row>
    <row r="14" spans="1:4" ht="25.5">
      <c r="A14" s="204" t="s">
        <v>303</v>
      </c>
      <c r="B14" s="204" t="s">
        <v>284</v>
      </c>
      <c r="C14" s="205" t="s">
        <v>285</v>
      </c>
      <c r="D14" s="205" t="s">
        <v>304</v>
      </c>
    </row>
    <row r="15" spans="1:4">
      <c r="A15" s="204" t="s">
        <v>295</v>
      </c>
      <c r="B15" s="204" t="s">
        <v>293</v>
      </c>
      <c r="C15" s="205" t="s">
        <v>296</v>
      </c>
      <c r="D15" s="208"/>
    </row>
    <row r="16" spans="1:4" ht="25.5">
      <c r="A16" s="204" t="s">
        <v>305</v>
      </c>
      <c r="B16" s="204" t="s">
        <v>293</v>
      </c>
      <c r="C16" s="205" t="s">
        <v>285</v>
      </c>
      <c r="D16" s="205" t="s">
        <v>306</v>
      </c>
    </row>
    <row r="17" spans="1:4" ht="25.5">
      <c r="A17" s="204" t="s">
        <v>307</v>
      </c>
      <c r="B17" s="204" t="s">
        <v>284</v>
      </c>
      <c r="C17" s="205" t="s">
        <v>285</v>
      </c>
      <c r="D17" s="208" t="s">
        <v>308</v>
      </c>
    </row>
    <row r="18" spans="1:4" ht="25.5">
      <c r="A18" s="204" t="s">
        <v>309</v>
      </c>
      <c r="B18" s="204" t="s">
        <v>284</v>
      </c>
      <c r="C18" s="205" t="s">
        <v>285</v>
      </c>
      <c r="D18" s="208" t="s">
        <v>310</v>
      </c>
    </row>
    <row r="19" spans="1:4" ht="25.5">
      <c r="A19" s="204" t="s">
        <v>311</v>
      </c>
      <c r="B19" s="204" t="s">
        <v>293</v>
      </c>
      <c r="C19" s="205" t="s">
        <v>285</v>
      </c>
      <c r="D19" s="208" t="s">
        <v>304</v>
      </c>
    </row>
    <row r="20" spans="1:4" ht="25.5">
      <c r="A20" s="204" t="s">
        <v>312</v>
      </c>
      <c r="B20" s="204" t="s">
        <v>284</v>
      </c>
      <c r="C20" s="205" t="s">
        <v>285</v>
      </c>
      <c r="D20" s="208" t="s">
        <v>310</v>
      </c>
    </row>
    <row r="21" spans="1:4">
      <c r="A21" s="204" t="s">
        <v>313</v>
      </c>
      <c r="B21" s="204" t="s">
        <v>314</v>
      </c>
      <c r="C21" s="205" t="s">
        <v>315</v>
      </c>
      <c r="D21" s="208"/>
    </row>
    <row r="22" spans="1:4" ht="25.5">
      <c r="A22" s="204" t="s">
        <v>313</v>
      </c>
      <c r="B22" s="204" t="s">
        <v>293</v>
      </c>
      <c r="C22" s="205" t="s">
        <v>285</v>
      </c>
      <c r="D22" s="208" t="s">
        <v>308</v>
      </c>
    </row>
    <row r="23" spans="1:4" ht="25.5">
      <c r="A23" s="204" t="s">
        <v>316</v>
      </c>
      <c r="B23" s="204" t="s">
        <v>284</v>
      </c>
      <c r="C23" s="205" t="s">
        <v>285</v>
      </c>
      <c r="D23" s="208" t="s">
        <v>317</v>
      </c>
    </row>
    <row r="24" spans="1:4" ht="25.5">
      <c r="A24" s="204" t="s">
        <v>318</v>
      </c>
      <c r="B24" s="204" t="s">
        <v>284</v>
      </c>
      <c r="C24" s="205" t="s">
        <v>285</v>
      </c>
      <c r="D24" s="208" t="s">
        <v>319</v>
      </c>
    </row>
    <row r="25" spans="1:4" ht="38.25">
      <c r="A25" s="204" t="s">
        <v>320</v>
      </c>
      <c r="B25" s="204" t="s">
        <v>284</v>
      </c>
      <c r="C25" s="205" t="s">
        <v>285</v>
      </c>
      <c r="D25" s="208" t="s">
        <v>321</v>
      </c>
    </row>
    <row r="26" spans="1:4" ht="25.5">
      <c r="A26" s="204" t="s">
        <v>322</v>
      </c>
      <c r="B26" s="204" t="s">
        <v>284</v>
      </c>
      <c r="C26" s="205" t="s">
        <v>285</v>
      </c>
      <c r="D26" s="208" t="s">
        <v>317</v>
      </c>
    </row>
    <row r="27" spans="1:4" ht="25.5">
      <c r="A27" s="204" t="s">
        <v>323</v>
      </c>
      <c r="B27" s="204" t="s">
        <v>293</v>
      </c>
      <c r="C27" s="205" t="s">
        <v>285</v>
      </c>
      <c r="D27" s="208" t="s">
        <v>324</v>
      </c>
    </row>
    <row r="28" spans="1:4" ht="25.5">
      <c r="A28" s="204" t="s">
        <v>325</v>
      </c>
      <c r="B28" s="204" t="s">
        <v>293</v>
      </c>
      <c r="C28" s="205" t="s">
        <v>285</v>
      </c>
      <c r="D28" s="208" t="s">
        <v>308</v>
      </c>
    </row>
    <row r="29" spans="1:4" ht="25.5">
      <c r="A29" s="204" t="s">
        <v>326</v>
      </c>
      <c r="B29" s="204" t="s">
        <v>284</v>
      </c>
      <c r="C29" s="205" t="s">
        <v>285</v>
      </c>
      <c r="D29" s="208" t="s">
        <v>308</v>
      </c>
    </row>
    <row r="30" spans="1:4" ht="25.5">
      <c r="A30" s="204" t="s">
        <v>327</v>
      </c>
      <c r="B30" s="204" t="s">
        <v>293</v>
      </c>
      <c r="C30" s="205" t="s">
        <v>285</v>
      </c>
      <c r="D30" s="208" t="s">
        <v>308</v>
      </c>
    </row>
    <row r="31" spans="1:4">
      <c r="A31" s="227" t="s">
        <v>275</v>
      </c>
      <c r="B31" s="227" t="s">
        <v>276</v>
      </c>
      <c r="C31" s="227" t="s">
        <v>277</v>
      </c>
      <c r="D31" s="227" t="s">
        <v>278</v>
      </c>
    </row>
    <row r="32" spans="1:4">
      <c r="A32" s="227"/>
      <c r="B32" s="227"/>
      <c r="C32" s="227"/>
      <c r="D32" s="227" t="s">
        <v>279</v>
      </c>
    </row>
    <row r="33" spans="1:4">
      <c r="A33" s="227" t="s">
        <v>328</v>
      </c>
      <c r="B33" s="227"/>
      <c r="C33" s="227"/>
      <c r="D33" s="227"/>
    </row>
    <row r="34" spans="1:4" ht="25.5">
      <c r="A34" s="204" t="s">
        <v>281</v>
      </c>
      <c r="B34" s="204"/>
      <c r="C34" s="205" t="s">
        <v>329</v>
      </c>
      <c r="D34" s="208"/>
    </row>
    <row r="35" spans="1:4" ht="25.5">
      <c r="A35" s="204" t="s">
        <v>330</v>
      </c>
      <c r="B35" s="204" t="s">
        <v>293</v>
      </c>
      <c r="C35" s="205" t="s">
        <v>285</v>
      </c>
      <c r="D35" s="208" t="s">
        <v>331</v>
      </c>
    </row>
    <row r="36" spans="1:4" ht="25.5">
      <c r="A36" s="204" t="s">
        <v>332</v>
      </c>
      <c r="B36" s="204" t="s">
        <v>293</v>
      </c>
      <c r="C36" s="205" t="s">
        <v>285</v>
      </c>
      <c r="D36" s="208" t="s">
        <v>333</v>
      </c>
    </row>
    <row r="37" spans="1:4" ht="38.25">
      <c r="A37" s="204" t="s">
        <v>334</v>
      </c>
      <c r="B37" s="204" t="s">
        <v>284</v>
      </c>
      <c r="C37" s="205" t="s">
        <v>285</v>
      </c>
      <c r="D37" s="208" t="s">
        <v>335</v>
      </c>
    </row>
    <row r="38" spans="1:4" ht="25.5">
      <c r="A38" s="204" t="s">
        <v>305</v>
      </c>
      <c r="B38" s="204" t="s">
        <v>293</v>
      </c>
      <c r="C38" s="205" t="s">
        <v>285</v>
      </c>
      <c r="D38" s="205" t="s">
        <v>306</v>
      </c>
    </row>
    <row r="39" spans="1:4" ht="25.5">
      <c r="A39" s="204" t="s">
        <v>272</v>
      </c>
      <c r="B39" s="204" t="s">
        <v>293</v>
      </c>
      <c r="C39" s="205" t="s">
        <v>285</v>
      </c>
      <c r="D39" s="205" t="s">
        <v>331</v>
      </c>
    </row>
    <row r="40" spans="1:4" ht="25.5">
      <c r="A40" s="204" t="s">
        <v>336</v>
      </c>
      <c r="B40" s="204" t="s">
        <v>293</v>
      </c>
      <c r="C40" s="205" t="s">
        <v>285</v>
      </c>
      <c r="D40" s="205" t="s">
        <v>337</v>
      </c>
    </row>
    <row r="41" spans="1:4" ht="25.5">
      <c r="A41" s="204" t="s">
        <v>338</v>
      </c>
      <c r="B41" s="204" t="s">
        <v>293</v>
      </c>
      <c r="C41" s="205" t="s">
        <v>285</v>
      </c>
      <c r="D41" s="205" t="s">
        <v>339</v>
      </c>
    </row>
    <row r="42" spans="1:4">
      <c r="A42" s="204" t="s">
        <v>340</v>
      </c>
      <c r="B42" s="204" t="s">
        <v>284</v>
      </c>
      <c r="C42" s="205" t="s">
        <v>285</v>
      </c>
      <c r="D42" s="208" t="s">
        <v>300</v>
      </c>
    </row>
    <row r="43" spans="1:4" ht="25.5">
      <c r="A43" s="204" t="s">
        <v>341</v>
      </c>
      <c r="B43" s="204" t="s">
        <v>284</v>
      </c>
      <c r="C43" s="205" t="s">
        <v>285</v>
      </c>
      <c r="D43" s="208" t="s">
        <v>308</v>
      </c>
    </row>
    <row r="44" spans="1:4" ht="25.5">
      <c r="A44" s="204" t="s">
        <v>342</v>
      </c>
      <c r="B44" s="204" t="s">
        <v>293</v>
      </c>
      <c r="C44" s="205" t="s">
        <v>285</v>
      </c>
      <c r="D44" s="208" t="s">
        <v>343</v>
      </c>
    </row>
    <row r="45" spans="1:4" ht="25.5">
      <c r="A45" s="204" t="s">
        <v>344</v>
      </c>
      <c r="B45" s="204" t="s">
        <v>293</v>
      </c>
      <c r="C45" s="205" t="s">
        <v>285</v>
      </c>
      <c r="D45" s="208" t="s">
        <v>345</v>
      </c>
    </row>
    <row r="46" spans="1:4" ht="25.5">
      <c r="A46" s="204" t="s">
        <v>346</v>
      </c>
      <c r="B46" s="204" t="s">
        <v>293</v>
      </c>
      <c r="C46" s="205" t="s">
        <v>285</v>
      </c>
      <c r="D46" s="205" t="s">
        <v>347</v>
      </c>
    </row>
    <row r="47" spans="1:4" ht="25.5">
      <c r="A47" s="204" t="s">
        <v>348</v>
      </c>
      <c r="B47" s="204" t="s">
        <v>293</v>
      </c>
      <c r="C47" s="205" t="s">
        <v>285</v>
      </c>
      <c r="D47" s="208" t="s">
        <v>308</v>
      </c>
    </row>
    <row r="48" spans="1:4">
      <c r="A48" s="204" t="s">
        <v>349</v>
      </c>
      <c r="B48" s="204" t="s">
        <v>284</v>
      </c>
      <c r="C48" s="205" t="s">
        <v>285</v>
      </c>
      <c r="D48" s="208" t="s">
        <v>300</v>
      </c>
    </row>
    <row r="49" spans="1:4" ht="25.5">
      <c r="A49" s="204" t="s">
        <v>350</v>
      </c>
      <c r="B49" s="204" t="s">
        <v>284</v>
      </c>
      <c r="C49" s="205" t="s">
        <v>285</v>
      </c>
      <c r="D49" s="208" t="s">
        <v>306</v>
      </c>
    </row>
    <row r="50" spans="1:4" ht="38.25">
      <c r="A50" s="204" t="s">
        <v>351</v>
      </c>
      <c r="B50" s="204" t="s">
        <v>293</v>
      </c>
      <c r="C50" s="205" t="s">
        <v>285</v>
      </c>
      <c r="D50" s="208" t="s">
        <v>352</v>
      </c>
    </row>
    <row r="51" spans="1:4">
      <c r="A51" s="227" t="s">
        <v>275</v>
      </c>
      <c r="B51" s="227" t="s">
        <v>276</v>
      </c>
      <c r="C51" s="227" t="s">
        <v>277</v>
      </c>
      <c r="D51" s="227" t="s">
        <v>278</v>
      </c>
    </row>
    <row r="52" spans="1:4">
      <c r="A52" s="227"/>
      <c r="B52" s="227"/>
      <c r="C52" s="227"/>
      <c r="D52" s="227" t="s">
        <v>279</v>
      </c>
    </row>
    <row r="53" spans="1:4">
      <c r="A53" s="227" t="s">
        <v>353</v>
      </c>
      <c r="B53" s="227"/>
      <c r="C53" s="227"/>
      <c r="D53" s="227"/>
    </row>
    <row r="54" spans="1:4" ht="38.25">
      <c r="A54" s="204" t="s">
        <v>281</v>
      </c>
      <c r="B54" s="204"/>
      <c r="C54" s="205" t="s">
        <v>354</v>
      </c>
      <c r="D54" s="205"/>
    </row>
    <row r="55" spans="1:4" ht="25.5">
      <c r="A55" s="204" t="s">
        <v>355</v>
      </c>
      <c r="B55" s="204" t="s">
        <v>293</v>
      </c>
      <c r="C55" s="205" t="s">
        <v>356</v>
      </c>
      <c r="D55" s="208" t="s">
        <v>357</v>
      </c>
    </row>
    <row r="56" spans="1:4" ht="25.5">
      <c r="A56" s="204" t="s">
        <v>358</v>
      </c>
      <c r="B56" s="204" t="s">
        <v>293</v>
      </c>
      <c r="C56" s="205" t="s">
        <v>285</v>
      </c>
      <c r="D56" s="208" t="s">
        <v>359</v>
      </c>
    </row>
    <row r="57" spans="1:4">
      <c r="A57" s="204" t="s">
        <v>360</v>
      </c>
      <c r="B57" s="204" t="s">
        <v>293</v>
      </c>
      <c r="C57" s="205" t="s">
        <v>285</v>
      </c>
      <c r="D57" s="208" t="s">
        <v>361</v>
      </c>
    </row>
    <row r="58" spans="1:4">
      <c r="A58" s="204" t="s">
        <v>360</v>
      </c>
      <c r="B58" s="204" t="s">
        <v>293</v>
      </c>
      <c r="C58" s="205" t="s">
        <v>362</v>
      </c>
      <c r="D58" s="208"/>
    </row>
    <row r="59" spans="1:4">
      <c r="A59" s="204" t="s">
        <v>363</v>
      </c>
      <c r="B59" s="204" t="s">
        <v>293</v>
      </c>
      <c r="C59" s="205" t="s">
        <v>285</v>
      </c>
      <c r="D59" s="208" t="s">
        <v>361</v>
      </c>
    </row>
    <row r="60" spans="1:4" ht="25.5">
      <c r="A60" s="204" t="s">
        <v>364</v>
      </c>
      <c r="B60" s="204" t="s">
        <v>293</v>
      </c>
      <c r="C60" s="205" t="s">
        <v>285</v>
      </c>
      <c r="D60" s="208" t="s">
        <v>308</v>
      </c>
    </row>
    <row r="61" spans="1:4">
      <c r="A61" s="204" t="s">
        <v>365</v>
      </c>
      <c r="B61" s="204" t="s">
        <v>293</v>
      </c>
      <c r="C61" s="205" t="s">
        <v>285</v>
      </c>
      <c r="D61" s="208" t="s">
        <v>361</v>
      </c>
    </row>
    <row r="62" spans="1:4">
      <c r="A62" s="204" t="s">
        <v>365</v>
      </c>
      <c r="B62" s="204" t="s">
        <v>293</v>
      </c>
      <c r="C62" s="205" t="s">
        <v>362</v>
      </c>
      <c r="D62" s="208"/>
    </row>
    <row r="63" spans="1:4" ht="25.5">
      <c r="A63" s="204" t="s">
        <v>366</v>
      </c>
      <c r="B63" s="204" t="s">
        <v>293</v>
      </c>
      <c r="C63" s="205" t="s">
        <v>285</v>
      </c>
      <c r="D63" s="208" t="s">
        <v>367</v>
      </c>
    </row>
    <row r="64" spans="1:4">
      <c r="A64" s="204" t="s">
        <v>366</v>
      </c>
      <c r="B64" s="204" t="s">
        <v>293</v>
      </c>
      <c r="C64" s="205" t="s">
        <v>362</v>
      </c>
      <c r="D64" s="208"/>
    </row>
    <row r="65" spans="1:4" ht="25.5">
      <c r="A65" s="204" t="s">
        <v>368</v>
      </c>
      <c r="B65" s="204" t="s">
        <v>293</v>
      </c>
      <c r="C65" s="205" t="s">
        <v>285</v>
      </c>
      <c r="D65" s="208" t="s">
        <v>369</v>
      </c>
    </row>
    <row r="66" spans="1:4" ht="25.5">
      <c r="A66" s="204" t="s">
        <v>368</v>
      </c>
      <c r="B66" s="204" t="s">
        <v>293</v>
      </c>
      <c r="C66" s="205" t="s">
        <v>362</v>
      </c>
      <c r="D66" s="208"/>
    </row>
    <row r="67" spans="1:4" ht="25.5">
      <c r="A67" s="204" t="s">
        <v>370</v>
      </c>
      <c r="B67" s="204" t="s">
        <v>293</v>
      </c>
      <c r="C67" s="205" t="s">
        <v>285</v>
      </c>
      <c r="D67" s="208" t="s">
        <v>371</v>
      </c>
    </row>
    <row r="68" spans="1:4" ht="25.5">
      <c r="A68" s="204" t="s">
        <v>372</v>
      </c>
      <c r="B68" s="204" t="s">
        <v>293</v>
      </c>
      <c r="C68" s="205" t="s">
        <v>285</v>
      </c>
      <c r="D68" s="208" t="s">
        <v>319</v>
      </c>
    </row>
    <row r="69" spans="1:4">
      <c r="A69" s="204" t="s">
        <v>372</v>
      </c>
      <c r="B69" s="204" t="s">
        <v>293</v>
      </c>
      <c r="C69" s="205" t="s">
        <v>362</v>
      </c>
      <c r="D69" s="208"/>
    </row>
    <row r="70" spans="1:4" ht="25.5">
      <c r="A70" s="204" t="s">
        <v>373</v>
      </c>
      <c r="B70" s="204" t="s">
        <v>293</v>
      </c>
      <c r="C70" s="205" t="s">
        <v>374</v>
      </c>
      <c r="D70" s="208" t="s">
        <v>333</v>
      </c>
    </row>
    <row r="71" spans="1:4">
      <c r="A71" s="204" t="s">
        <v>373</v>
      </c>
      <c r="B71" s="204" t="s">
        <v>293</v>
      </c>
      <c r="C71" s="205" t="s">
        <v>362</v>
      </c>
      <c r="D71" s="208"/>
    </row>
    <row r="72" spans="1:4">
      <c r="A72" s="227" t="s">
        <v>275</v>
      </c>
      <c r="B72" s="227" t="s">
        <v>276</v>
      </c>
      <c r="C72" s="227" t="s">
        <v>277</v>
      </c>
      <c r="D72" s="227" t="s">
        <v>278</v>
      </c>
    </row>
    <row r="73" spans="1:4">
      <c r="A73" s="227"/>
      <c r="B73" s="227"/>
      <c r="C73" s="227"/>
      <c r="D73" s="227" t="s">
        <v>279</v>
      </c>
    </row>
    <row r="74" spans="1:4">
      <c r="A74" s="227" t="s">
        <v>375</v>
      </c>
      <c r="B74" s="227"/>
      <c r="C74" s="227"/>
      <c r="D74" s="227"/>
    </row>
    <row r="75" spans="1:4" ht="25.5">
      <c r="A75" s="204" t="s">
        <v>281</v>
      </c>
      <c r="B75" s="204"/>
      <c r="C75" s="205" t="s">
        <v>376</v>
      </c>
      <c r="D75" s="205"/>
    </row>
    <row r="76" spans="1:4">
      <c r="A76" s="227" t="s">
        <v>377</v>
      </c>
      <c r="B76" s="227"/>
      <c r="C76" s="227"/>
      <c r="D76" s="227"/>
    </row>
    <row r="77" spans="1:4" ht="25.5">
      <c r="A77" s="204" t="s">
        <v>378</v>
      </c>
      <c r="B77" s="204" t="s">
        <v>293</v>
      </c>
      <c r="C77" s="205" t="s">
        <v>379</v>
      </c>
      <c r="D77" s="208" t="s">
        <v>380</v>
      </c>
    </row>
    <row r="78" spans="1:4" ht="25.5">
      <c r="A78" s="204" t="s">
        <v>381</v>
      </c>
      <c r="B78" s="204" t="s">
        <v>293</v>
      </c>
      <c r="C78" s="205" t="s">
        <v>379</v>
      </c>
      <c r="D78" s="208" t="s">
        <v>380</v>
      </c>
    </row>
    <row r="79" spans="1:4" ht="25.5">
      <c r="A79" s="204" t="s">
        <v>382</v>
      </c>
      <c r="B79" s="204" t="s">
        <v>293</v>
      </c>
      <c r="C79" s="205" t="s">
        <v>379</v>
      </c>
      <c r="D79" s="208" t="s">
        <v>383</v>
      </c>
    </row>
    <row r="80" spans="1:4" ht="25.5">
      <c r="A80" s="204" t="s">
        <v>384</v>
      </c>
      <c r="B80" s="204" t="s">
        <v>293</v>
      </c>
      <c r="C80" s="205" t="s">
        <v>379</v>
      </c>
      <c r="D80" s="208" t="s">
        <v>385</v>
      </c>
    </row>
    <row r="81" spans="1:4" ht="25.5">
      <c r="A81" s="204" t="s">
        <v>423</v>
      </c>
      <c r="B81" s="204" t="s">
        <v>293</v>
      </c>
      <c r="C81" s="205" t="s">
        <v>379</v>
      </c>
      <c r="D81" s="208" t="s">
        <v>385</v>
      </c>
    </row>
    <row r="82" spans="1:4">
      <c r="A82" s="227" t="s">
        <v>273</v>
      </c>
      <c r="B82" s="227"/>
      <c r="C82" s="227"/>
      <c r="D82" s="227"/>
    </row>
    <row r="83" spans="1:4" ht="25.5">
      <c r="A83" s="204" t="s">
        <v>378</v>
      </c>
      <c r="B83" s="204" t="s">
        <v>293</v>
      </c>
      <c r="C83" s="205" t="s">
        <v>379</v>
      </c>
      <c r="D83" s="208" t="s">
        <v>380</v>
      </c>
    </row>
    <row r="84" spans="1:4" ht="25.5">
      <c r="A84" s="204" t="s">
        <v>381</v>
      </c>
      <c r="B84" s="204" t="s">
        <v>293</v>
      </c>
      <c r="C84" s="205" t="s">
        <v>379</v>
      </c>
      <c r="D84" s="208" t="s">
        <v>380</v>
      </c>
    </row>
    <row r="85" spans="1:4" ht="25.5">
      <c r="A85" s="204" t="s">
        <v>382</v>
      </c>
      <c r="B85" s="204" t="s">
        <v>293</v>
      </c>
      <c r="C85" s="205" t="s">
        <v>379</v>
      </c>
      <c r="D85" s="208" t="s">
        <v>383</v>
      </c>
    </row>
    <row r="86" spans="1:4" ht="25.5">
      <c r="A86" s="204" t="s">
        <v>384</v>
      </c>
      <c r="B86" s="204" t="s">
        <v>293</v>
      </c>
      <c r="C86" s="205" t="s">
        <v>379</v>
      </c>
      <c r="D86" s="208" t="s">
        <v>385</v>
      </c>
    </row>
    <row r="87" spans="1:4" ht="25.5">
      <c r="A87" s="204" t="s">
        <v>423</v>
      </c>
      <c r="B87" s="204" t="s">
        <v>293</v>
      </c>
      <c r="C87" s="205" t="s">
        <v>379</v>
      </c>
      <c r="D87" s="208" t="s">
        <v>385</v>
      </c>
    </row>
    <row r="88" spans="1:4">
      <c r="A88" s="227" t="s">
        <v>38</v>
      </c>
      <c r="B88" s="227"/>
      <c r="C88" s="227"/>
      <c r="D88" s="227"/>
    </row>
    <row r="89" spans="1:4" ht="25.5">
      <c r="A89" s="204" t="s">
        <v>378</v>
      </c>
      <c r="B89" s="204" t="s">
        <v>293</v>
      </c>
      <c r="C89" s="205" t="s">
        <v>386</v>
      </c>
      <c r="D89" s="208" t="s">
        <v>380</v>
      </c>
    </row>
    <row r="90" spans="1:4" ht="25.5">
      <c r="A90" s="204" t="s">
        <v>381</v>
      </c>
      <c r="B90" s="204" t="s">
        <v>293</v>
      </c>
      <c r="C90" s="205" t="s">
        <v>386</v>
      </c>
      <c r="D90" s="208" t="s">
        <v>380</v>
      </c>
    </row>
    <row r="91" spans="1:4" ht="25.5">
      <c r="A91" s="204" t="s">
        <v>382</v>
      </c>
      <c r="B91" s="204" t="s">
        <v>293</v>
      </c>
      <c r="C91" s="205" t="s">
        <v>386</v>
      </c>
      <c r="D91" s="208" t="s">
        <v>383</v>
      </c>
    </row>
  </sheetData>
  <mergeCells count="1">
    <mergeCell ref="A1:D1"/>
  </mergeCells>
  <pageMargins left="0.7" right="0.7" top="0.75" bottom="0.75" header="0.3" footer="0.3"/>
  <pageSetup paperSize="9" scale="55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D3504-885E-4AC4-A673-64420890FEDE}">
  <sheetPr>
    <tabColor theme="0" tint="-0.14999847407452621"/>
    <pageSetUpPr fitToPage="1"/>
  </sheetPr>
  <dimension ref="A1:I28"/>
  <sheetViews>
    <sheetView view="pageBreakPreview" zoomScaleNormal="100" zoomScaleSheetLayoutView="100" workbookViewId="0">
      <selection activeCell="C10" sqref="C10"/>
    </sheetView>
  </sheetViews>
  <sheetFormatPr defaultColWidth="9.140625" defaultRowHeight="11.25"/>
  <cols>
    <col min="1" max="1" width="9.7109375" style="4" customWidth="1"/>
    <col min="2" max="2" width="42" style="4" customWidth="1"/>
    <col min="3" max="3" width="14.85546875" style="21" customWidth="1"/>
    <col min="4" max="4" width="41.85546875" style="4" customWidth="1"/>
    <col min="5" max="5" width="17.7109375" style="4" bestFit="1" customWidth="1"/>
    <col min="6" max="6" width="17.7109375" style="161" bestFit="1" customWidth="1"/>
    <col min="7" max="7" width="18" style="4" customWidth="1"/>
    <col min="8" max="8" width="19.7109375" style="4" customWidth="1"/>
    <col min="9" max="9" width="33.42578125" style="4" customWidth="1"/>
    <col min="10" max="16384" width="9.140625" style="4"/>
  </cols>
  <sheetData>
    <row r="1" spans="1:9" s="292" customFormat="1" ht="26.25" customHeight="1">
      <c r="A1" s="319" t="s">
        <v>925</v>
      </c>
      <c r="B1" s="319"/>
      <c r="C1" s="319"/>
      <c r="D1" s="319"/>
      <c r="E1" s="319"/>
      <c r="F1" s="319"/>
      <c r="G1" s="319"/>
      <c r="H1" s="319"/>
    </row>
    <row r="2" spans="1:9" s="292" customFormat="1" ht="15" customHeight="1">
      <c r="A2" s="358" t="s">
        <v>432</v>
      </c>
      <c r="B2" s="321"/>
      <c r="C2" s="321"/>
      <c r="D2" s="321"/>
      <c r="E2" s="321"/>
      <c r="F2" s="321"/>
      <c r="G2" s="321"/>
      <c r="H2" s="321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162"/>
      <c r="G4" s="36"/>
    </row>
    <row r="5" spans="1:9" ht="15" customHeight="1">
      <c r="A5" s="4" t="s">
        <v>247</v>
      </c>
      <c r="B5" s="35"/>
      <c r="C5" s="35"/>
      <c r="D5" s="35"/>
      <c r="E5" s="35"/>
      <c r="F5" s="162"/>
      <c r="G5" s="36"/>
    </row>
    <row r="6" spans="1:9" ht="15" customHeight="1">
      <c r="A6" s="4" t="s">
        <v>240</v>
      </c>
      <c r="B6" s="38"/>
      <c r="C6" s="39"/>
      <c r="D6" s="39"/>
      <c r="E6" s="39"/>
      <c r="F6" s="163"/>
    </row>
    <row r="7" spans="1:9" ht="15" customHeight="1">
      <c r="B7" s="38"/>
      <c r="C7" s="38"/>
      <c r="D7" s="34"/>
      <c r="E7" s="359" t="s">
        <v>404</v>
      </c>
      <c r="F7" s="359"/>
      <c r="G7" s="359"/>
      <c r="H7" s="359"/>
      <c r="I7" s="359"/>
    </row>
    <row r="8" spans="1:9" s="8" customFormat="1" ht="26.25" customHeight="1">
      <c r="A8" s="51" t="s">
        <v>213</v>
      </c>
      <c r="B8" s="52" t="s">
        <v>160</v>
      </c>
      <c r="C8" s="53" t="s">
        <v>152</v>
      </c>
      <c r="D8" s="51" t="s">
        <v>929</v>
      </c>
      <c r="E8" s="51" t="s">
        <v>433</v>
      </c>
      <c r="F8" s="51" t="s">
        <v>434</v>
      </c>
      <c r="G8" s="51" t="s">
        <v>435</v>
      </c>
      <c r="H8" s="51" t="s">
        <v>436</v>
      </c>
      <c r="I8" s="51" t="s">
        <v>926</v>
      </c>
    </row>
    <row r="9" spans="1:9" ht="15" customHeight="1">
      <c r="A9" s="54">
        <v>1</v>
      </c>
      <c r="B9" s="55" t="s">
        <v>927</v>
      </c>
      <c r="C9" s="56">
        <v>0</v>
      </c>
      <c r="D9" s="299" t="s">
        <v>932</v>
      </c>
      <c r="E9" s="228" t="e">
        <f>(Invulextraw[[#This Row],[Prijs]]*Tariefsopbouw!$I$37)+Invulextraw[[#This Row],[Prijs]]</f>
        <v>#DIV/0!</v>
      </c>
      <c r="F9" s="230" t="e">
        <f>E9*Tariefsopbouw!$K$37+E9</f>
        <v>#DIV/0!</v>
      </c>
      <c r="G9" s="230" t="e">
        <f>F9*Tariefsopbouw!$M$37+F9</f>
        <v>#DIV/0!</v>
      </c>
      <c r="H9" s="230" t="e">
        <f>G9*Tariefsopbouw!$O$37+Invulextraw[[#This Row],[2025]]</f>
        <v>#DIV/0!</v>
      </c>
      <c r="I9" s="230" t="e">
        <f>H9*Tariefsopbouw!$Q$37+Invulextraw[[#This Row],[2026]]</f>
        <v>#DIV/0!</v>
      </c>
    </row>
    <row r="10" spans="1:9" ht="15" customHeight="1">
      <c r="A10" s="57">
        <v>2</v>
      </c>
      <c r="B10" s="58" t="s">
        <v>933</v>
      </c>
      <c r="C10" s="56">
        <v>0</v>
      </c>
      <c r="D10" s="300" t="s">
        <v>932</v>
      </c>
      <c r="E10" s="229" t="e">
        <f>(Invulextraw[[#This Row],[Prijs]]*Tariefsopbouw!$I$37)+Invulextraw[[#This Row],[Prijs]]</f>
        <v>#DIV/0!</v>
      </c>
      <c r="F10" s="229" t="e">
        <f>E10*Tariefsopbouw!$K$37+E10</f>
        <v>#DIV/0!</v>
      </c>
      <c r="G10" s="229" t="e">
        <f>F10*Tariefsopbouw!$M$37+F10</f>
        <v>#DIV/0!</v>
      </c>
      <c r="H10" s="229" t="e">
        <f>G10*Tariefsopbouw!$O$37+Invulextraw[[#This Row],[2025]]</f>
        <v>#DIV/0!</v>
      </c>
      <c r="I10" s="229" t="e">
        <f>H10*Tariefsopbouw!$Q$37+Invulextraw[[#This Row],[2026]]</f>
        <v>#DIV/0!</v>
      </c>
    </row>
    <row r="11" spans="1:9" ht="15" customHeight="1">
      <c r="B11" s="21"/>
      <c r="E11" s="40"/>
      <c r="F11" s="164"/>
      <c r="G11" s="40"/>
      <c r="H11" s="40"/>
    </row>
    <row r="12" spans="1:9" s="33" customFormat="1" ht="26.25" customHeight="1">
      <c r="A12" s="51" t="s">
        <v>212</v>
      </c>
      <c r="B12" s="52" t="s">
        <v>145</v>
      </c>
      <c r="C12" s="51" t="s">
        <v>213</v>
      </c>
      <c r="D12" s="62" t="s">
        <v>252</v>
      </c>
      <c r="E12" s="62" t="s">
        <v>934</v>
      </c>
      <c r="F12" s="62" t="s">
        <v>935</v>
      </c>
      <c r="G12" s="62" t="s">
        <v>168</v>
      </c>
      <c r="H12" s="63" t="s">
        <v>147</v>
      </c>
      <c r="I12" s="62" t="s">
        <v>424</v>
      </c>
    </row>
    <row r="13" spans="1:9" ht="15" customHeight="1">
      <c r="A13" s="54">
        <v>1</v>
      </c>
      <c r="B13" s="59" t="str">
        <f>VLOOKUP(Overzichtextraw[[#This Row],[Code Locatie]],Locaties[],2,0)</f>
        <v>PXC Aalderinkshoek</v>
      </c>
      <c r="C13" s="54">
        <v>1</v>
      </c>
      <c r="D13" s="64" t="str">
        <f>IF(Overzichtextraw[[#This Row],[Code Taak]]&gt;0,VLOOKUP(Overzichtextraw[[#This Row],[Code Taak]],$A$8:$B$10,2,FALSE),"")</f>
        <v>Gladheidbestrijding</v>
      </c>
      <c r="E13" s="295">
        <f t="shared" ref="E13:E24" si="0">$C$10</f>
        <v>0</v>
      </c>
      <c r="F13" s="298">
        <v>1500</v>
      </c>
      <c r="G13" s="67">
        <v>7</v>
      </c>
      <c r="H13" s="66">
        <f>Overzichtextraw[[#This Row],[Prijs per m2]]*Overzichtextraw[[#This Row],[M2]]*Overzichtextraw[[#This Row],[Frequentie (uitv./jaar)]]</f>
        <v>0</v>
      </c>
      <c r="I13" s="54"/>
    </row>
    <row r="14" spans="1:9" ht="15" customHeight="1">
      <c r="A14" s="57">
        <v>1</v>
      </c>
      <c r="B14" s="61" t="str">
        <f>VLOOKUP(Overzichtextraw[[#This Row],[Code Locatie]],Locaties[],2,0)</f>
        <v>PXC Aalderinkshoek</v>
      </c>
      <c r="C14" s="57">
        <v>2</v>
      </c>
      <c r="D14" s="68" t="str">
        <f>IF(Overzichtextraw[[#This Row],[Code Taak]]&gt;0,VLOOKUP(Overzichtextraw[[#This Row],[Code Taak]],$A$8:$B$10,2,FALSE),"")</f>
        <v>Sneeuwruimen incl gladheidbestrijding</v>
      </c>
      <c r="E14" s="296">
        <f t="shared" si="0"/>
        <v>0</v>
      </c>
      <c r="F14" s="298">
        <v>1500</v>
      </c>
      <c r="G14" s="71">
        <v>3</v>
      </c>
      <c r="H14" s="70">
        <f>Overzichtextraw[[#This Row],[Prijs per m2]]*Overzichtextraw[[#This Row],[M2]]*Overzichtextraw[[#This Row],[Frequentie (uitv./jaar)]]</f>
        <v>0</v>
      </c>
      <c r="I14" s="68"/>
    </row>
    <row r="15" spans="1:9" ht="33.75">
      <c r="A15" s="54">
        <v>2</v>
      </c>
      <c r="B15" s="59" t="str">
        <f>VLOOKUP(Overzichtextraw[[#This Row],[Code Locatie]],Locaties[],2,0)</f>
        <v>Stichting Facilitair Beheer Van Renneslaan</v>
      </c>
      <c r="C15" s="54">
        <v>1</v>
      </c>
      <c r="D15" s="64" t="str">
        <f>IF(Overzichtextraw[[#This Row],[Code Taak]]&gt;0,VLOOKUP(Overzichtextraw[[#This Row],[Code Taak]],$A$8:$B$10,2,FALSE),"")</f>
        <v>Gladheidbestrijding</v>
      </c>
      <c r="E15" s="295">
        <f t="shared" si="0"/>
        <v>0</v>
      </c>
      <c r="F15" s="298">
        <v>300</v>
      </c>
      <c r="G15" s="67">
        <v>7</v>
      </c>
      <c r="H15" s="66">
        <f>Overzichtextraw[[#This Row],[Prijs per m2]]*Overzichtextraw[[#This Row],[M2]]*Overzichtextraw[[#This Row],[Frequentie (uitv./jaar)]]</f>
        <v>0</v>
      </c>
      <c r="I15" s="301" t="s">
        <v>941</v>
      </c>
    </row>
    <row r="16" spans="1:9" ht="33.75">
      <c r="A16" s="57">
        <v>2</v>
      </c>
      <c r="B16" s="61" t="str">
        <f>VLOOKUP(Overzichtextraw[[#This Row],[Code Locatie]],Locaties[],2,0)</f>
        <v>Stichting Facilitair Beheer Van Renneslaan</v>
      </c>
      <c r="C16" s="57">
        <v>2</v>
      </c>
      <c r="D16" s="68" t="str">
        <f>IF(Overzichtextraw[[#This Row],[Code Taak]]&gt;0,VLOOKUP(Overzichtextraw[[#This Row],[Code Taak]],$A$8:$B$10,2,FALSE),"")</f>
        <v>Sneeuwruimen incl gladheidbestrijding</v>
      </c>
      <c r="E16" s="296">
        <f t="shared" si="0"/>
        <v>0</v>
      </c>
      <c r="F16" s="298">
        <v>300</v>
      </c>
      <c r="G16" s="71">
        <v>3</v>
      </c>
      <c r="H16" s="70">
        <f>Overzichtextraw[[#This Row],[Prijs per m2]]*Overzichtextraw[[#This Row],[M2]]*Overzichtextraw[[#This Row],[Frequentie (uitv./jaar)]]</f>
        <v>0</v>
      </c>
      <c r="I16" s="258" t="s">
        <v>941</v>
      </c>
    </row>
    <row r="17" spans="1:9" ht="15" customHeight="1">
      <c r="A17" s="54">
        <v>3</v>
      </c>
      <c r="B17" s="59" t="str">
        <f>VLOOKUP(Overzichtextraw[[#This Row],[Code Locatie]],Locaties[],2,0)</f>
        <v>Stafbureau</v>
      </c>
      <c r="C17" s="54">
        <v>1</v>
      </c>
      <c r="D17" s="64" t="str">
        <f>IF(Overzichtextraw[[#This Row],[Code Taak]]&gt;0,VLOOKUP(Overzichtextraw[[#This Row],[Code Taak]],$A$8:$B$10,2,FALSE),"")</f>
        <v>Gladheidbestrijding</v>
      </c>
      <c r="E17" s="295">
        <f t="shared" si="0"/>
        <v>0</v>
      </c>
      <c r="F17" s="298">
        <v>50</v>
      </c>
      <c r="G17" s="67">
        <v>7</v>
      </c>
      <c r="H17" s="66">
        <f>Overzichtextraw[[#This Row],[Prijs per m2]]*Overzichtextraw[[#This Row],[M2]]*Overzichtextraw[[#This Row],[Frequentie (uitv./jaar)]]</f>
        <v>0</v>
      </c>
      <c r="I17" s="54"/>
    </row>
    <row r="18" spans="1:9" ht="15" customHeight="1">
      <c r="A18" s="57">
        <v>3</v>
      </c>
      <c r="B18" s="61" t="str">
        <f>VLOOKUP(Overzichtextraw[[#This Row],[Code Locatie]],Locaties[],2,0)</f>
        <v>Stafbureau</v>
      </c>
      <c r="C18" s="57">
        <v>2</v>
      </c>
      <c r="D18" s="68" t="str">
        <f>IF(Overzichtextraw[[#This Row],[Code Taak]]&gt;0,VLOOKUP(Overzichtextraw[[#This Row],[Code Taak]],$A$8:$B$10,2,FALSE),"")</f>
        <v>Sneeuwruimen incl gladheidbestrijding</v>
      </c>
      <c r="E18" s="296">
        <f t="shared" si="0"/>
        <v>0</v>
      </c>
      <c r="F18" s="298">
        <v>50</v>
      </c>
      <c r="G18" s="71">
        <v>3</v>
      </c>
      <c r="H18" s="70">
        <f>Overzichtextraw[[#This Row],[Prijs per m2]]*Overzichtextraw[[#This Row],[M2]]*Overzichtextraw[[#This Row],[Frequentie (uitv./jaar)]]</f>
        <v>0</v>
      </c>
      <c r="I18" s="68"/>
    </row>
    <row r="19" spans="1:9" ht="15" customHeight="1">
      <c r="A19" s="54">
        <v>4</v>
      </c>
      <c r="B19" s="59" t="str">
        <f>VLOOKUP(Overzichtextraw[[#This Row],[Code Locatie]],Locaties[],2,0)</f>
        <v>PXC Rijssen</v>
      </c>
      <c r="C19" s="54">
        <v>1</v>
      </c>
      <c r="D19" s="64" t="str">
        <f>IF(Overzichtextraw[[#This Row],[Code Taak]]&gt;0,VLOOKUP(Overzichtextraw[[#This Row],[Code Taak]],$A$8:$B$10,2,FALSE),"")</f>
        <v>Gladheidbestrijding</v>
      </c>
      <c r="E19" s="295">
        <f t="shared" si="0"/>
        <v>0</v>
      </c>
      <c r="F19" s="298">
        <v>180</v>
      </c>
      <c r="G19" s="67">
        <v>7</v>
      </c>
      <c r="H19" s="66">
        <f>Overzichtextraw[[#This Row],[Prijs per m2]]*Overzichtextraw[[#This Row],[M2]]*Overzichtextraw[[#This Row],[Frequentie (uitv./jaar)]]</f>
        <v>0</v>
      </c>
      <c r="I19" s="54"/>
    </row>
    <row r="20" spans="1:9" ht="15" customHeight="1">
      <c r="A20" s="57">
        <v>4</v>
      </c>
      <c r="B20" s="61" t="str">
        <f>VLOOKUP(Overzichtextraw[[#This Row],[Code Locatie]],Locaties[],2,0)</f>
        <v>PXC Rijssen</v>
      </c>
      <c r="C20" s="57">
        <v>2</v>
      </c>
      <c r="D20" s="68" t="str">
        <f>IF(Overzichtextraw[[#This Row],[Code Taak]]&gt;0,VLOOKUP(Overzichtextraw[[#This Row],[Code Taak]],$A$8:$B$10,2,FALSE),"")</f>
        <v>Sneeuwruimen incl gladheidbestrijding</v>
      </c>
      <c r="E20" s="296">
        <f t="shared" si="0"/>
        <v>0</v>
      </c>
      <c r="F20" s="298">
        <v>180</v>
      </c>
      <c r="G20" s="71">
        <v>3</v>
      </c>
      <c r="H20" s="70">
        <f>Overzichtextraw[[#This Row],[Prijs per m2]]*Overzichtextraw[[#This Row],[M2]]*Overzichtextraw[[#This Row],[Frequentie (uitv./jaar)]]</f>
        <v>0</v>
      </c>
      <c r="I20" s="68"/>
    </row>
    <row r="21" spans="1:9" ht="15" customHeight="1">
      <c r="A21" s="54">
        <v>5</v>
      </c>
      <c r="B21" s="59" t="str">
        <f>VLOOKUP(Overzichtextraw[[#This Row],[Code Locatie]],Locaties[],2,0)</f>
        <v>SGC Almelo</v>
      </c>
      <c r="C21" s="54">
        <v>1</v>
      </c>
      <c r="D21" s="64" t="str">
        <f>IF(Overzichtextraw[[#This Row],[Code Taak]]&gt;0,VLOOKUP(Overzichtextraw[[#This Row],[Code Taak]],$A$8:$B$10,2,FALSE),"")</f>
        <v>Gladheidbestrijding</v>
      </c>
      <c r="E21" s="295">
        <f t="shared" si="0"/>
        <v>0</v>
      </c>
      <c r="F21" s="298">
        <v>650</v>
      </c>
      <c r="G21" s="67">
        <v>7</v>
      </c>
      <c r="H21" s="66">
        <f>Overzichtextraw[[#This Row],[Prijs per m2]]*Overzichtextraw[[#This Row],[M2]]*Overzichtextraw[[#This Row],[Frequentie (uitv./jaar)]]</f>
        <v>0</v>
      </c>
      <c r="I21" s="54"/>
    </row>
    <row r="22" spans="1:9" ht="15" customHeight="1">
      <c r="A22" s="57">
        <v>5</v>
      </c>
      <c r="B22" s="61" t="str">
        <f>VLOOKUP(Overzichtextraw[[#This Row],[Code Locatie]],Locaties[],2,0)</f>
        <v>SGC Almelo</v>
      </c>
      <c r="C22" s="57">
        <v>2</v>
      </c>
      <c r="D22" s="68" t="str">
        <f>IF(Overzichtextraw[[#This Row],[Code Taak]]&gt;0,VLOOKUP(Overzichtextraw[[#This Row],[Code Taak]],$A$8:$B$10,2,FALSE),"")</f>
        <v>Sneeuwruimen incl gladheidbestrijding</v>
      </c>
      <c r="E22" s="296">
        <f t="shared" si="0"/>
        <v>0</v>
      </c>
      <c r="F22" s="298">
        <v>650</v>
      </c>
      <c r="G22" s="71">
        <v>3</v>
      </c>
      <c r="H22" s="70">
        <f>Overzichtextraw[[#This Row],[Prijs per m2]]*Overzichtextraw[[#This Row],[M2]]*Overzichtextraw[[#This Row],[Frequentie (uitv./jaar)]]</f>
        <v>0</v>
      </c>
      <c r="I22" s="68"/>
    </row>
    <row r="23" spans="1:9" ht="15" customHeight="1">
      <c r="A23" s="54">
        <v>6</v>
      </c>
      <c r="B23" s="59" t="str">
        <f>VLOOKUP(Overzichtextraw[[#This Row],[Code Locatie]],Locaties[],2,0)</f>
        <v>SGC Tubbergen</v>
      </c>
      <c r="C23" s="54">
        <v>1</v>
      </c>
      <c r="D23" s="64" t="str">
        <f>IF(Overzichtextraw[[#This Row],[Code Taak]]&gt;0,VLOOKUP(Overzichtextraw[[#This Row],[Code Taak]],$A$8:$B$10,2,FALSE),"")</f>
        <v>Gladheidbestrijding</v>
      </c>
      <c r="E23" s="295">
        <f t="shared" si="0"/>
        <v>0</v>
      </c>
      <c r="F23" s="298">
        <v>250</v>
      </c>
      <c r="G23" s="67">
        <v>7</v>
      </c>
      <c r="H23" s="66">
        <f>Overzichtextraw[[#This Row],[Prijs per m2]]*Overzichtextraw[[#This Row],[M2]]*Overzichtextraw[[#This Row],[Frequentie (uitv./jaar)]]</f>
        <v>0</v>
      </c>
      <c r="I23" s="54"/>
    </row>
    <row r="24" spans="1:9" ht="15" customHeight="1">
      <c r="A24" s="57">
        <v>6</v>
      </c>
      <c r="B24" s="61" t="str">
        <f>VLOOKUP(Overzichtextraw[[#This Row],[Code Locatie]],Locaties[],2,0)</f>
        <v>SGC Tubbergen</v>
      </c>
      <c r="C24" s="57">
        <v>2</v>
      </c>
      <c r="D24" s="68" t="str">
        <f>IF(Overzichtextraw[[#This Row],[Code Taak]]&gt;0,VLOOKUP(Overzichtextraw[[#This Row],[Code Taak]],$A$8:$B$10,2,FALSE),"")</f>
        <v>Sneeuwruimen incl gladheidbestrijding</v>
      </c>
      <c r="E24" s="296">
        <f t="shared" si="0"/>
        <v>0</v>
      </c>
      <c r="F24" s="298">
        <v>250</v>
      </c>
      <c r="G24" s="71">
        <v>3</v>
      </c>
      <c r="H24" s="70">
        <f>Overzichtextraw[[#This Row],[Prijs per m2]]*Overzichtextraw[[#This Row],[M2]]*Overzichtextraw[[#This Row],[Frequentie (uitv./jaar)]]</f>
        <v>0</v>
      </c>
      <c r="I24" s="68"/>
    </row>
    <row r="25" spans="1:9" ht="15" customHeight="1">
      <c r="A25" s="175"/>
      <c r="B25" s="176" t="s">
        <v>33</v>
      </c>
      <c r="C25" s="175"/>
      <c r="D25" s="177"/>
      <c r="E25" s="175"/>
      <c r="F25" s="178"/>
      <c r="G25" s="175"/>
      <c r="H25" s="179">
        <f>SUBTOTAL(109,Overzichtextraw[Kosten/jaar excl. BTW])</f>
        <v>0</v>
      </c>
      <c r="I25" s="246"/>
    </row>
    <row r="26" spans="1:9" ht="15" customHeight="1">
      <c r="A26" s="37"/>
      <c r="C26" s="35"/>
      <c r="D26" s="35"/>
      <c r="E26" s="35"/>
      <c r="F26" s="164"/>
      <c r="G26" s="41"/>
      <c r="H26" s="36"/>
    </row>
    <row r="28" spans="1:9">
      <c r="B28" s="8"/>
    </row>
  </sheetData>
  <mergeCells count="3">
    <mergeCell ref="A1:H1"/>
    <mergeCell ref="A2:H2"/>
    <mergeCell ref="E7:I7"/>
  </mergeCells>
  <pageMargins left="0.7" right="0.7" top="0.75" bottom="0.75" header="0.3" footer="0.3"/>
  <pageSetup paperSize="9" scale="62" orientation="landscape" r:id="rId1"/>
  <tableParts count="2">
    <tablePart r:id="rId2"/>
    <tablePart r:id="rId3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 tint="-0.14999847407452621"/>
    <pageSetUpPr fitToPage="1"/>
  </sheetPr>
  <dimension ref="A1:I87"/>
  <sheetViews>
    <sheetView view="pageBreakPreview" zoomScale="90" zoomScaleNormal="100" zoomScaleSheetLayoutView="90" workbookViewId="0">
      <selection sqref="A1:I1"/>
    </sheetView>
  </sheetViews>
  <sheetFormatPr defaultColWidth="9.140625" defaultRowHeight="18.75" customHeight="1"/>
  <cols>
    <col min="1" max="1" width="9.140625" style="79"/>
    <col min="2" max="2" width="82" style="2" customWidth="1"/>
    <col min="3" max="3" width="24.85546875" style="2" bestFit="1" customWidth="1"/>
    <col min="4" max="4" width="15.140625" style="2" customWidth="1"/>
    <col min="5" max="9" width="17.7109375" style="2" bestFit="1" customWidth="1"/>
    <col min="10" max="16384" width="9.140625" style="2"/>
  </cols>
  <sheetData>
    <row r="1" spans="1:9" s="9" customFormat="1" ht="26.25" customHeight="1">
      <c r="A1" s="360" t="s">
        <v>183</v>
      </c>
      <c r="B1" s="360"/>
      <c r="C1" s="360"/>
      <c r="D1" s="360"/>
      <c r="E1" s="360"/>
      <c r="F1" s="360"/>
      <c r="G1" s="360"/>
      <c r="H1" s="360"/>
      <c r="I1" s="360"/>
    </row>
    <row r="2" spans="1:9" s="9" customFormat="1" ht="18.75" customHeight="1">
      <c r="A2" s="361" t="s">
        <v>217</v>
      </c>
      <c r="B2" s="346"/>
      <c r="C2" s="346"/>
      <c r="D2" s="346"/>
      <c r="E2" s="346"/>
      <c r="F2" s="346"/>
      <c r="G2" s="346"/>
      <c r="H2" s="362"/>
    </row>
    <row r="3" spans="1:9" s="87" customFormat="1" ht="18.75" customHeight="1">
      <c r="A3" s="86"/>
    </row>
    <row r="4" spans="1:9" s="87" customFormat="1" ht="17.25" customHeight="1">
      <c r="A4" s="87" t="s">
        <v>182</v>
      </c>
    </row>
    <row r="5" spans="1:9" s="87" customFormat="1" ht="17.25" customHeight="1">
      <c r="A5" s="87" t="s">
        <v>184</v>
      </c>
    </row>
    <row r="6" spans="1:9" s="87" customFormat="1" ht="17.25" customHeight="1">
      <c r="A6" s="87" t="s">
        <v>230</v>
      </c>
    </row>
    <row r="7" spans="1:9" s="87" customFormat="1" ht="18.75" customHeight="1">
      <c r="A7" s="86"/>
      <c r="E7" s="359" t="s">
        <v>404</v>
      </c>
      <c r="F7" s="359"/>
      <c r="G7" s="359"/>
      <c r="H7" s="359"/>
      <c r="I7" s="359"/>
    </row>
    <row r="8" spans="1:9" s="31" customFormat="1" ht="26.25" customHeight="1">
      <c r="A8" s="84"/>
      <c r="B8" s="83" t="s">
        <v>185</v>
      </c>
      <c r="C8" s="83" t="s">
        <v>151</v>
      </c>
      <c r="D8" s="33" t="s">
        <v>181</v>
      </c>
      <c r="E8" s="76">
        <v>2023</v>
      </c>
      <c r="F8" s="76">
        <v>2024</v>
      </c>
      <c r="G8" s="76">
        <v>2025</v>
      </c>
      <c r="H8" s="76">
        <v>2026</v>
      </c>
      <c r="I8" s="76">
        <v>2027</v>
      </c>
    </row>
    <row r="9" spans="1:9" ht="18.75" customHeight="1">
      <c r="A9" s="363" t="s">
        <v>199</v>
      </c>
      <c r="B9" s="83" t="s">
        <v>187</v>
      </c>
      <c r="C9" s="83" t="s">
        <v>186</v>
      </c>
      <c r="D9" s="85">
        <v>0</v>
      </c>
      <c r="E9" s="232" t="e">
        <f>InvulRegie[[#This Row],[Prijs excl. BTW]]*Tariefsopbouw!$I$37+InvulRegie[[#This Row],[Prijs excl. BTW]]</f>
        <v>#DIV/0!</v>
      </c>
      <c r="F9" s="232" t="e">
        <f>E9*Tariefsopbouw!$K$37+'Regie en afroep'!E9</f>
        <v>#DIV/0!</v>
      </c>
      <c r="G9" s="232" t="e">
        <f>F9*Tariefsopbouw!$M$37+'Regie en afroep'!F9</f>
        <v>#DIV/0!</v>
      </c>
      <c r="H9" s="294" t="e">
        <f>G9*Tariefsopbouw!$O$37+'Regie en afroep'!G9</f>
        <v>#DIV/0!</v>
      </c>
      <c r="I9" s="232" t="e">
        <f>H9*Tariefsopbouw!$Q$37+H9</f>
        <v>#DIV/0!</v>
      </c>
    </row>
    <row r="10" spans="1:9" ht="18.75" customHeight="1">
      <c r="A10" s="364"/>
      <c r="B10" s="83" t="s">
        <v>188</v>
      </c>
      <c r="C10" s="83" t="s">
        <v>186</v>
      </c>
      <c r="D10" s="85">
        <v>0</v>
      </c>
      <c r="E10" s="233" t="e">
        <f>InvulRegie[[#This Row],[Prijs excl. BTW]]*Tariefsopbouw!$I$37+InvulRegie[[#This Row],[Prijs excl. BTW]]</f>
        <v>#DIV/0!</v>
      </c>
      <c r="F10" s="233" t="e">
        <f>E10*Tariefsopbouw!$K$37+'Regie en afroep'!E10</f>
        <v>#DIV/0!</v>
      </c>
      <c r="G10" s="233" t="e">
        <f>F10*Tariefsopbouw!$M$37+'Regie en afroep'!F10</f>
        <v>#DIV/0!</v>
      </c>
      <c r="H10" s="233" t="e">
        <f>G10*Tariefsopbouw!$O$37+'Regie en afroep'!G10</f>
        <v>#DIV/0!</v>
      </c>
      <c r="I10" s="233" t="e">
        <f>H10*Tariefsopbouw!$Q$37+H10</f>
        <v>#DIV/0!</v>
      </c>
    </row>
    <row r="11" spans="1:9" ht="18.75" customHeight="1">
      <c r="A11" s="364"/>
      <c r="B11" s="82" t="s">
        <v>189</v>
      </c>
      <c r="C11" s="83" t="s">
        <v>186</v>
      </c>
      <c r="D11" s="85">
        <v>0</v>
      </c>
      <c r="E11" s="232" t="e">
        <f>InvulRegie[[#This Row],[Prijs excl. BTW]]*Tariefsopbouw!$I$37+InvulRegie[[#This Row],[Prijs excl. BTW]]</f>
        <v>#DIV/0!</v>
      </c>
      <c r="F11" s="232" t="e">
        <f>E11*Tariefsopbouw!$K$37+'Regie en afroep'!E11</f>
        <v>#DIV/0!</v>
      </c>
      <c r="G11" s="232" t="e">
        <f>F11*Tariefsopbouw!$M$37+'Regie en afroep'!F11</f>
        <v>#DIV/0!</v>
      </c>
      <c r="H11" s="294" t="e">
        <f>G11*Tariefsopbouw!$O$37+'Regie en afroep'!G11</f>
        <v>#DIV/0!</v>
      </c>
      <c r="I11" s="232" t="e">
        <f>H11*Tariefsopbouw!$Q$37+H11</f>
        <v>#DIV/0!</v>
      </c>
    </row>
    <row r="12" spans="1:9" ht="18.75" customHeight="1">
      <c r="A12" s="364"/>
      <c r="B12" s="82" t="s">
        <v>206</v>
      </c>
      <c r="C12" s="83" t="s">
        <v>186</v>
      </c>
      <c r="D12" s="85">
        <v>0</v>
      </c>
      <c r="E12" s="233" t="e">
        <f>InvulRegie[[#This Row],[Prijs excl. BTW]]*Tariefsopbouw!$I$37+InvulRegie[[#This Row],[Prijs excl. BTW]]</f>
        <v>#DIV/0!</v>
      </c>
      <c r="F12" s="233" t="e">
        <f>E12*Tariefsopbouw!$K$37+'Regie en afroep'!E12</f>
        <v>#DIV/0!</v>
      </c>
      <c r="G12" s="233" t="e">
        <f>F12*Tariefsopbouw!$M$37+'Regie en afroep'!F12</f>
        <v>#DIV/0!</v>
      </c>
      <c r="H12" s="233" t="e">
        <f>G12*Tariefsopbouw!$O$37+'Regie en afroep'!G12</f>
        <v>#DIV/0!</v>
      </c>
      <c r="I12" s="233" t="e">
        <f>H12*Tariefsopbouw!$Q$37+H12</f>
        <v>#DIV/0!</v>
      </c>
    </row>
    <row r="13" spans="1:9" ht="18.75" customHeight="1">
      <c r="A13" s="365"/>
      <c r="B13" s="83" t="s">
        <v>195</v>
      </c>
      <c r="C13" s="83" t="s">
        <v>186</v>
      </c>
      <c r="D13" s="85">
        <v>0</v>
      </c>
      <c r="E13" s="232" t="e">
        <f>InvulRegie[[#This Row],[Prijs excl. BTW]]*Tariefsopbouw!$I$37+InvulRegie[[#This Row],[Prijs excl. BTW]]</f>
        <v>#DIV/0!</v>
      </c>
      <c r="F13" s="232" t="e">
        <f>E13*Tariefsopbouw!$K$37+'Regie en afroep'!E13</f>
        <v>#DIV/0!</v>
      </c>
      <c r="G13" s="232" t="e">
        <f>F13*Tariefsopbouw!$M$37+'Regie en afroep'!F13</f>
        <v>#DIV/0!</v>
      </c>
      <c r="H13" s="294" t="e">
        <f>G13*Tariefsopbouw!$O$37+'Regie en afroep'!G13</f>
        <v>#DIV/0!</v>
      </c>
      <c r="I13" s="232" t="e">
        <f>H13*Tariefsopbouw!$Q$37+H13</f>
        <v>#DIV/0!</v>
      </c>
    </row>
    <row r="14" spans="1:9" ht="18.75" customHeight="1">
      <c r="A14" s="363" t="s">
        <v>130</v>
      </c>
      <c r="B14" s="83" t="s">
        <v>42</v>
      </c>
      <c r="C14" s="83" t="s">
        <v>43</v>
      </c>
      <c r="D14" s="85">
        <v>0</v>
      </c>
      <c r="E14" s="233" t="e">
        <f>InvulRegie[[#This Row],[Prijs excl. BTW]]*Tariefsopbouw!$I$37+InvulRegie[[#This Row],[Prijs excl. BTW]]</f>
        <v>#DIV/0!</v>
      </c>
      <c r="F14" s="233" t="e">
        <f>E14*Tariefsopbouw!$K$37+'Regie en afroep'!E14</f>
        <v>#DIV/0!</v>
      </c>
      <c r="G14" s="233" t="e">
        <f>F14*Tariefsopbouw!$M$37+'Regie en afroep'!F14</f>
        <v>#DIV/0!</v>
      </c>
      <c r="H14" s="233" t="e">
        <f>G14*Tariefsopbouw!$O$37+'Regie en afroep'!G14</f>
        <v>#DIV/0!</v>
      </c>
      <c r="I14" s="233" t="e">
        <f>H14*Tariefsopbouw!$Q$37+H14</f>
        <v>#DIV/0!</v>
      </c>
    </row>
    <row r="15" spans="1:9" ht="18.75" customHeight="1">
      <c r="A15" s="364"/>
      <c r="B15" s="83" t="s">
        <v>44</v>
      </c>
      <c r="C15" s="83" t="s">
        <v>190</v>
      </c>
      <c r="D15" s="85">
        <v>0</v>
      </c>
      <c r="E15" s="232" t="e">
        <f>InvulRegie[[#This Row],[Prijs excl. BTW]]*Tariefsopbouw!$I$37+InvulRegie[[#This Row],[Prijs excl. BTW]]</f>
        <v>#DIV/0!</v>
      </c>
      <c r="F15" s="232" t="e">
        <f>E15*Tariefsopbouw!$K$37+'Regie en afroep'!E15</f>
        <v>#DIV/0!</v>
      </c>
      <c r="G15" s="232" t="e">
        <f>F15*Tariefsopbouw!$M$37+'Regie en afroep'!F15</f>
        <v>#DIV/0!</v>
      </c>
      <c r="H15" s="294" t="e">
        <f>G15*Tariefsopbouw!$O$37+'Regie en afroep'!G15</f>
        <v>#DIV/0!</v>
      </c>
      <c r="I15" s="232" t="e">
        <f>H15*Tariefsopbouw!$Q$37+H15</f>
        <v>#DIV/0!</v>
      </c>
    </row>
    <row r="16" spans="1:9" ht="18.75" customHeight="1">
      <c r="A16" s="364"/>
      <c r="B16" s="83" t="s">
        <v>191</v>
      </c>
      <c r="C16" s="83" t="s">
        <v>190</v>
      </c>
      <c r="D16" s="85">
        <v>0</v>
      </c>
      <c r="E16" s="233" t="e">
        <f>InvulRegie[[#This Row],[Prijs excl. BTW]]*Tariefsopbouw!$I$37+InvulRegie[[#This Row],[Prijs excl. BTW]]</f>
        <v>#DIV/0!</v>
      </c>
      <c r="F16" s="233" t="e">
        <f>E16*Tariefsopbouw!$K$37+'Regie en afroep'!E16</f>
        <v>#DIV/0!</v>
      </c>
      <c r="G16" s="233" t="e">
        <f>F16*Tariefsopbouw!$M$37+'Regie en afroep'!F16</f>
        <v>#DIV/0!</v>
      </c>
      <c r="H16" s="233" t="e">
        <f>G16*Tariefsopbouw!$O$37+'Regie en afroep'!G16</f>
        <v>#DIV/0!</v>
      </c>
      <c r="I16" s="233" t="e">
        <f>H16*Tariefsopbouw!$Q$37+H16</f>
        <v>#DIV/0!</v>
      </c>
    </row>
    <row r="17" spans="1:9" ht="18.75" customHeight="1">
      <c r="A17" s="364"/>
      <c r="B17" s="83" t="s">
        <v>192</v>
      </c>
      <c r="C17" s="83" t="s">
        <v>45</v>
      </c>
      <c r="D17" s="85">
        <v>0</v>
      </c>
      <c r="E17" s="232" t="e">
        <f>InvulRegie[[#This Row],[Prijs excl. BTW]]*Tariefsopbouw!$I$37+InvulRegie[[#This Row],[Prijs excl. BTW]]</f>
        <v>#DIV/0!</v>
      </c>
      <c r="F17" s="232" t="e">
        <f>E17*Tariefsopbouw!$K$37+'Regie en afroep'!E17</f>
        <v>#DIV/0!</v>
      </c>
      <c r="G17" s="232" t="e">
        <f>F17*Tariefsopbouw!$M$37+'Regie en afroep'!F17</f>
        <v>#DIV/0!</v>
      </c>
      <c r="H17" s="294" t="e">
        <f>G17*Tariefsopbouw!$O$37+'Regie en afroep'!G17</f>
        <v>#DIV/0!</v>
      </c>
      <c r="I17" s="232" t="e">
        <f>H17*Tariefsopbouw!$Q$37+H17</f>
        <v>#DIV/0!</v>
      </c>
    </row>
    <row r="18" spans="1:9" ht="18.75" customHeight="1">
      <c r="A18" s="364"/>
      <c r="B18" s="83" t="s">
        <v>251</v>
      </c>
      <c r="C18" s="83" t="s">
        <v>45</v>
      </c>
      <c r="D18" s="85">
        <v>0</v>
      </c>
      <c r="E18" s="233" t="e">
        <f>InvulRegie[[#This Row],[Prijs excl. BTW]]*Tariefsopbouw!$I$37+InvulRegie[[#This Row],[Prijs excl. BTW]]</f>
        <v>#DIV/0!</v>
      </c>
      <c r="F18" s="233" t="e">
        <f>E18*Tariefsopbouw!$K$37+'Regie en afroep'!E18</f>
        <v>#DIV/0!</v>
      </c>
      <c r="G18" s="233" t="e">
        <f>F18*Tariefsopbouw!$M$37+'Regie en afroep'!F18</f>
        <v>#DIV/0!</v>
      </c>
      <c r="H18" s="233" t="e">
        <f>G18*Tariefsopbouw!$O$37+'Regie en afroep'!G18</f>
        <v>#DIV/0!</v>
      </c>
      <c r="I18" s="233" t="e">
        <f>H18*Tariefsopbouw!$Q$37+H18</f>
        <v>#DIV/0!</v>
      </c>
    </row>
    <row r="19" spans="1:9" ht="18.75" customHeight="1">
      <c r="A19" s="364"/>
      <c r="B19" s="83" t="s">
        <v>193</v>
      </c>
      <c r="C19" s="83" t="s">
        <v>45</v>
      </c>
      <c r="D19" s="85">
        <v>0</v>
      </c>
      <c r="E19" s="232" t="e">
        <f>InvulRegie[[#This Row],[Prijs excl. BTW]]*Tariefsopbouw!$I$37+InvulRegie[[#This Row],[Prijs excl. BTW]]</f>
        <v>#DIV/0!</v>
      </c>
      <c r="F19" s="232" t="e">
        <f>E19*Tariefsopbouw!$K$37+'Regie en afroep'!E19</f>
        <v>#DIV/0!</v>
      </c>
      <c r="G19" s="232" t="e">
        <f>F19*Tariefsopbouw!$M$37+'Regie en afroep'!F19</f>
        <v>#DIV/0!</v>
      </c>
      <c r="H19" s="294" t="e">
        <f>G19*Tariefsopbouw!$O$37+'Regie en afroep'!G19</f>
        <v>#DIV/0!</v>
      </c>
      <c r="I19" s="232" t="e">
        <f>H19*Tariefsopbouw!$Q$37+H19</f>
        <v>#DIV/0!</v>
      </c>
    </row>
    <row r="20" spans="1:9" ht="18.75" customHeight="1">
      <c r="A20" s="365"/>
      <c r="B20" s="83" t="s">
        <v>194</v>
      </c>
      <c r="C20" s="83" t="s">
        <v>45</v>
      </c>
      <c r="D20" s="85">
        <v>0</v>
      </c>
      <c r="E20" s="233" t="e">
        <f>InvulRegie[[#This Row],[Prijs excl. BTW]]*Tariefsopbouw!$I$37+InvulRegie[[#This Row],[Prijs excl. BTW]]</f>
        <v>#DIV/0!</v>
      </c>
      <c r="F20" s="233" t="e">
        <f>E20*Tariefsopbouw!$K$37+'Regie en afroep'!E20</f>
        <v>#DIV/0!</v>
      </c>
      <c r="G20" s="233" t="e">
        <f>F20*Tariefsopbouw!$M$37+'Regie en afroep'!F20</f>
        <v>#DIV/0!</v>
      </c>
      <c r="H20" s="233" t="e">
        <f>G20*Tariefsopbouw!$O$37+'Regie en afroep'!G20</f>
        <v>#DIV/0!</v>
      </c>
      <c r="I20" s="233" t="e">
        <f>H20*Tariefsopbouw!$Q$37+H20</f>
        <v>#DIV/0!</v>
      </c>
    </row>
    <row r="21" spans="1:9" ht="18.75" customHeight="1">
      <c r="A21" s="363" t="s">
        <v>196</v>
      </c>
      <c r="B21" s="83" t="s">
        <v>58</v>
      </c>
      <c r="C21" s="83" t="s">
        <v>50</v>
      </c>
      <c r="D21" s="85">
        <v>0</v>
      </c>
      <c r="E21" s="232" t="e">
        <f>InvulRegie[[#This Row],[Prijs excl. BTW]]*Tariefsopbouw!$I$37+InvulRegie[[#This Row],[Prijs excl. BTW]]</f>
        <v>#DIV/0!</v>
      </c>
      <c r="F21" s="232" t="e">
        <f>E21*Tariefsopbouw!$K$37+'Regie en afroep'!E21</f>
        <v>#DIV/0!</v>
      </c>
      <c r="G21" s="232" t="e">
        <f>F21*Tariefsopbouw!$M$37+'Regie en afroep'!F21</f>
        <v>#DIV/0!</v>
      </c>
      <c r="H21" s="294" t="e">
        <f>G21*Tariefsopbouw!$O$37+'Regie en afroep'!G21</f>
        <v>#DIV/0!</v>
      </c>
      <c r="I21" s="232" t="e">
        <f>H21*Tariefsopbouw!$Q$37+H21</f>
        <v>#DIV/0!</v>
      </c>
    </row>
    <row r="22" spans="1:9" ht="18.75" customHeight="1">
      <c r="A22" s="364"/>
      <c r="B22" s="83" t="s">
        <v>936</v>
      </c>
      <c r="C22" s="83" t="s">
        <v>50</v>
      </c>
      <c r="D22" s="85">
        <v>0</v>
      </c>
      <c r="E22" s="233" t="e">
        <f>InvulRegie[[#This Row],[Prijs excl. BTW]]*Tariefsopbouw!$I$37+InvulRegie[[#This Row],[Prijs excl. BTW]]</f>
        <v>#DIV/0!</v>
      </c>
      <c r="F22" s="233" t="e">
        <f>E22*Tariefsopbouw!$K$37+'Regie en afroep'!E22</f>
        <v>#DIV/0!</v>
      </c>
      <c r="G22" s="233" t="e">
        <f>F22*Tariefsopbouw!$M$37+'Regie en afroep'!F22</f>
        <v>#DIV/0!</v>
      </c>
      <c r="H22" s="233" t="e">
        <f>G22*Tariefsopbouw!$O$37+'Regie en afroep'!G22</f>
        <v>#DIV/0!</v>
      </c>
      <c r="I22" s="233" t="e">
        <f>H22*Tariefsopbouw!$Q$37+H22</f>
        <v>#DIV/0!</v>
      </c>
    </row>
    <row r="23" spans="1:9" ht="18.75" customHeight="1">
      <c r="A23" s="364"/>
      <c r="B23" s="83" t="s">
        <v>937</v>
      </c>
      <c r="C23" s="83" t="s">
        <v>45</v>
      </c>
      <c r="D23" s="85">
        <v>0</v>
      </c>
      <c r="E23" s="232" t="e">
        <f>InvulRegie[[#This Row],[Prijs excl. BTW]]*Tariefsopbouw!$I$37+InvulRegie[[#This Row],[Prijs excl. BTW]]</f>
        <v>#DIV/0!</v>
      </c>
      <c r="F23" s="232" t="e">
        <f>E23*Tariefsopbouw!$K$37+'Regie en afroep'!E23</f>
        <v>#DIV/0!</v>
      </c>
      <c r="G23" s="232" t="e">
        <f>F23*Tariefsopbouw!$M$37+'Regie en afroep'!F23</f>
        <v>#DIV/0!</v>
      </c>
      <c r="H23" s="294" t="e">
        <f>G23*Tariefsopbouw!$O$37+'Regie en afroep'!G23</f>
        <v>#DIV/0!</v>
      </c>
      <c r="I23" s="232" t="e">
        <f>H23*Tariefsopbouw!$Q$37+H23</f>
        <v>#DIV/0!</v>
      </c>
    </row>
    <row r="24" spans="1:9" ht="18.75" customHeight="1">
      <c r="A24" s="364"/>
      <c r="B24" s="83" t="s">
        <v>938</v>
      </c>
      <c r="C24" s="83" t="s">
        <v>939</v>
      </c>
      <c r="D24" s="85">
        <v>0</v>
      </c>
      <c r="E24" s="233" t="e">
        <f>InvulRegie[[#This Row],[Prijs excl. BTW]]*Tariefsopbouw!$I$37+InvulRegie[[#This Row],[Prijs excl. BTW]]</f>
        <v>#DIV/0!</v>
      </c>
      <c r="F24" s="233" t="e">
        <f>E24*Tariefsopbouw!$K$37+'Regie en afroep'!E24</f>
        <v>#DIV/0!</v>
      </c>
      <c r="G24" s="233" t="e">
        <f>F24*Tariefsopbouw!$M$37+'Regie en afroep'!F24</f>
        <v>#DIV/0!</v>
      </c>
      <c r="H24" s="233" t="e">
        <f>G24*Tariefsopbouw!$O$37+'Regie en afroep'!G24</f>
        <v>#DIV/0!</v>
      </c>
      <c r="I24" s="233" t="e">
        <f>H24*Tariefsopbouw!$Q$37+H24</f>
        <v>#DIV/0!</v>
      </c>
    </row>
    <row r="25" spans="1:9" ht="18.75" customHeight="1">
      <c r="A25" s="365"/>
      <c r="B25" s="83" t="s">
        <v>46</v>
      </c>
      <c r="C25" s="83" t="s">
        <v>74</v>
      </c>
      <c r="D25" s="85">
        <v>0</v>
      </c>
      <c r="E25" s="232" t="e">
        <f>InvulRegie[[#This Row],[Prijs excl. BTW]]*Tariefsopbouw!$I$37+InvulRegie[[#This Row],[Prijs excl. BTW]]</f>
        <v>#DIV/0!</v>
      </c>
      <c r="F25" s="232" t="e">
        <f>E25*Tariefsopbouw!$K$37+'Regie en afroep'!E25</f>
        <v>#DIV/0!</v>
      </c>
      <c r="G25" s="232" t="e">
        <f>F25*Tariefsopbouw!$M$37+'Regie en afroep'!F25</f>
        <v>#DIV/0!</v>
      </c>
      <c r="H25" s="294" t="e">
        <f>G25*Tariefsopbouw!$O$37+'Regie en afroep'!G25</f>
        <v>#DIV/0!</v>
      </c>
      <c r="I25" s="232" t="e">
        <f>H25*Tariefsopbouw!$Q$37+H25</f>
        <v>#DIV/0!</v>
      </c>
    </row>
    <row r="26" spans="1:9" ht="18.75" customHeight="1">
      <c r="A26" s="363" t="s">
        <v>207</v>
      </c>
      <c r="B26" s="83" t="s">
        <v>197</v>
      </c>
      <c r="C26" s="83" t="s">
        <v>198</v>
      </c>
      <c r="D26" s="85">
        <v>0</v>
      </c>
      <c r="E26" s="233" t="e">
        <f>InvulRegie[[#This Row],[Prijs excl. BTW]]*Tariefsopbouw!$I$37+InvulRegie[[#This Row],[Prijs excl. BTW]]</f>
        <v>#DIV/0!</v>
      </c>
      <c r="F26" s="233" t="e">
        <f>E26*Tariefsopbouw!$K$37+'Regie en afroep'!E26</f>
        <v>#DIV/0!</v>
      </c>
      <c r="G26" s="233" t="e">
        <f>F26*Tariefsopbouw!$M$37+'Regie en afroep'!F26</f>
        <v>#DIV/0!</v>
      </c>
      <c r="H26" s="233" t="e">
        <f>G26*Tariefsopbouw!$O$37+'Regie en afroep'!G26</f>
        <v>#DIV/0!</v>
      </c>
      <c r="I26" s="233" t="e">
        <f>H26*Tariefsopbouw!$Q$37+H26</f>
        <v>#DIV/0!</v>
      </c>
    </row>
    <row r="27" spans="1:9" ht="18.75" customHeight="1">
      <c r="A27" s="364"/>
      <c r="B27" s="83" t="s">
        <v>244</v>
      </c>
      <c r="C27" s="83" t="s">
        <v>198</v>
      </c>
      <c r="D27" s="85">
        <v>0</v>
      </c>
      <c r="E27" s="232" t="e">
        <f>InvulRegie[[#This Row],[Prijs excl. BTW]]*Tariefsopbouw!$I$37+InvulRegie[[#This Row],[Prijs excl. BTW]]</f>
        <v>#DIV/0!</v>
      </c>
      <c r="F27" s="232" t="e">
        <f>E27*Tariefsopbouw!$K$37+'Regie en afroep'!E27</f>
        <v>#DIV/0!</v>
      </c>
      <c r="G27" s="232" t="e">
        <f>F27*Tariefsopbouw!$M$37+'Regie en afroep'!F27</f>
        <v>#DIV/0!</v>
      </c>
      <c r="H27" s="294" t="e">
        <f>G27*Tariefsopbouw!$O$37+'Regie en afroep'!G27</f>
        <v>#DIV/0!</v>
      </c>
      <c r="I27" s="232" t="e">
        <f>H27*Tariefsopbouw!$Q$37+H27</f>
        <v>#DIV/0!</v>
      </c>
    </row>
    <row r="28" spans="1:9" ht="18.75" customHeight="1">
      <c r="A28" s="364"/>
      <c r="B28" s="83" t="s">
        <v>246</v>
      </c>
      <c r="C28" s="83" t="s">
        <v>198</v>
      </c>
      <c r="D28" s="85">
        <v>0</v>
      </c>
      <c r="E28" s="233" t="e">
        <f>InvulRegie[[#This Row],[Prijs excl. BTW]]*Tariefsopbouw!$I$37+InvulRegie[[#This Row],[Prijs excl. BTW]]</f>
        <v>#DIV/0!</v>
      </c>
      <c r="F28" s="233" t="e">
        <f>E28*Tariefsopbouw!$K$37+'Regie en afroep'!E28</f>
        <v>#DIV/0!</v>
      </c>
      <c r="G28" s="233" t="e">
        <f>F28*Tariefsopbouw!$M$37+'Regie en afroep'!F28</f>
        <v>#DIV/0!</v>
      </c>
      <c r="H28" s="233" t="e">
        <f>G28*Tariefsopbouw!$O$37+'Regie en afroep'!G28</f>
        <v>#DIV/0!</v>
      </c>
      <c r="I28" s="233" t="e">
        <f>H28*Tariefsopbouw!$Q$37+H28</f>
        <v>#DIV/0!</v>
      </c>
    </row>
    <row r="29" spans="1:9" ht="18.75" customHeight="1">
      <c r="A29" s="364"/>
      <c r="B29" s="83" t="s">
        <v>245</v>
      </c>
      <c r="C29" s="83" t="s">
        <v>198</v>
      </c>
      <c r="D29" s="85">
        <v>0</v>
      </c>
      <c r="E29" s="232" t="e">
        <f>InvulRegie[[#This Row],[Prijs excl. BTW]]*Tariefsopbouw!$I$37+InvulRegie[[#This Row],[Prijs excl. BTW]]</f>
        <v>#DIV/0!</v>
      </c>
      <c r="F29" s="232" t="e">
        <f>E29*Tariefsopbouw!$K$37+'Regie en afroep'!E29</f>
        <v>#DIV/0!</v>
      </c>
      <c r="G29" s="232" t="e">
        <f>F29*Tariefsopbouw!$M$37+'Regie en afroep'!F29</f>
        <v>#DIV/0!</v>
      </c>
      <c r="H29" s="294" t="e">
        <f>G29*Tariefsopbouw!$O$37+'Regie en afroep'!G29</f>
        <v>#DIV/0!</v>
      </c>
      <c r="I29" s="232" t="e">
        <f>H29*Tariefsopbouw!$Q$37+H29</f>
        <v>#DIV/0!</v>
      </c>
    </row>
    <row r="30" spans="1:9" ht="18.75" customHeight="1">
      <c r="A30" s="365"/>
      <c r="B30" s="83" t="s">
        <v>49</v>
      </c>
      <c r="C30" s="83" t="s">
        <v>198</v>
      </c>
      <c r="D30" s="85">
        <v>0</v>
      </c>
      <c r="E30" s="233" t="e">
        <f>InvulRegie[[#This Row],[Prijs excl. BTW]]*Tariefsopbouw!$I$37+InvulRegie[[#This Row],[Prijs excl. BTW]]</f>
        <v>#DIV/0!</v>
      </c>
      <c r="F30" s="233" t="e">
        <f>E30*Tariefsopbouw!$K$37+'Regie en afroep'!E30</f>
        <v>#DIV/0!</v>
      </c>
      <c r="G30" s="233" t="e">
        <f>F30*Tariefsopbouw!$M$37+'Regie en afroep'!F30</f>
        <v>#DIV/0!</v>
      </c>
      <c r="H30" s="233" t="e">
        <f>G30*Tariefsopbouw!$O$37+'Regie en afroep'!G30</f>
        <v>#DIV/0!</v>
      </c>
      <c r="I30" s="233" t="e">
        <f>H30*Tariefsopbouw!$Q$37+H30</f>
        <v>#DIV/0!</v>
      </c>
    </row>
    <row r="31" spans="1:9" ht="18.75" customHeight="1">
      <c r="A31" s="363" t="s">
        <v>202</v>
      </c>
      <c r="B31" s="83" t="s">
        <v>51</v>
      </c>
      <c r="C31" s="83" t="s">
        <v>50</v>
      </c>
      <c r="D31" s="85">
        <v>0</v>
      </c>
      <c r="E31" s="232" t="e">
        <f>InvulRegie[[#This Row],[Prijs excl. BTW]]*Tariefsopbouw!$I$37+InvulRegie[[#This Row],[Prijs excl. BTW]]</f>
        <v>#DIV/0!</v>
      </c>
      <c r="F31" s="232" t="e">
        <f>E31*Tariefsopbouw!$K$37+'Regie en afroep'!E31</f>
        <v>#DIV/0!</v>
      </c>
      <c r="G31" s="232" t="e">
        <f>F31*Tariefsopbouw!$M$37+'Regie en afroep'!F31</f>
        <v>#DIV/0!</v>
      </c>
      <c r="H31" s="294" t="e">
        <f>G31*Tariefsopbouw!$O$37+'Regie en afroep'!G31</f>
        <v>#DIV/0!</v>
      </c>
      <c r="I31" s="232" t="e">
        <f>H31*Tariefsopbouw!$Q$37+H31</f>
        <v>#DIV/0!</v>
      </c>
    </row>
    <row r="32" spans="1:9" ht="18.75" customHeight="1">
      <c r="A32" s="364"/>
      <c r="B32" s="83" t="s">
        <v>52</v>
      </c>
      <c r="C32" s="83" t="s">
        <v>50</v>
      </c>
      <c r="D32" s="85">
        <v>0</v>
      </c>
      <c r="E32" s="233" t="e">
        <f>InvulRegie[[#This Row],[Prijs excl. BTW]]*Tariefsopbouw!$I$37+InvulRegie[[#This Row],[Prijs excl. BTW]]</f>
        <v>#DIV/0!</v>
      </c>
      <c r="F32" s="233" t="e">
        <f>E32*Tariefsopbouw!$K$37+'Regie en afroep'!E32</f>
        <v>#DIV/0!</v>
      </c>
      <c r="G32" s="233" t="e">
        <f>F32*Tariefsopbouw!$M$37+'Regie en afroep'!F32</f>
        <v>#DIV/0!</v>
      </c>
      <c r="H32" s="233" t="e">
        <f>G32*Tariefsopbouw!$O$37+'Regie en afroep'!G32</f>
        <v>#DIV/0!</v>
      </c>
      <c r="I32" s="233" t="e">
        <f>H32*Tariefsopbouw!$Q$37+H32</f>
        <v>#DIV/0!</v>
      </c>
    </row>
    <row r="33" spans="1:9" ht="18.75" customHeight="1">
      <c r="A33" s="364"/>
      <c r="B33" s="83" t="s">
        <v>53</v>
      </c>
      <c r="C33" s="83" t="s">
        <v>50</v>
      </c>
      <c r="D33" s="85">
        <v>0</v>
      </c>
      <c r="E33" s="232" t="e">
        <f>InvulRegie[[#This Row],[Prijs excl. BTW]]*Tariefsopbouw!$I$37+InvulRegie[[#This Row],[Prijs excl. BTW]]</f>
        <v>#DIV/0!</v>
      </c>
      <c r="F33" s="232" t="e">
        <f>E33*Tariefsopbouw!$K$37+'Regie en afroep'!E33</f>
        <v>#DIV/0!</v>
      </c>
      <c r="G33" s="232" t="e">
        <f>F33*Tariefsopbouw!$M$37+'Regie en afroep'!F33</f>
        <v>#DIV/0!</v>
      </c>
      <c r="H33" s="294" t="e">
        <f>G33*Tariefsopbouw!$O$37+'Regie en afroep'!G33</f>
        <v>#DIV/0!</v>
      </c>
      <c r="I33" s="232" t="e">
        <f>H33*Tariefsopbouw!$Q$37+H33</f>
        <v>#DIV/0!</v>
      </c>
    </row>
    <row r="34" spans="1:9" ht="18.75" customHeight="1">
      <c r="A34" s="364"/>
      <c r="B34" s="83" t="s">
        <v>54</v>
      </c>
      <c r="C34" s="83" t="s">
        <v>50</v>
      </c>
      <c r="D34" s="85">
        <v>0</v>
      </c>
      <c r="E34" s="233" t="e">
        <f>InvulRegie[[#This Row],[Prijs excl. BTW]]*Tariefsopbouw!$I$37+InvulRegie[[#This Row],[Prijs excl. BTW]]</f>
        <v>#DIV/0!</v>
      </c>
      <c r="F34" s="233" t="e">
        <f>E34*Tariefsopbouw!$K$37+'Regie en afroep'!E34</f>
        <v>#DIV/0!</v>
      </c>
      <c r="G34" s="233" t="e">
        <f>F34*Tariefsopbouw!$M$37+'Regie en afroep'!F34</f>
        <v>#DIV/0!</v>
      </c>
      <c r="H34" s="233" t="e">
        <f>G34*Tariefsopbouw!$O$37+'Regie en afroep'!G34</f>
        <v>#DIV/0!</v>
      </c>
      <c r="I34" s="233" t="e">
        <f>H34*Tariefsopbouw!$Q$37+H34</f>
        <v>#DIV/0!</v>
      </c>
    </row>
    <row r="35" spans="1:9" ht="18.75" customHeight="1">
      <c r="A35" s="365"/>
      <c r="B35" s="83" t="s">
        <v>47</v>
      </c>
      <c r="C35" s="83" t="s">
        <v>48</v>
      </c>
      <c r="D35" s="85">
        <v>0</v>
      </c>
      <c r="E35" s="232" t="e">
        <f>InvulRegie[[#This Row],[Prijs excl. BTW]]*Tariefsopbouw!$I$37+InvulRegie[[#This Row],[Prijs excl. BTW]]</f>
        <v>#DIV/0!</v>
      </c>
      <c r="F35" s="232" t="e">
        <f>E35*Tariefsopbouw!$K$37+'Regie en afroep'!E35</f>
        <v>#DIV/0!</v>
      </c>
      <c r="G35" s="232" t="e">
        <f>F35*Tariefsopbouw!$M$37+'Regie en afroep'!F35</f>
        <v>#DIV/0!</v>
      </c>
      <c r="H35" s="294" t="e">
        <f>G35*Tariefsopbouw!$O$37+'Regie en afroep'!G35</f>
        <v>#DIV/0!</v>
      </c>
      <c r="I35" s="232" t="e">
        <f>H35*Tariefsopbouw!$Q$37+H35</f>
        <v>#DIV/0!</v>
      </c>
    </row>
    <row r="36" spans="1:9" ht="18.75" customHeight="1">
      <c r="A36" s="366" t="s">
        <v>203</v>
      </c>
      <c r="B36" s="83" t="s">
        <v>55</v>
      </c>
      <c r="C36" s="83" t="s">
        <v>229</v>
      </c>
      <c r="D36" s="85">
        <v>0</v>
      </c>
      <c r="E36" s="233" t="e">
        <f>InvulRegie[[#This Row],[Prijs excl. BTW]]*Tariefsopbouw!$I$37+InvulRegie[[#This Row],[Prijs excl. BTW]]</f>
        <v>#DIV/0!</v>
      </c>
      <c r="F36" s="233" t="e">
        <f>E36*Tariefsopbouw!$K$37+'Regie en afroep'!E36</f>
        <v>#DIV/0!</v>
      </c>
      <c r="G36" s="233" t="e">
        <f>F36*Tariefsopbouw!$M$37+'Regie en afroep'!F36</f>
        <v>#DIV/0!</v>
      </c>
      <c r="H36" s="233" t="e">
        <f>G36*Tariefsopbouw!$O$37+'Regie en afroep'!G36</f>
        <v>#DIV/0!</v>
      </c>
      <c r="I36" s="233" t="e">
        <f>H36*Tariefsopbouw!$Q$37+H36</f>
        <v>#DIV/0!</v>
      </c>
    </row>
    <row r="37" spans="1:9" ht="18.75" customHeight="1">
      <c r="A37" s="367"/>
      <c r="B37" s="83" t="s">
        <v>56</v>
      </c>
      <c r="C37" s="83" t="s">
        <v>57</v>
      </c>
      <c r="D37" s="85">
        <v>0</v>
      </c>
      <c r="E37" s="232" t="e">
        <f>InvulRegie[[#This Row],[Prijs excl. BTW]]*Tariefsopbouw!$I$37+InvulRegie[[#This Row],[Prijs excl. BTW]]</f>
        <v>#DIV/0!</v>
      </c>
      <c r="F37" s="232" t="e">
        <f>E37*Tariefsopbouw!$K$37+'Regie en afroep'!E37</f>
        <v>#DIV/0!</v>
      </c>
      <c r="G37" s="232" t="e">
        <f>F37*Tariefsopbouw!$M$37+'Regie en afroep'!F37</f>
        <v>#DIV/0!</v>
      </c>
      <c r="H37" s="294" t="e">
        <f>G37*Tariefsopbouw!$O$37+'Regie en afroep'!G37</f>
        <v>#DIV/0!</v>
      </c>
      <c r="I37" s="232" t="e">
        <f>H37*Tariefsopbouw!$Q$37+H37</f>
        <v>#DIV/0!</v>
      </c>
    </row>
    <row r="38" spans="1:9" ht="18.75" customHeight="1">
      <c r="A38" s="367"/>
      <c r="B38" s="83" t="s">
        <v>204</v>
      </c>
      <c r="C38" s="83" t="s">
        <v>57</v>
      </c>
      <c r="D38" s="85">
        <v>0</v>
      </c>
      <c r="E38" s="233" t="e">
        <f>InvulRegie[[#This Row],[Prijs excl. BTW]]*Tariefsopbouw!$I$37+InvulRegie[[#This Row],[Prijs excl. BTW]]</f>
        <v>#DIV/0!</v>
      </c>
      <c r="F38" s="233" t="e">
        <f>E38*Tariefsopbouw!$K$37+'Regie en afroep'!E38</f>
        <v>#DIV/0!</v>
      </c>
      <c r="G38" s="233" t="e">
        <f>F38*Tariefsopbouw!$M$37+'Regie en afroep'!F38</f>
        <v>#DIV/0!</v>
      </c>
      <c r="H38" s="233" t="e">
        <f>G38*Tariefsopbouw!$O$37+'Regie en afroep'!G38</f>
        <v>#DIV/0!</v>
      </c>
      <c r="I38" s="233" t="e">
        <f>H38*Tariefsopbouw!$Q$37+H38</f>
        <v>#DIV/0!</v>
      </c>
    </row>
    <row r="39" spans="1:9" ht="18.75" customHeight="1" thickBot="1">
      <c r="A39" s="368"/>
      <c r="B39" s="83" t="s">
        <v>205</v>
      </c>
      <c r="C39" s="83" t="s">
        <v>57</v>
      </c>
      <c r="D39" s="85">
        <v>0</v>
      </c>
      <c r="E39" s="232" t="e">
        <f>InvulRegie[[#This Row],[Prijs excl. BTW]]*Tariefsopbouw!$I$37+InvulRegie[[#This Row],[Prijs excl. BTW]]</f>
        <v>#DIV/0!</v>
      </c>
      <c r="F39" s="232" t="e">
        <f>E39*Tariefsopbouw!$K$37+'Regie en afroep'!E39</f>
        <v>#DIV/0!</v>
      </c>
      <c r="G39" s="232" t="e">
        <f>F39*Tariefsopbouw!$M$37+'Regie en afroep'!F39</f>
        <v>#DIV/0!</v>
      </c>
      <c r="H39" s="294" t="e">
        <f>G39*Tariefsopbouw!$O$37+'Regie en afroep'!G39</f>
        <v>#DIV/0!</v>
      </c>
      <c r="I39" s="232" t="e">
        <f>H39*Tariefsopbouw!$Q$37+H39</f>
        <v>#DIV/0!</v>
      </c>
    </row>
    <row r="40" spans="1:9" s="151" customFormat="1" ht="26.25" customHeight="1" thickTop="1">
      <c r="A40" s="149"/>
      <c r="B40" s="150" t="s">
        <v>33</v>
      </c>
      <c r="C40" s="150"/>
      <c r="D40" s="150"/>
      <c r="E40" s="231"/>
      <c r="F40" s="231"/>
      <c r="G40" s="231"/>
      <c r="H40" s="231"/>
      <c r="I40" s="231"/>
    </row>
    <row r="75" spans="1:1" ht="18.75" customHeight="1">
      <c r="A75" s="80"/>
    </row>
    <row r="76" spans="1:1" ht="18.75" customHeight="1">
      <c r="A76" s="80"/>
    </row>
    <row r="77" spans="1:1" ht="18.75" customHeight="1">
      <c r="A77" s="80"/>
    </row>
    <row r="78" spans="1:1" ht="18.75" customHeight="1">
      <c r="A78" s="80"/>
    </row>
    <row r="79" spans="1:1" ht="18.75" customHeight="1">
      <c r="A79" s="80"/>
    </row>
    <row r="80" spans="1:1" ht="18.75" customHeight="1">
      <c r="A80" s="80"/>
    </row>
    <row r="81" spans="1:1" ht="18.75" customHeight="1">
      <c r="A81" s="80"/>
    </row>
    <row r="82" spans="1:1" ht="18.75" customHeight="1">
      <c r="A82" s="80"/>
    </row>
    <row r="83" spans="1:1" ht="18.75" customHeight="1">
      <c r="A83" s="80"/>
    </row>
    <row r="84" spans="1:1" ht="18.75" customHeight="1">
      <c r="A84" s="80"/>
    </row>
    <row r="85" spans="1:1" ht="18.75" customHeight="1">
      <c r="A85" s="80"/>
    </row>
    <row r="86" spans="1:1" ht="18.75" customHeight="1">
      <c r="A86" s="80"/>
    </row>
    <row r="87" spans="1:1" ht="18.75" customHeight="1">
      <c r="A87" s="80"/>
    </row>
  </sheetData>
  <mergeCells count="9">
    <mergeCell ref="A1:I1"/>
    <mergeCell ref="A2:H2"/>
    <mergeCell ref="A31:A35"/>
    <mergeCell ref="A36:A39"/>
    <mergeCell ref="A26:A30"/>
    <mergeCell ref="A14:A20"/>
    <mergeCell ref="A21:A25"/>
    <mergeCell ref="E7:I7"/>
    <mergeCell ref="A9:A13"/>
  </mergeCells>
  <phoneticPr fontId="21" type="noConversion"/>
  <pageMargins left="0.70866141732283472" right="0.70866141732283472" top="0.74803149606299213" bottom="0.74803149606299213" header="0.31496062992125984" footer="0.31496062992125984"/>
  <pageSetup paperSize="9" scale="60" fitToHeight="0" orientation="landscape" r:id="rId1"/>
  <headerFooter alignWithMargins="0">
    <oddFooter>&amp;L&amp;F&amp;C&amp;D&amp;R&amp;A</oddFooter>
  </headerFooter>
  <rowBreaks count="1" manualBreakCount="1">
    <brk id="89" max="16383" man="1"/>
  </rowBreaks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Blad61">
    <tabColor theme="0" tint="-0.14999847407452621"/>
    <pageSetUpPr fitToPage="1"/>
  </sheetPr>
  <dimension ref="A1:H32"/>
  <sheetViews>
    <sheetView showGridLines="0" view="pageBreakPreview" zoomScaleNormal="100" zoomScaleSheetLayoutView="100" workbookViewId="0">
      <selection activeCell="B7" sqref="B7"/>
    </sheetView>
  </sheetViews>
  <sheetFormatPr defaultColWidth="9.140625" defaultRowHeight="18.75" customHeight="1"/>
  <cols>
    <col min="1" max="1" width="13.7109375" style="3" customWidth="1"/>
    <col min="2" max="2" width="40.5703125" style="141" customWidth="1"/>
    <col min="3" max="5" width="23.28515625" style="3" customWidth="1"/>
    <col min="6" max="6" width="28.140625" style="3" bestFit="1" customWidth="1"/>
    <col min="7" max="8" width="23.28515625" style="3" customWidth="1"/>
    <col min="9" max="11" width="15.85546875" style="3" customWidth="1"/>
    <col min="12" max="16384" width="9.140625" style="3"/>
  </cols>
  <sheetData>
    <row r="1" spans="1:8" s="9" customFormat="1" ht="17.25" customHeight="1">
      <c r="A1" s="319" t="s">
        <v>219</v>
      </c>
      <c r="B1" s="319"/>
      <c r="C1" s="319"/>
      <c r="D1" s="319"/>
      <c r="E1" s="319"/>
      <c r="F1" s="319"/>
      <c r="G1" s="319"/>
      <c r="H1" s="319"/>
    </row>
    <row r="2" spans="1:8" s="9" customFormat="1" ht="15" customHeight="1">
      <c r="A2" s="358" t="s">
        <v>231</v>
      </c>
      <c r="B2" s="321"/>
      <c r="C2" s="321"/>
      <c r="D2" s="321"/>
      <c r="E2" s="321"/>
      <c r="F2" s="321"/>
      <c r="G2" s="321"/>
      <c r="H2" s="321"/>
    </row>
    <row r="3" spans="1:8" s="4" customFormat="1" ht="11.25">
      <c r="B3" s="21"/>
    </row>
    <row r="4" spans="1:8" ht="11.25">
      <c r="A4" s="141"/>
      <c r="B4" s="3"/>
    </row>
    <row r="5" spans="1:8" ht="18.75" customHeight="1">
      <c r="A5" s="95" t="s">
        <v>228</v>
      </c>
      <c r="B5" s="3"/>
    </row>
    <row r="6" spans="1:8" s="45" customFormat="1" ht="25.5" customHeight="1">
      <c r="A6" s="137" t="s">
        <v>212</v>
      </c>
      <c r="B6" s="138" t="s">
        <v>145</v>
      </c>
      <c r="C6" s="137" t="s">
        <v>172</v>
      </c>
      <c r="D6" s="139" t="s">
        <v>127</v>
      </c>
      <c r="E6" s="139" t="s">
        <v>173</v>
      </c>
      <c r="F6" s="137" t="s">
        <v>126</v>
      </c>
      <c r="G6" s="140" t="s">
        <v>174</v>
      </c>
      <c r="H6" s="46" t="s">
        <v>175</v>
      </c>
    </row>
    <row r="7" spans="1:8" ht="18.75" customHeight="1">
      <c r="A7" s="188">
        <v>1</v>
      </c>
      <c r="B7" s="189" t="str">
        <f>VLOOKUP(Samenvattingschoonmaak[[#This Row],[Code Locatie]],Locaties[],2,0)</f>
        <v>PXC Aalderinkshoek</v>
      </c>
      <c r="C7" s="190">
        <f>SUMIF('Ruimtestaat'!$A:$A,Totalisatie!$A7,'Ruimtestaat'!$M:$M)</f>
        <v>8120.6799999999976</v>
      </c>
      <c r="D7" s="190">
        <f>SUMIF('Ruimtestaat'!$A:$A,Totalisatie!$A7,'Ruimtestaat'!$AD:$AD)</f>
        <v>1254309.2399999995</v>
      </c>
      <c r="E7" s="191">
        <f>SUMIF('Ruimtestaat'!$A:$A,Totalisatie!$A7,'Ruimtestaat'!$AE:$AE)</f>
        <v>0</v>
      </c>
      <c r="F7" s="192" t="e">
        <f>D7/E7</f>
        <v>#DIV/0!</v>
      </c>
      <c r="G7" s="193">
        <f>SUMIF('Ruimtestaat'!$A:$A,Totalisatie!$A7,'Ruimtestaat'!$AF:$AF)</f>
        <v>0</v>
      </c>
      <c r="H7" s="194">
        <f>G7/C7</f>
        <v>0</v>
      </c>
    </row>
    <row r="8" spans="1:8" ht="18.75" customHeight="1">
      <c r="A8" s="188">
        <v>2</v>
      </c>
      <c r="B8" s="189" t="str">
        <f>VLOOKUP(Samenvattingschoonmaak[[#This Row],[Code Locatie]],Locaties[],2,0)</f>
        <v>Stichting Facilitair Beheer Van Renneslaan</v>
      </c>
      <c r="C8" s="190">
        <f>SUMIF('Ruimtestaat'!$A:$A,Totalisatie!$A8,'Ruimtestaat'!$M:$M)</f>
        <v>11095.300000000001</v>
      </c>
      <c r="D8" s="190">
        <f>SUMIF('Ruimtestaat'!$A:$A,Totalisatie!$A8,'Ruimtestaat'!$AD:$AD)</f>
        <v>2013832.8</v>
      </c>
      <c r="E8" s="191">
        <f>SUMIF('Ruimtestaat'!$A:$A,Totalisatie!$A8,'Ruimtestaat'!$AE:$AE)</f>
        <v>0</v>
      </c>
      <c r="F8" s="192" t="e">
        <f t="shared" ref="F8:F12" si="0">D8/E8</f>
        <v>#DIV/0!</v>
      </c>
      <c r="G8" s="193">
        <f>SUMIF('Ruimtestaat'!$A:$A,Totalisatie!$A8,'Ruimtestaat'!$AF:$AF)</f>
        <v>0</v>
      </c>
      <c r="H8" s="194">
        <f t="shared" ref="H8:H12" si="1">G8/C8</f>
        <v>0</v>
      </c>
    </row>
    <row r="9" spans="1:8" ht="18.75" customHeight="1">
      <c r="A9" s="188">
        <v>3</v>
      </c>
      <c r="B9" s="189" t="str">
        <f>VLOOKUP(Samenvattingschoonmaak[[#This Row],[Code Locatie]],Locaties[],2,0)</f>
        <v>Stafbureau</v>
      </c>
      <c r="C9" s="190">
        <f>SUMIF('Ruimtestaat'!$A:$A,Totalisatie!$A9,'Ruimtestaat'!$M:$M)</f>
        <v>321.61</v>
      </c>
      <c r="D9" s="190">
        <f>SUMIF('Ruimtestaat'!$A:$A,Totalisatie!$A9,'Ruimtestaat'!$AD:$AD)</f>
        <v>67080.72</v>
      </c>
      <c r="E9" s="191">
        <f>SUMIF('Ruimtestaat'!$A:$A,Totalisatie!$A9,'Ruimtestaat'!$AE:$AE)</f>
        <v>0</v>
      </c>
      <c r="F9" s="192" t="e">
        <f t="shared" si="0"/>
        <v>#DIV/0!</v>
      </c>
      <c r="G9" s="193">
        <f>SUMIF('Ruimtestaat'!$A:$A,Totalisatie!$A9,'Ruimtestaat'!$AF:$AF)</f>
        <v>0</v>
      </c>
      <c r="H9" s="194">
        <f t="shared" si="1"/>
        <v>0</v>
      </c>
    </row>
    <row r="10" spans="1:8" ht="18.75" customHeight="1">
      <c r="A10" s="188">
        <v>4</v>
      </c>
      <c r="B10" s="189" t="str">
        <f>VLOOKUP(Samenvattingschoonmaak[[#This Row],[Code Locatie]],Locaties[],2,0)</f>
        <v>PXC Rijssen</v>
      </c>
      <c r="C10" s="190">
        <f>SUMIF('Ruimtestaat'!$A:$A,Totalisatie!$A10,'Ruimtestaat'!$M:$M)</f>
        <v>3510.7500000000009</v>
      </c>
      <c r="D10" s="190">
        <f>SUMIF('Ruimtestaat'!$A:$A,Totalisatie!$A10,'Ruimtestaat'!$AD:$AD)</f>
        <v>637732.20000000007</v>
      </c>
      <c r="E10" s="191">
        <f>SUMIF('Ruimtestaat'!$A:$A,Totalisatie!$A10,'Ruimtestaat'!$AE:$AE)</f>
        <v>0</v>
      </c>
      <c r="F10" s="192" t="e">
        <f t="shared" si="0"/>
        <v>#DIV/0!</v>
      </c>
      <c r="G10" s="193">
        <f>SUMIF('Ruimtestaat'!$A:$A,Totalisatie!$A10,'Ruimtestaat'!$AF:$AF)</f>
        <v>0</v>
      </c>
      <c r="H10" s="194">
        <f t="shared" si="1"/>
        <v>0</v>
      </c>
    </row>
    <row r="11" spans="1:8" ht="18.75" customHeight="1">
      <c r="A11" s="188">
        <v>5</v>
      </c>
      <c r="B11" s="189" t="str">
        <f>VLOOKUP(Samenvattingschoonmaak[[#This Row],[Code Locatie]],Locaties[],2,0)</f>
        <v>SGC Almelo</v>
      </c>
      <c r="C11" s="190">
        <f>SUMIF('Ruimtestaat'!$A:$A,Totalisatie!$A11,'Ruimtestaat'!$M:$M)</f>
        <v>8374.9</v>
      </c>
      <c r="D11" s="190">
        <f>SUMIF('Ruimtestaat'!$A:$A,Totalisatie!$A11,'Ruimtestaat'!$AD:$AD)</f>
        <v>1596985.9999999998</v>
      </c>
      <c r="E11" s="191">
        <f>SUMIF('Ruimtestaat'!$A:$A,Totalisatie!$A11,'Ruimtestaat'!$AE:$AE)</f>
        <v>0</v>
      </c>
      <c r="F11" s="192" t="e">
        <f t="shared" si="0"/>
        <v>#DIV/0!</v>
      </c>
      <c r="G11" s="193">
        <f>SUMIF('Ruimtestaat'!$A:$A,Totalisatie!$A11,'Ruimtestaat'!$AF:$AF)</f>
        <v>0</v>
      </c>
      <c r="H11" s="194">
        <f t="shared" si="1"/>
        <v>0</v>
      </c>
    </row>
    <row r="12" spans="1:8" ht="18.75" customHeight="1">
      <c r="A12" s="188">
        <v>6</v>
      </c>
      <c r="B12" s="189" t="str">
        <f>VLOOKUP(Samenvattingschoonmaak[[#This Row],[Code Locatie]],Locaties[],2,0)</f>
        <v>SGC Tubbergen</v>
      </c>
      <c r="C12" s="190">
        <f>SUMIF('Ruimtestaat'!$A:$A,Totalisatie!$A12,'Ruimtestaat'!$M:$M)</f>
        <v>5800.5</v>
      </c>
      <c r="D12" s="190">
        <f>SUMIF('Ruimtestaat'!$A:$A,Totalisatie!$A12,'Ruimtestaat'!$AD:$AD)</f>
        <v>1109428</v>
      </c>
      <c r="E12" s="191">
        <f>SUMIF('Ruimtestaat'!$A:$A,Totalisatie!$A12,'Ruimtestaat'!$AE:$AE)</f>
        <v>0</v>
      </c>
      <c r="F12" s="192" t="e">
        <f t="shared" si="0"/>
        <v>#DIV/0!</v>
      </c>
      <c r="G12" s="193">
        <f>SUMIF('Ruimtestaat'!$A:$A,Totalisatie!$A12,'Ruimtestaat'!$AF:$AF)</f>
        <v>0</v>
      </c>
      <c r="H12" s="194">
        <f t="shared" si="1"/>
        <v>0</v>
      </c>
    </row>
    <row r="13" spans="1:8" s="45" customFormat="1" ht="25.5" customHeight="1">
      <c r="A13" s="181"/>
      <c r="B13" s="182" t="s">
        <v>33</v>
      </c>
      <c r="C13" s="183">
        <f>SUBTOTAL(109,Samenvattingschoonmaak[Oppervlakte i/o])</f>
        <v>37223.74</v>
      </c>
      <c r="D13" s="183">
        <f>SUBTOTAL(109,Samenvattingschoonmaak[Prest. (m2 /jaar)])</f>
        <v>6679368.96</v>
      </c>
      <c r="E13" s="184">
        <f>SUBTOTAL(109,Samenvattingschoonmaak[Uren / jaar])</f>
        <v>0</v>
      </c>
      <c r="F13" s="183" t="e">
        <f>Samenvattingschoonmaak[[#Totals],[Prest. (m2 /jaar)]]/Samenvattingschoonmaak[[#Totals],[Uren / jaar]]</f>
        <v>#DIV/0!</v>
      </c>
      <c r="G13" s="185">
        <f>SUBTOTAL(109,Samenvattingschoonmaak[Kosten / jaar])</f>
        <v>0</v>
      </c>
      <c r="H13" s="186">
        <f>Samenvattingschoonmaak[[#Totals],[Kosten / jaar]]/Samenvattingschoonmaak[[#Totals],[Oppervlakte i/o]]</f>
        <v>0</v>
      </c>
    </row>
    <row r="14" spans="1:8" ht="18.75" customHeight="1">
      <c r="A14" s="141"/>
      <c r="B14" s="3"/>
    </row>
    <row r="15" spans="1:8" ht="18.75" customHeight="1">
      <c r="A15" s="95" t="s">
        <v>178</v>
      </c>
      <c r="B15" s="44"/>
      <c r="C15" s="44"/>
      <c r="D15" s="44"/>
      <c r="E15" s="44"/>
      <c r="F15" s="44"/>
      <c r="H15" s="44"/>
    </row>
    <row r="16" spans="1:8" ht="37.5" customHeight="1">
      <c r="A16" s="137" t="s">
        <v>212</v>
      </c>
      <c r="B16" s="138" t="s">
        <v>221</v>
      </c>
      <c r="C16" s="137" t="s">
        <v>180</v>
      </c>
      <c r="D16" s="140" t="s">
        <v>176</v>
      </c>
      <c r="E16" s="140" t="s">
        <v>177</v>
      </c>
      <c r="F16" s="257" t="s">
        <v>1051</v>
      </c>
      <c r="G16" s="257" t="s">
        <v>220</v>
      </c>
    </row>
    <row r="17" spans="1:8" ht="18.75" customHeight="1">
      <c r="A17" s="188">
        <v>1</v>
      </c>
      <c r="B17" s="189" t="str">
        <f>VLOOKUP(Totalisatie[[#This Row],[Code Locatie]],Locaties[],2,0)</f>
        <v>PXC Aalderinkshoek</v>
      </c>
      <c r="C17" s="193">
        <f>SUMIF('Ruimtestaat'!A:A,Totalisatie[[#This Row],[Code Locatie]],'Ruimtestaat'!AF:AF)</f>
        <v>0</v>
      </c>
      <c r="D17" s="195">
        <f>SUMIF(Glasbewassing!$A$23:$A$54,Totalisatie[[#This Row],[Code Locatie]],Glasbewassing!$G$23:$G$54)</f>
        <v>0</v>
      </c>
      <c r="E17" s="245">
        <f>SUMIF(Vloeronderhoud!$A$19:$A$49,Totalisatie[[#This Row],[Code Locatie]],Vloeronderhoud!$H$19:$H$49)</f>
        <v>0</v>
      </c>
      <c r="F17" s="245">
        <f ca="1">SUMIF(Overzichtextraw[[Code Locatie]:[Kosten/jaar excl. BTW]],Totalisatie[[#This Row],[Code Locatie]],Overzichtextraw[Kosten/jaar excl. BTW])</f>
        <v>0</v>
      </c>
      <c r="G17" s="193">
        <f ca="1">SUM(Totalisatie[[#This Row],[Schoonmaakonderhoud
Kosten / jaar]:[Extra werkzaamheden kosten /jaar]])</f>
        <v>0</v>
      </c>
    </row>
    <row r="18" spans="1:8" ht="18.75" customHeight="1">
      <c r="A18" s="188">
        <v>2</v>
      </c>
      <c r="B18" s="189" t="str">
        <f>VLOOKUP(Totalisatie[[#This Row],[Code Locatie]],Locaties[],2,0)</f>
        <v>Stichting Facilitair Beheer Van Renneslaan</v>
      </c>
      <c r="C18" s="193">
        <f>SUMIF('Ruimtestaat'!A:A,Totalisatie[[#This Row],[Code Locatie]],'Ruimtestaat'!AF:AF)</f>
        <v>0</v>
      </c>
      <c r="D18" s="195">
        <f>SUMIF(Glasbewassing!$A$23:$A$54,Totalisatie[[#This Row],[Code Locatie]],Glasbewassing!$G$23:$G$54)</f>
        <v>0</v>
      </c>
      <c r="E18" s="245">
        <f>SUMIF(Vloeronderhoud!$A$19:$A$49,Totalisatie[[#This Row],[Code Locatie]],Vloeronderhoud!$H$19:$H$49)</f>
        <v>0</v>
      </c>
      <c r="F18" s="245">
        <f ca="1">SUMIF(Overzichtextraw[[Code Locatie]:[Kosten/jaar excl. BTW]],Totalisatie[[#This Row],[Code Locatie]],Overzichtextraw[Kosten/jaar excl. BTW])</f>
        <v>0</v>
      </c>
      <c r="G18" s="193">
        <f ca="1">SUM(Totalisatie[[#This Row],[Schoonmaakonderhoud
Kosten / jaar]:[Extra werkzaamheden kosten /jaar]])</f>
        <v>0</v>
      </c>
    </row>
    <row r="19" spans="1:8" ht="18.75" customHeight="1">
      <c r="A19" s="188">
        <v>3</v>
      </c>
      <c r="B19" s="189" t="str">
        <f>VLOOKUP(Totalisatie[[#This Row],[Code Locatie]],Locaties[],2,0)</f>
        <v>Stafbureau</v>
      </c>
      <c r="C19" s="193">
        <f>SUMIF('Ruimtestaat'!A:A,Totalisatie[[#This Row],[Code Locatie]],'Ruimtestaat'!AF:AF)</f>
        <v>0</v>
      </c>
      <c r="D19" s="195">
        <f>SUMIF(Glasbewassing!$A$23:$A$54,Totalisatie[[#This Row],[Code Locatie]],Glasbewassing!$G$23:$G$54)</f>
        <v>0</v>
      </c>
      <c r="E19" s="245">
        <f>SUMIF(Vloeronderhoud!$A$19:$A$49,Totalisatie[[#This Row],[Code Locatie]],Vloeronderhoud!$H$19:$H$49)</f>
        <v>0</v>
      </c>
      <c r="F19" s="245">
        <f ca="1">SUMIF(Overzichtextraw[[Code Locatie]:[Kosten/jaar excl. BTW]],Totalisatie[[#This Row],[Code Locatie]],Overzichtextraw[Kosten/jaar excl. BTW])</f>
        <v>0</v>
      </c>
      <c r="G19" s="193">
        <f ca="1">SUM(Totalisatie[[#This Row],[Schoonmaakonderhoud
Kosten / jaar]:[Extra werkzaamheden kosten /jaar]])</f>
        <v>0</v>
      </c>
    </row>
    <row r="20" spans="1:8" ht="18.75" customHeight="1">
      <c r="A20" s="188">
        <v>4</v>
      </c>
      <c r="B20" s="189" t="str">
        <f>VLOOKUP(Totalisatie[[#This Row],[Code Locatie]],Locaties[],2,0)</f>
        <v>PXC Rijssen</v>
      </c>
      <c r="C20" s="193">
        <f>SUMIF('Ruimtestaat'!A:A,Totalisatie[[#This Row],[Code Locatie]],'Ruimtestaat'!AF:AF)</f>
        <v>0</v>
      </c>
      <c r="D20" s="195">
        <f>SUMIF(Glasbewassing!$A$23:$A$54,Totalisatie[[#This Row],[Code Locatie]],Glasbewassing!$G$23:$G$54)</f>
        <v>0</v>
      </c>
      <c r="E20" s="245">
        <f>SUMIF(Vloeronderhoud!$A$19:$A$49,Totalisatie[[#This Row],[Code Locatie]],Vloeronderhoud!$H$19:$H$49)</f>
        <v>0</v>
      </c>
      <c r="F20" s="245">
        <f ca="1">SUMIF(Overzichtextraw[[Code Locatie]:[Kosten/jaar excl. BTW]],Totalisatie[[#This Row],[Code Locatie]],Overzichtextraw[Kosten/jaar excl. BTW])</f>
        <v>0</v>
      </c>
      <c r="G20" s="193">
        <f ca="1">SUM(Totalisatie[[#This Row],[Schoonmaakonderhoud
Kosten / jaar]:[Extra werkzaamheden kosten /jaar]])</f>
        <v>0</v>
      </c>
    </row>
    <row r="21" spans="1:8" ht="18.75" customHeight="1">
      <c r="A21" s="188">
        <v>5</v>
      </c>
      <c r="B21" s="189" t="str">
        <f>VLOOKUP(Totalisatie[[#This Row],[Code Locatie]],Locaties[],2,0)</f>
        <v>SGC Almelo</v>
      </c>
      <c r="C21" s="193">
        <f>SUMIF('Ruimtestaat'!A:A,Totalisatie[[#This Row],[Code Locatie]],'Ruimtestaat'!AF:AF)</f>
        <v>0</v>
      </c>
      <c r="D21" s="195">
        <f>SUMIF(Glasbewassing!$A$23:$A$54,Totalisatie[[#This Row],[Code Locatie]],Glasbewassing!$G$23:$G$54)</f>
        <v>0</v>
      </c>
      <c r="E21" s="245">
        <f>SUMIF(Vloeronderhoud!$A$19:$A$49,Totalisatie[[#This Row],[Code Locatie]],Vloeronderhoud!$H$19:$H$49)</f>
        <v>0</v>
      </c>
      <c r="F21" s="245">
        <f ca="1">SUMIF(Overzichtextraw[[Code Locatie]:[Kosten/jaar excl. BTW]],Totalisatie[[#This Row],[Code Locatie]],Overzichtextraw[Kosten/jaar excl. BTW])</f>
        <v>0</v>
      </c>
      <c r="G21" s="193">
        <f ca="1">SUM(Totalisatie[[#This Row],[Schoonmaakonderhoud
Kosten / jaar]:[Extra werkzaamheden kosten /jaar]])</f>
        <v>0</v>
      </c>
    </row>
    <row r="22" spans="1:8" ht="18.75" customHeight="1">
      <c r="A22" s="188">
        <v>6</v>
      </c>
      <c r="B22" s="189" t="str">
        <f>VLOOKUP(Totalisatie[[#This Row],[Code Locatie]],Locaties[],2,0)</f>
        <v>SGC Tubbergen</v>
      </c>
      <c r="C22" s="193">
        <f>SUMIF('Ruimtestaat'!A:A,Totalisatie[[#This Row],[Code Locatie]],'Ruimtestaat'!AF:AF)</f>
        <v>0</v>
      </c>
      <c r="D22" s="195">
        <f>SUMIF(Glasbewassing!$A$23:$A$54,Totalisatie[[#This Row],[Code Locatie]],Glasbewassing!$G$23:$G$54)</f>
        <v>0</v>
      </c>
      <c r="E22" s="245">
        <f>SUMIF(Vloeronderhoud!$A$19:$A$49,Totalisatie[[#This Row],[Code Locatie]],Vloeronderhoud!$H$19:$H$49)</f>
        <v>0</v>
      </c>
      <c r="F22" s="245">
        <f ca="1">SUMIF(Overzichtextraw[[Code Locatie]:[Kosten/jaar excl. BTW]],Totalisatie[[#This Row],[Code Locatie]],Overzichtextraw[Kosten/jaar excl. BTW])</f>
        <v>0</v>
      </c>
      <c r="G22" s="193">
        <f ca="1">SUM(Totalisatie[[#This Row],[Schoonmaakonderhoud
Kosten / jaar]:[Extra werkzaamheden kosten /jaar]])</f>
        <v>0</v>
      </c>
    </row>
    <row r="23" spans="1:8" ht="18.75" customHeight="1">
      <c r="A23" s="181"/>
      <c r="B23" s="182" t="s">
        <v>33</v>
      </c>
      <c r="C23" s="185">
        <f>SUBTOTAL(109,Totalisatie[Schoonmaakonderhoud
Kosten / jaar])</f>
        <v>0</v>
      </c>
      <c r="D23" s="185">
        <f>SUBTOTAL(109,Totalisatie[Glasbewassing
Kosten / jaar])</f>
        <v>0</v>
      </c>
      <c r="E23" s="185">
        <f>SUBTOTAL(109,Totalisatie[Vloeronderhoud
Kosten / jaar])</f>
        <v>0</v>
      </c>
      <c r="F23" s="185">
        <f ca="1">SUBTOTAL(109,Totalisatie[Extra werkzaamheden kosten /jaar])</f>
        <v>0</v>
      </c>
      <c r="G23" s="185">
        <f ca="1">SUBTOTAL(109,Totalisatie[Totaalprijs
Kosten / jaar])</f>
        <v>0</v>
      </c>
    </row>
    <row r="24" spans="1:8" ht="18.75" customHeight="1">
      <c r="A24" s="141"/>
      <c r="B24" s="3"/>
    </row>
    <row r="25" spans="1:8" ht="18.75" customHeight="1">
      <c r="A25" s="141"/>
      <c r="B25" s="3"/>
    </row>
    <row r="26" spans="1:8" ht="12.75">
      <c r="A26" s="95" t="s">
        <v>222</v>
      </c>
      <c r="B26" s="3"/>
      <c r="H26" s="158"/>
    </row>
    <row r="27" spans="1:8" ht="18.75" customHeight="1">
      <c r="A27" s="372" t="s">
        <v>226</v>
      </c>
      <c r="B27" s="373"/>
      <c r="C27" s="374" t="s">
        <v>427</v>
      </c>
      <c r="D27" s="374"/>
      <c r="E27" s="374"/>
      <c r="F27" s="374"/>
      <c r="G27" s="375"/>
    </row>
    <row r="28" spans="1:8" ht="18.75" customHeight="1">
      <c r="A28" s="142" t="s">
        <v>131</v>
      </c>
      <c r="B28" s="376" t="s">
        <v>232</v>
      </c>
      <c r="C28" s="377"/>
      <c r="D28" s="142" t="s">
        <v>131</v>
      </c>
      <c r="E28" s="376" t="s">
        <v>232</v>
      </c>
      <c r="F28" s="380"/>
      <c r="G28" s="377"/>
    </row>
    <row r="29" spans="1:8" ht="18.75" customHeight="1">
      <c r="A29" s="143" t="s">
        <v>223</v>
      </c>
      <c r="B29" s="378" t="s">
        <v>232</v>
      </c>
      <c r="C29" s="379"/>
      <c r="D29" s="143" t="s">
        <v>223</v>
      </c>
      <c r="E29" s="378" t="s">
        <v>232</v>
      </c>
      <c r="F29" s="381"/>
      <c r="G29" s="379"/>
    </row>
    <row r="30" spans="1:8" ht="18.75" customHeight="1">
      <c r="A30" s="142" t="s">
        <v>224</v>
      </c>
      <c r="B30" s="376" t="s">
        <v>232</v>
      </c>
      <c r="C30" s="377"/>
      <c r="D30" s="142" t="s">
        <v>224</v>
      </c>
      <c r="E30" s="376" t="s">
        <v>232</v>
      </c>
      <c r="F30" s="380"/>
      <c r="G30" s="377"/>
    </row>
    <row r="31" spans="1:8" ht="37.5" customHeight="1">
      <c r="A31" s="143" t="s">
        <v>225</v>
      </c>
      <c r="B31" s="378" t="s">
        <v>232</v>
      </c>
      <c r="C31" s="379"/>
      <c r="D31" s="143" t="s">
        <v>225</v>
      </c>
      <c r="E31" s="369" t="s">
        <v>232</v>
      </c>
      <c r="F31" s="370"/>
      <c r="G31" s="371"/>
    </row>
    <row r="32" spans="1:8" ht="18.75" customHeight="1">
      <c r="A32" s="142" t="s">
        <v>889</v>
      </c>
      <c r="B32" s="144"/>
      <c r="C32" s="145"/>
      <c r="D32" s="146"/>
      <c r="E32" s="147"/>
      <c r="F32" s="147"/>
      <c r="G32" s="148"/>
    </row>
  </sheetData>
  <mergeCells count="12">
    <mergeCell ref="A1:H1"/>
    <mergeCell ref="A2:H2"/>
    <mergeCell ref="E31:G31"/>
    <mergeCell ref="A27:B27"/>
    <mergeCell ref="C27:G27"/>
    <mergeCell ref="B28:C28"/>
    <mergeCell ref="B29:C29"/>
    <mergeCell ref="B30:C30"/>
    <mergeCell ref="B31:C31"/>
    <mergeCell ref="E28:G28"/>
    <mergeCell ref="E29:G29"/>
    <mergeCell ref="E30:G30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44" orientation="portrait" r:id="rId1"/>
  <headerFooter>
    <oddFooter>&amp;L&amp;F&amp;C&amp;D&amp;R&amp;A</oddFooter>
  </headerFooter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90A2CE-E853-43DD-BE77-77E79055D275}">
  <sheetPr>
    <pageSetUpPr fitToPage="1"/>
  </sheetPr>
  <dimension ref="A1:C42"/>
  <sheetViews>
    <sheetView zoomScaleNormal="100" workbookViewId="0">
      <selection activeCell="B1" sqref="B1"/>
    </sheetView>
  </sheetViews>
  <sheetFormatPr defaultColWidth="9" defaultRowHeight="12.75"/>
  <cols>
    <col min="1" max="1" width="52" style="209" customWidth="1"/>
    <col min="2" max="2" width="28.140625" style="209" customWidth="1"/>
    <col min="3" max="3" width="37.42578125" style="209" bestFit="1" customWidth="1"/>
    <col min="4" max="16384" width="9" style="203"/>
  </cols>
  <sheetData>
    <row r="1" spans="1:3" ht="22.5">
      <c r="A1" s="227" t="s">
        <v>426</v>
      </c>
      <c r="B1" s="227" t="s">
        <v>931</v>
      </c>
      <c r="C1" s="227"/>
    </row>
    <row r="2" spans="1:3">
      <c r="A2" s="227" t="s">
        <v>275</v>
      </c>
      <c r="B2" s="227" t="s">
        <v>276</v>
      </c>
      <c r="C2" s="227" t="s">
        <v>387</v>
      </c>
    </row>
    <row r="3" spans="1:3">
      <c r="A3" s="227" t="s">
        <v>280</v>
      </c>
      <c r="B3" s="227"/>
      <c r="C3" s="227"/>
    </row>
    <row r="4" spans="1:3">
      <c r="A4" s="204" t="s">
        <v>283</v>
      </c>
      <c r="B4" s="204" t="s">
        <v>284</v>
      </c>
      <c r="C4" s="205" t="s">
        <v>388</v>
      </c>
    </row>
    <row r="5" spans="1:3">
      <c r="A5" s="204" t="s">
        <v>289</v>
      </c>
      <c r="B5" s="204" t="s">
        <v>284</v>
      </c>
      <c r="C5" s="205" t="s">
        <v>388</v>
      </c>
    </row>
    <row r="6" spans="1:3" ht="15.75" customHeight="1">
      <c r="A6" s="204" t="s">
        <v>297</v>
      </c>
      <c r="B6" s="204" t="s">
        <v>284</v>
      </c>
      <c r="C6" s="205" t="s">
        <v>388</v>
      </c>
    </row>
    <row r="7" spans="1:3">
      <c r="A7" s="204" t="s">
        <v>299</v>
      </c>
      <c r="B7" s="204" t="s">
        <v>284</v>
      </c>
      <c r="C7" s="205" t="s">
        <v>388</v>
      </c>
    </row>
    <row r="8" spans="1:3">
      <c r="A8" s="206" t="s">
        <v>301</v>
      </c>
      <c r="B8" s="206" t="s">
        <v>284</v>
      </c>
      <c r="C8" s="207" t="s">
        <v>388</v>
      </c>
    </row>
    <row r="9" spans="1:3">
      <c r="A9" s="204" t="s">
        <v>303</v>
      </c>
      <c r="B9" s="204" t="s">
        <v>284</v>
      </c>
      <c r="C9" s="205" t="s">
        <v>388</v>
      </c>
    </row>
    <row r="10" spans="1:3">
      <c r="A10" s="204" t="s">
        <v>305</v>
      </c>
      <c r="B10" s="204" t="s">
        <v>293</v>
      </c>
      <c r="C10" s="205" t="s">
        <v>388</v>
      </c>
    </row>
    <row r="11" spans="1:3">
      <c r="A11" s="204" t="s">
        <v>307</v>
      </c>
      <c r="B11" s="204" t="s">
        <v>284</v>
      </c>
      <c r="C11" s="205" t="s">
        <v>388</v>
      </c>
    </row>
    <row r="12" spans="1:3">
      <c r="A12" s="204" t="s">
        <v>309</v>
      </c>
      <c r="B12" s="204" t="s">
        <v>284</v>
      </c>
      <c r="C12" s="205" t="s">
        <v>388</v>
      </c>
    </row>
    <row r="13" spans="1:3">
      <c r="A13" s="204" t="s">
        <v>311</v>
      </c>
      <c r="B13" s="204" t="s">
        <v>293</v>
      </c>
      <c r="C13" s="205" t="s">
        <v>388</v>
      </c>
    </row>
    <row r="14" spans="1:3">
      <c r="A14" s="204" t="s">
        <v>312</v>
      </c>
      <c r="B14" s="204" t="s">
        <v>284</v>
      </c>
      <c r="C14" s="205" t="s">
        <v>388</v>
      </c>
    </row>
    <row r="15" spans="1:3">
      <c r="A15" s="204" t="s">
        <v>313</v>
      </c>
      <c r="B15" s="204" t="s">
        <v>284</v>
      </c>
      <c r="C15" s="205" t="s">
        <v>388</v>
      </c>
    </row>
    <row r="16" spans="1:3">
      <c r="A16" s="204" t="s">
        <v>318</v>
      </c>
      <c r="B16" s="204" t="s">
        <v>284</v>
      </c>
      <c r="C16" s="205" t="s">
        <v>388</v>
      </c>
    </row>
    <row r="17" spans="1:3">
      <c r="A17" s="204" t="s">
        <v>320</v>
      </c>
      <c r="B17" s="204" t="s">
        <v>293</v>
      </c>
      <c r="C17" s="205" t="s">
        <v>388</v>
      </c>
    </row>
    <row r="18" spans="1:3">
      <c r="A18" s="204" t="s">
        <v>323</v>
      </c>
      <c r="B18" s="204" t="s">
        <v>293</v>
      </c>
      <c r="C18" s="205" t="s">
        <v>388</v>
      </c>
    </row>
    <row r="19" spans="1:3">
      <c r="A19" s="204" t="s">
        <v>325</v>
      </c>
      <c r="B19" s="204" t="s">
        <v>293</v>
      </c>
      <c r="C19" s="205" t="s">
        <v>388</v>
      </c>
    </row>
    <row r="20" spans="1:3">
      <c r="A20" s="204" t="s">
        <v>326</v>
      </c>
      <c r="B20" s="204" t="s">
        <v>284</v>
      </c>
      <c r="C20" s="205" t="s">
        <v>388</v>
      </c>
    </row>
    <row r="21" spans="1:3">
      <c r="A21" s="204" t="s">
        <v>327</v>
      </c>
      <c r="B21" s="204" t="s">
        <v>293</v>
      </c>
      <c r="C21" s="205" t="s">
        <v>388</v>
      </c>
    </row>
    <row r="22" spans="1:3">
      <c r="A22" s="204" t="s">
        <v>336</v>
      </c>
      <c r="B22" s="204" t="s">
        <v>293</v>
      </c>
      <c r="C22" s="205" t="s">
        <v>388</v>
      </c>
    </row>
    <row r="23" spans="1:3">
      <c r="A23" s="204" t="s">
        <v>340</v>
      </c>
      <c r="B23" s="204" t="s">
        <v>284</v>
      </c>
      <c r="C23" s="205" t="s">
        <v>388</v>
      </c>
    </row>
    <row r="24" spans="1:3">
      <c r="A24" s="204" t="s">
        <v>342</v>
      </c>
      <c r="B24" s="204" t="s">
        <v>293</v>
      </c>
      <c r="C24" s="205" t="s">
        <v>388</v>
      </c>
    </row>
    <row r="25" spans="1:3">
      <c r="A25" s="204" t="s">
        <v>351</v>
      </c>
      <c r="B25" s="204" t="s">
        <v>293</v>
      </c>
      <c r="C25" s="205" t="s">
        <v>388</v>
      </c>
    </row>
    <row r="26" spans="1:3">
      <c r="A26" s="204" t="s">
        <v>344</v>
      </c>
      <c r="B26" s="204" t="s">
        <v>293</v>
      </c>
      <c r="C26" s="205" t="s">
        <v>388</v>
      </c>
    </row>
    <row r="27" spans="1:3">
      <c r="A27" s="204" t="s">
        <v>389</v>
      </c>
      <c r="B27" s="204" t="s">
        <v>284</v>
      </c>
      <c r="C27" s="205" t="s">
        <v>388</v>
      </c>
    </row>
    <row r="28" spans="1:3">
      <c r="A28" s="227" t="s">
        <v>353</v>
      </c>
      <c r="B28" s="227"/>
      <c r="C28" s="227"/>
    </row>
    <row r="29" spans="1:3">
      <c r="A29" s="204" t="s">
        <v>360</v>
      </c>
      <c r="B29" s="204" t="s">
        <v>293</v>
      </c>
      <c r="C29" s="205" t="s">
        <v>388</v>
      </c>
    </row>
    <row r="30" spans="1:3">
      <c r="A30" s="204" t="s">
        <v>363</v>
      </c>
      <c r="B30" s="204" t="s">
        <v>293</v>
      </c>
      <c r="C30" s="205" t="s">
        <v>388</v>
      </c>
    </row>
    <row r="31" spans="1:3">
      <c r="A31" s="204" t="s">
        <v>365</v>
      </c>
      <c r="B31" s="204" t="s">
        <v>293</v>
      </c>
      <c r="C31" s="205" t="s">
        <v>388</v>
      </c>
    </row>
    <row r="32" spans="1:3">
      <c r="A32" s="204" t="s">
        <v>366</v>
      </c>
      <c r="B32" s="204" t="s">
        <v>293</v>
      </c>
      <c r="C32" s="205" t="s">
        <v>388</v>
      </c>
    </row>
    <row r="33" spans="1:3">
      <c r="A33" s="204" t="s">
        <v>368</v>
      </c>
      <c r="B33" s="204" t="s">
        <v>293</v>
      </c>
      <c r="C33" s="205" t="s">
        <v>388</v>
      </c>
    </row>
    <row r="34" spans="1:3">
      <c r="A34" s="204" t="s">
        <v>370</v>
      </c>
      <c r="B34" s="204" t="s">
        <v>293</v>
      </c>
      <c r="C34" s="205" t="s">
        <v>388</v>
      </c>
    </row>
    <row r="35" spans="1:3">
      <c r="A35" s="204" t="s">
        <v>372</v>
      </c>
      <c r="B35" s="204" t="s">
        <v>293</v>
      </c>
      <c r="C35" s="205" t="s">
        <v>388</v>
      </c>
    </row>
    <row r="36" spans="1:3">
      <c r="A36" s="204" t="s">
        <v>373</v>
      </c>
      <c r="B36" s="204" t="s">
        <v>293</v>
      </c>
      <c r="C36" s="205" t="s">
        <v>388</v>
      </c>
    </row>
    <row r="37" spans="1:3">
      <c r="A37" s="204" t="s">
        <v>419</v>
      </c>
      <c r="B37" s="204" t="s">
        <v>293</v>
      </c>
      <c r="C37" s="205" t="s">
        <v>418</v>
      </c>
    </row>
    <row r="38" spans="1:3">
      <c r="A38" s="227" t="s">
        <v>375</v>
      </c>
      <c r="B38" s="227"/>
      <c r="C38" s="227"/>
    </row>
    <row r="39" spans="1:3">
      <c r="A39" s="204" t="s">
        <v>377</v>
      </c>
      <c r="B39" s="204" t="s">
        <v>293</v>
      </c>
      <c r="C39" s="205" t="s">
        <v>390</v>
      </c>
    </row>
    <row r="40" spans="1:3">
      <c r="A40" s="204" t="s">
        <v>273</v>
      </c>
      <c r="B40" s="204" t="s">
        <v>293</v>
      </c>
      <c r="C40" s="205" t="s">
        <v>390</v>
      </c>
    </row>
    <row r="41" spans="1:3">
      <c r="A41" s="204" t="s">
        <v>38</v>
      </c>
      <c r="B41" s="204" t="s">
        <v>293</v>
      </c>
      <c r="C41" s="205" t="s">
        <v>390</v>
      </c>
    </row>
    <row r="42" spans="1:3">
      <c r="A42" s="204"/>
      <c r="B42" s="204"/>
      <c r="C42" s="205"/>
    </row>
  </sheetData>
  <pageMargins left="0.7" right="0.7" top="0.75" bottom="0.75" header="0.3" footer="0.3"/>
  <pageSetup paperSize="9" scale="9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9">
    <tabColor theme="0" tint="-0.14999847407452621"/>
  </sheetPr>
  <dimension ref="A1:A17"/>
  <sheetViews>
    <sheetView showGridLines="0" view="pageBreakPreview" zoomScaleNormal="100" zoomScaleSheetLayoutView="100" workbookViewId="0"/>
  </sheetViews>
  <sheetFormatPr defaultColWidth="9.140625" defaultRowHeight="15" customHeight="1"/>
  <cols>
    <col min="1" max="1" width="133.7109375" style="9" bestFit="1" customWidth="1"/>
    <col min="2" max="2" width="125.42578125" style="9" customWidth="1"/>
    <col min="3" max="3" width="7.5703125" style="9" customWidth="1"/>
    <col min="4" max="4" width="29" style="9" bestFit="1" customWidth="1"/>
    <col min="5" max="5" width="5.7109375" style="9" customWidth="1"/>
    <col min="6" max="6" width="9.140625" style="9"/>
    <col min="7" max="7" width="17.85546875" style="9" bestFit="1" customWidth="1"/>
    <col min="8" max="10" width="9.140625" style="9"/>
    <col min="11" max="11" width="19.7109375" style="9" customWidth="1"/>
    <col min="12" max="16384" width="9.140625" style="9"/>
  </cols>
  <sheetData>
    <row r="1" spans="1:1" ht="15" customHeight="1">
      <c r="A1" s="99" t="s">
        <v>931</v>
      </c>
    </row>
    <row r="2" spans="1:1" ht="15" customHeight="1">
      <c r="A2" s="317" t="s">
        <v>425</v>
      </c>
    </row>
    <row r="3" spans="1:1" ht="15" customHeight="1">
      <c r="A3" s="318"/>
    </row>
    <row r="4" spans="1:1" s="292" customFormat="1" ht="15" customHeight="1">
      <c r="A4" s="311" t="s">
        <v>931</v>
      </c>
    </row>
    <row r="5" spans="1:1" ht="15" customHeight="1">
      <c r="A5" s="42" t="s">
        <v>408</v>
      </c>
    </row>
    <row r="6" spans="1:1" ht="15" customHeight="1">
      <c r="A6" s="42" t="s">
        <v>409</v>
      </c>
    </row>
    <row r="7" spans="1:1" ht="15" customHeight="1">
      <c r="A7" s="42" t="s">
        <v>410</v>
      </c>
    </row>
    <row r="8" spans="1:1" ht="15" customHeight="1">
      <c r="A8" s="42" t="s">
        <v>208</v>
      </c>
    </row>
    <row r="9" spans="1:1" ht="15" customHeight="1">
      <c r="A9" s="199" t="s">
        <v>411</v>
      </c>
    </row>
    <row r="10" spans="1:1" ht="15" customHeight="1">
      <c r="A10" s="199" t="s">
        <v>412</v>
      </c>
    </row>
    <row r="11" spans="1:1" ht="15" customHeight="1">
      <c r="A11" s="199" t="s">
        <v>413</v>
      </c>
    </row>
    <row r="12" spans="1:1" ht="15" customHeight="1">
      <c r="A12" s="199" t="s">
        <v>414</v>
      </c>
    </row>
    <row r="13" spans="1:1" ht="15" customHeight="1">
      <c r="A13" s="199" t="s">
        <v>415</v>
      </c>
    </row>
    <row r="14" spans="1:1" ht="15" customHeight="1">
      <c r="A14" s="199" t="s">
        <v>416</v>
      </c>
    </row>
    <row r="15" spans="1:1" ht="15" customHeight="1">
      <c r="A15" s="42" t="s">
        <v>417</v>
      </c>
    </row>
    <row r="16" spans="1:1" ht="15" customHeight="1">
      <c r="A16" s="43" t="s">
        <v>421</v>
      </c>
    </row>
    <row r="17" spans="1:1" ht="15" customHeight="1">
      <c r="A17" s="199"/>
    </row>
  </sheetData>
  <dataConsolidate/>
  <mergeCells count="1">
    <mergeCell ref="A2:A3"/>
  </mergeCells>
  <phoneticPr fontId="20" type="noConversion"/>
  <pageMargins left="0.2" right="0.21" top="0.57999999999999996" bottom="0.59" header="0.5" footer="0.5"/>
  <pageSetup paperSize="9" scale="81" fitToHeight="0" orientation="portrait" r:id="rId1"/>
  <headerFooter alignWithMargins="0"/>
  <rowBreaks count="1" manualBreakCount="1">
    <brk id="3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theme="0" tint="-0.14999847407452621"/>
  </sheetPr>
  <dimension ref="A1:Q60"/>
  <sheetViews>
    <sheetView showGridLines="0" view="pageBreakPreview" zoomScaleNormal="100" zoomScaleSheetLayoutView="100" workbookViewId="0">
      <selection activeCell="E5" sqref="E5"/>
    </sheetView>
  </sheetViews>
  <sheetFormatPr defaultColWidth="7.85546875" defaultRowHeight="15" customHeight="1"/>
  <cols>
    <col min="1" max="1" width="15.140625" style="4" bestFit="1" customWidth="1"/>
    <col min="2" max="2" width="26" style="4" customWidth="1"/>
    <col min="3" max="3" width="18.28515625" style="4" customWidth="1"/>
    <col min="4" max="4" width="17.7109375" style="4" bestFit="1" customWidth="1"/>
    <col min="5" max="5" width="18.28515625" style="18" customWidth="1"/>
    <col min="6" max="6" width="2.85546875" style="4" customWidth="1"/>
    <col min="7" max="7" width="11" style="4" bestFit="1" customWidth="1"/>
    <col min="8" max="8" width="12" style="4" bestFit="1" customWidth="1"/>
    <col min="9" max="9" width="17.7109375" style="4" bestFit="1" customWidth="1"/>
    <col min="10" max="10" width="12" style="4" bestFit="1" customWidth="1"/>
    <col min="11" max="11" width="17.7109375" style="4" bestFit="1" customWidth="1"/>
    <col min="12" max="12" width="12" style="4" bestFit="1" customWidth="1"/>
    <col min="13" max="13" width="17.7109375" style="4" bestFit="1" customWidth="1"/>
    <col min="14" max="14" width="12" style="4" bestFit="1" customWidth="1"/>
    <col min="15" max="15" width="17.7109375" style="4" bestFit="1" customWidth="1"/>
    <col min="16" max="16" width="12" style="4" bestFit="1" customWidth="1"/>
    <col min="17" max="17" width="15.85546875" style="4" customWidth="1"/>
    <col min="18" max="16384" width="7.85546875" style="4"/>
  </cols>
  <sheetData>
    <row r="1" spans="1:17" s="9" customFormat="1" ht="26.25" customHeight="1">
      <c r="A1" s="319" t="s">
        <v>35</v>
      </c>
      <c r="B1" s="319"/>
      <c r="C1" s="319"/>
      <c r="D1" s="319"/>
      <c r="E1" s="319"/>
    </row>
    <row r="2" spans="1:17" s="9" customFormat="1" ht="15" customHeight="1">
      <c r="A2" s="321" t="s">
        <v>216</v>
      </c>
      <c r="B2" s="321"/>
      <c r="C2" s="321"/>
      <c r="D2" s="321"/>
      <c r="E2" s="321"/>
      <c r="G2" s="334" t="s">
        <v>404</v>
      </c>
      <c r="H2" s="334"/>
      <c r="I2" s="334"/>
      <c r="J2" s="334"/>
      <c r="K2" s="334"/>
      <c r="L2" s="334"/>
      <c r="M2" s="334"/>
      <c r="N2" s="334"/>
      <c r="O2" s="334"/>
      <c r="P2" s="334"/>
      <c r="Q2" s="334"/>
    </row>
    <row r="3" spans="1:17" ht="15" customHeight="1">
      <c r="E3" s="4"/>
      <c r="G3" s="227"/>
      <c r="H3" s="337">
        <v>2023</v>
      </c>
      <c r="I3" s="337"/>
      <c r="J3" s="335">
        <v>2024</v>
      </c>
      <c r="K3" s="336"/>
      <c r="L3" s="335">
        <v>2025</v>
      </c>
      <c r="M3" s="336"/>
      <c r="N3" s="335">
        <v>2026</v>
      </c>
      <c r="O3" s="336"/>
      <c r="P3" s="335">
        <v>2027</v>
      </c>
      <c r="Q3" s="336"/>
    </row>
    <row r="4" spans="1:17" s="8" customFormat="1" ht="26.25" customHeight="1">
      <c r="A4" s="322" t="s">
        <v>80</v>
      </c>
      <c r="B4" s="323"/>
      <c r="C4" s="100" t="s">
        <v>211</v>
      </c>
      <c r="D4" s="100" t="s">
        <v>227</v>
      </c>
      <c r="E4" s="100" t="s">
        <v>87</v>
      </c>
      <c r="G4" s="227" t="s">
        <v>403</v>
      </c>
      <c r="H4" s="227" t="s">
        <v>402</v>
      </c>
      <c r="I4" s="227" t="s">
        <v>401</v>
      </c>
      <c r="J4" s="227" t="s">
        <v>402</v>
      </c>
      <c r="K4" s="227" t="s">
        <v>401</v>
      </c>
      <c r="L4" s="227" t="s">
        <v>402</v>
      </c>
      <c r="M4" s="227" t="s">
        <v>401</v>
      </c>
      <c r="N4" s="227" t="s">
        <v>402</v>
      </c>
      <c r="O4" s="227" t="s">
        <v>401</v>
      </c>
      <c r="P4" s="227" t="s">
        <v>402</v>
      </c>
      <c r="Q4" s="227" t="s">
        <v>401</v>
      </c>
    </row>
    <row r="5" spans="1:17" ht="15" customHeight="1">
      <c r="A5" s="327" t="s">
        <v>103</v>
      </c>
      <c r="B5" s="328"/>
      <c r="C5" s="10">
        <v>0</v>
      </c>
      <c r="D5" s="11">
        <v>0</v>
      </c>
      <c r="E5" s="12">
        <f>C5*D5</f>
        <v>0</v>
      </c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</row>
    <row r="6" spans="1:17" ht="15" customHeight="1">
      <c r="A6" s="327" t="s">
        <v>70</v>
      </c>
      <c r="B6" s="328"/>
      <c r="C6" s="10">
        <v>0</v>
      </c>
      <c r="D6" s="11">
        <v>0</v>
      </c>
      <c r="E6" s="12">
        <f>C6*D6</f>
        <v>0</v>
      </c>
      <c r="G6" s="216"/>
      <c r="H6" s="216"/>
      <c r="I6" s="216"/>
      <c r="J6" s="216"/>
      <c r="K6" s="216"/>
      <c r="L6" s="216"/>
      <c r="M6" s="216"/>
      <c r="N6" s="216"/>
      <c r="O6" s="216"/>
      <c r="P6" s="216"/>
      <c r="Q6" s="216"/>
    </row>
    <row r="7" spans="1:17" ht="15" customHeight="1">
      <c r="A7" s="329" t="s">
        <v>71</v>
      </c>
      <c r="B7" s="331"/>
      <c r="C7" s="10">
        <v>0</v>
      </c>
      <c r="D7" s="11">
        <v>0</v>
      </c>
      <c r="E7" s="12">
        <f>C7*D7</f>
        <v>0</v>
      </c>
      <c r="G7" s="216"/>
      <c r="H7" s="216"/>
      <c r="I7" s="216"/>
      <c r="J7" s="216"/>
      <c r="K7" s="216"/>
      <c r="L7" s="216"/>
      <c r="M7" s="216"/>
      <c r="N7" s="216"/>
      <c r="O7" s="216"/>
      <c r="P7" s="216"/>
      <c r="Q7" s="216"/>
    </row>
    <row r="8" spans="1:17" ht="15" customHeight="1">
      <c r="A8" s="332" t="s">
        <v>72</v>
      </c>
      <c r="B8" s="333"/>
      <c r="C8" s="10">
        <v>0</v>
      </c>
      <c r="D8" s="11">
        <v>0</v>
      </c>
      <c r="E8" s="12">
        <f>C8*D8</f>
        <v>0</v>
      </c>
      <c r="G8" s="216"/>
      <c r="H8" s="216"/>
      <c r="I8" s="216"/>
      <c r="J8" s="216"/>
      <c r="K8" s="216"/>
      <c r="L8" s="216"/>
      <c r="M8" s="216"/>
      <c r="N8" s="216"/>
      <c r="O8" s="216"/>
      <c r="P8" s="216"/>
      <c r="Q8" s="216"/>
    </row>
    <row r="9" spans="1:17" ht="15" customHeight="1">
      <c r="A9" s="329" t="s">
        <v>104</v>
      </c>
      <c r="B9" s="330"/>
      <c r="C9" s="331"/>
      <c r="D9" s="13">
        <f>SUM(D5:D8)</f>
        <v>0</v>
      </c>
      <c r="E9" s="12" t="str">
        <f>IF(SUM($D$5:$D$8)=100%,SUM(E5:E8),"    GEEN 100%")</f>
        <v xml:space="preserve">    GEEN 100%</v>
      </c>
      <c r="G9" s="216"/>
      <c r="H9" s="225"/>
      <c r="I9" s="216"/>
      <c r="J9" s="216"/>
      <c r="K9" s="216"/>
      <c r="L9" s="216"/>
      <c r="M9" s="216"/>
      <c r="N9" s="216"/>
      <c r="O9" s="216"/>
      <c r="P9" s="216"/>
      <c r="Q9" s="216"/>
    </row>
    <row r="10" spans="1:17" ht="15" customHeight="1">
      <c r="A10" s="320" t="s">
        <v>73</v>
      </c>
      <c r="B10" s="320"/>
      <c r="C10" s="320"/>
      <c r="D10" s="153" t="s">
        <v>3</v>
      </c>
      <c r="E10" s="155">
        <f>SUM(E9:E9)</f>
        <v>0</v>
      </c>
      <c r="G10" s="216" t="s">
        <v>400</v>
      </c>
      <c r="H10" s="225"/>
      <c r="I10" s="155">
        <f>(E10*H10)+E10</f>
        <v>0</v>
      </c>
      <c r="J10" s="225">
        <v>0</v>
      </c>
      <c r="K10" s="155">
        <f>(I10*J10)+I10</f>
        <v>0</v>
      </c>
      <c r="L10" s="225">
        <v>0</v>
      </c>
      <c r="M10" s="155">
        <f>(K10*L10)+K10</f>
        <v>0</v>
      </c>
      <c r="N10" s="225">
        <v>0</v>
      </c>
      <c r="O10" s="155">
        <f>(M10*N10)+M10</f>
        <v>0</v>
      </c>
      <c r="P10" s="225">
        <v>0</v>
      </c>
      <c r="Q10" s="155">
        <f>(O10*P10)+O10</f>
        <v>0</v>
      </c>
    </row>
    <row r="11" spans="1:17" ht="15" customHeight="1">
      <c r="A11" s="16"/>
      <c r="B11" s="17"/>
      <c r="C11" s="17"/>
      <c r="D11" s="17"/>
      <c r="G11" s="216"/>
      <c r="H11" s="216"/>
      <c r="I11" s="216"/>
      <c r="J11" s="216"/>
      <c r="K11" s="216"/>
      <c r="L11" s="216"/>
      <c r="M11" s="216"/>
      <c r="N11" s="216"/>
      <c r="O11" s="216"/>
      <c r="P11" s="216"/>
      <c r="Q11" s="216"/>
    </row>
    <row r="12" spans="1:17" s="8" customFormat="1" ht="26.25" customHeight="1">
      <c r="A12" s="322" t="s">
        <v>75</v>
      </c>
      <c r="B12" s="324"/>
      <c r="C12" s="323"/>
      <c r="D12" s="101" t="s">
        <v>84</v>
      </c>
      <c r="E12" s="100" t="s">
        <v>87</v>
      </c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</row>
    <row r="13" spans="1:17" ht="15" customHeight="1">
      <c r="A13" s="325" t="s">
        <v>4</v>
      </c>
      <c r="B13" s="326"/>
      <c r="C13" s="326"/>
      <c r="D13" s="217">
        <v>0</v>
      </c>
      <c r="E13" s="15">
        <f>SUM($E$10*D13)</f>
        <v>0</v>
      </c>
      <c r="G13" s="234" t="s">
        <v>399</v>
      </c>
      <c r="H13" s="225"/>
      <c r="I13" s="220">
        <f>(E13*H13)+E13</f>
        <v>0</v>
      </c>
      <c r="J13" s="221"/>
      <c r="K13" s="220">
        <f>(I13*J13)+I13</f>
        <v>0</v>
      </c>
      <c r="L13" s="221"/>
      <c r="M13" s="220">
        <f>(K13*L13)+K13</f>
        <v>0</v>
      </c>
      <c r="N13" s="221"/>
      <c r="O13" s="220">
        <f>(M13*N13)+M13</f>
        <v>0</v>
      </c>
      <c r="P13" s="221"/>
      <c r="Q13" s="220">
        <f>(O13*P13)+O13</f>
        <v>0</v>
      </c>
    </row>
    <row r="14" spans="1:17" ht="15" customHeight="1">
      <c r="A14" s="326" t="s">
        <v>89</v>
      </c>
      <c r="B14" s="326"/>
      <c r="C14" s="326"/>
      <c r="D14" s="217">
        <v>0</v>
      </c>
      <c r="E14" s="15">
        <f>SUM($E$10*D14)</f>
        <v>0</v>
      </c>
      <c r="G14" s="234" t="s">
        <v>399</v>
      </c>
      <c r="H14" s="225"/>
      <c r="I14" s="220">
        <f>(E14*H14)+E14</f>
        <v>0</v>
      </c>
      <c r="J14" s="221"/>
      <c r="K14" s="220">
        <f>(I14*J14)+I14</f>
        <v>0</v>
      </c>
      <c r="L14" s="221"/>
      <c r="M14" s="220">
        <f>(K14*L14)+K14</f>
        <v>0</v>
      </c>
      <c r="N14" s="221"/>
      <c r="O14" s="220">
        <f>(M14*N14)+M14</f>
        <v>0</v>
      </c>
      <c r="P14" s="221"/>
      <c r="Q14" s="220">
        <f>(O14*P14)+O14</f>
        <v>0</v>
      </c>
    </row>
    <row r="15" spans="1:17" ht="15" customHeight="1">
      <c r="A15" s="326" t="s">
        <v>5</v>
      </c>
      <c r="B15" s="326"/>
      <c r="C15" s="326"/>
      <c r="D15" s="217">
        <v>0</v>
      </c>
      <c r="E15" s="15">
        <f>SUM($E$10*D15)</f>
        <v>0</v>
      </c>
      <c r="G15" s="234" t="s">
        <v>399</v>
      </c>
      <c r="H15" s="225"/>
      <c r="I15" s="220">
        <f>(E15*H15)+E15</f>
        <v>0</v>
      </c>
      <c r="J15" s="221"/>
      <c r="K15" s="220">
        <f>(I15*J15)+I15</f>
        <v>0</v>
      </c>
      <c r="L15" s="221"/>
      <c r="M15" s="220">
        <f>(K15*L15)+K15</f>
        <v>0</v>
      </c>
      <c r="N15" s="221"/>
      <c r="O15" s="220">
        <f>(M15*N15)+M15</f>
        <v>0</v>
      </c>
      <c r="P15" s="221"/>
      <c r="Q15" s="220">
        <f>(O15*P15)+O15</f>
        <v>0</v>
      </c>
    </row>
    <row r="16" spans="1:17" ht="15" customHeight="1">
      <c r="A16" s="326" t="s">
        <v>6</v>
      </c>
      <c r="B16" s="326"/>
      <c r="C16" s="326"/>
      <c r="D16" s="217">
        <v>0</v>
      </c>
      <c r="E16" s="15">
        <f>SUM($E$10*D16)</f>
        <v>0</v>
      </c>
      <c r="G16" s="234" t="s">
        <v>399</v>
      </c>
      <c r="H16" s="225"/>
      <c r="I16" s="220">
        <f>(E16*H16)+E16</f>
        <v>0</v>
      </c>
      <c r="J16" s="221"/>
      <c r="K16" s="220">
        <f>(I16*J16)+I16</f>
        <v>0</v>
      </c>
      <c r="L16" s="221"/>
      <c r="M16" s="220">
        <f>(K16*L16)+K16</f>
        <v>0</v>
      </c>
      <c r="N16" s="221"/>
      <c r="O16" s="220">
        <f>(M16*N16)+M16</f>
        <v>0</v>
      </c>
      <c r="P16" s="221"/>
      <c r="Q16" s="220">
        <f>(O16*P16)+O16</f>
        <v>0</v>
      </c>
    </row>
    <row r="17" spans="1:17" ht="15" customHeight="1">
      <c r="A17" s="342" t="s">
        <v>92</v>
      </c>
      <c r="B17" s="343"/>
      <c r="C17" s="344"/>
      <c r="D17" s="217">
        <v>0</v>
      </c>
      <c r="E17" s="15">
        <f>SUM($E$10*D17)</f>
        <v>0</v>
      </c>
      <c r="G17" s="234" t="s">
        <v>399</v>
      </c>
      <c r="H17" s="225"/>
      <c r="I17" s="220">
        <f>(E17*H17)+E17</f>
        <v>0</v>
      </c>
      <c r="J17" s="221"/>
      <c r="K17" s="220">
        <f>(I17*J17)+I17</f>
        <v>0</v>
      </c>
      <c r="L17" s="221"/>
      <c r="M17" s="220">
        <f>(K17*L17)+K17</f>
        <v>0</v>
      </c>
      <c r="N17" s="221"/>
      <c r="O17" s="220">
        <f>(M17*N17)+M17</f>
        <v>0</v>
      </c>
      <c r="P17" s="221"/>
      <c r="Q17" s="220">
        <f>(O17*P17)+O17</f>
        <v>0</v>
      </c>
    </row>
    <row r="18" spans="1:17" ht="15" customHeight="1">
      <c r="A18" s="320" t="s">
        <v>81</v>
      </c>
      <c r="B18" s="320"/>
      <c r="C18" s="320"/>
      <c r="D18" s="156"/>
      <c r="E18" s="157">
        <f>SUM(E13:E17)</f>
        <v>0</v>
      </c>
      <c r="G18" s="216"/>
      <c r="H18" s="216"/>
      <c r="I18" s="157">
        <f>SUM(I13:I17)</f>
        <v>0</v>
      </c>
      <c r="J18" s="216"/>
      <c r="K18" s="157">
        <f>SUM(K13:K17)</f>
        <v>0</v>
      </c>
      <c r="L18" s="216"/>
      <c r="M18" s="157">
        <f>SUM(M13:M17)</f>
        <v>0</v>
      </c>
      <c r="N18" s="216"/>
      <c r="O18" s="157">
        <f>SUM(O13:O17)</f>
        <v>0</v>
      </c>
      <c r="P18" s="216"/>
      <c r="Q18" s="157">
        <f>SUM(Q13:Q17)</f>
        <v>0</v>
      </c>
    </row>
    <row r="19" spans="1:17" ht="15" customHeight="1">
      <c r="D19" s="19"/>
      <c r="E19" s="20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</row>
    <row r="20" spans="1:17" s="8" customFormat="1" ht="26.25" customHeight="1">
      <c r="A20" s="322" t="s">
        <v>76</v>
      </c>
      <c r="B20" s="324"/>
      <c r="C20" s="323"/>
      <c r="D20" s="101" t="s">
        <v>85</v>
      </c>
      <c r="E20" s="100" t="s">
        <v>87</v>
      </c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</row>
    <row r="21" spans="1:17" ht="15" customHeight="1">
      <c r="A21" s="326" t="s">
        <v>7</v>
      </c>
      <c r="B21" s="326"/>
      <c r="C21" s="326"/>
      <c r="D21" s="226" t="e">
        <f>E21/$E$35</f>
        <v>#DIV/0!</v>
      </c>
      <c r="E21" s="223">
        <v>0</v>
      </c>
      <c r="G21" s="216" t="s">
        <v>399</v>
      </c>
      <c r="H21" s="225"/>
      <c r="I21" s="220">
        <f>(E21*H21)+E21</f>
        <v>0</v>
      </c>
      <c r="J21" s="221"/>
      <c r="K21" s="220">
        <f>(I21*J21)+I21</f>
        <v>0</v>
      </c>
      <c r="L21" s="221"/>
      <c r="M21" s="220">
        <f>(K21*L21)+K21</f>
        <v>0</v>
      </c>
      <c r="N21" s="221"/>
      <c r="O21" s="220">
        <f>(M21*N21)+M21</f>
        <v>0</v>
      </c>
      <c r="P21" s="221"/>
      <c r="Q21" s="220">
        <f>(O21*P21)+O21</f>
        <v>0</v>
      </c>
    </row>
    <row r="22" spans="1:17" ht="15" customHeight="1">
      <c r="A22" s="325" t="s">
        <v>8</v>
      </c>
      <c r="B22" s="326"/>
      <c r="C22" s="326"/>
      <c r="D22" s="226" t="e">
        <f>E22/$E$35</f>
        <v>#DIV/0!</v>
      </c>
      <c r="E22" s="223">
        <v>0</v>
      </c>
      <c r="G22" s="216" t="s">
        <v>399</v>
      </c>
      <c r="H22" s="225"/>
      <c r="I22" s="220">
        <f>(E22*H22)+E22</f>
        <v>0</v>
      </c>
      <c r="J22" s="221"/>
      <c r="K22" s="220">
        <f>(I22*J22)+I22</f>
        <v>0</v>
      </c>
      <c r="L22" s="221"/>
      <c r="M22" s="220">
        <f>(K22*L22)+K22</f>
        <v>0</v>
      </c>
      <c r="N22" s="221"/>
      <c r="O22" s="220">
        <f>(M22*N22)+M22</f>
        <v>0</v>
      </c>
      <c r="P22" s="221"/>
      <c r="Q22" s="220">
        <f>(O22*P22)+O22</f>
        <v>0</v>
      </c>
    </row>
    <row r="23" spans="1:17" ht="15" customHeight="1">
      <c r="A23" s="326" t="s">
        <v>9</v>
      </c>
      <c r="B23" s="326"/>
      <c r="C23" s="326"/>
      <c r="D23" s="226" t="e">
        <f>E23/$E$35</f>
        <v>#DIV/0!</v>
      </c>
      <c r="E23" s="223">
        <v>0</v>
      </c>
      <c r="G23" s="216" t="s">
        <v>399</v>
      </c>
      <c r="H23" s="225"/>
      <c r="I23" s="222">
        <f>(E23*H23)+E23</f>
        <v>0</v>
      </c>
      <c r="J23" s="221"/>
      <c r="K23" s="220">
        <f>(I23*J23)+I23</f>
        <v>0</v>
      </c>
      <c r="L23" s="221"/>
      <c r="M23" s="220">
        <f>(K23*L23)+K23</f>
        <v>0</v>
      </c>
      <c r="N23" s="221"/>
      <c r="O23" s="220">
        <f>(M23*N23)+M23</f>
        <v>0</v>
      </c>
      <c r="P23" s="221"/>
      <c r="Q23" s="220">
        <f>(O23*P23)+O23</f>
        <v>0</v>
      </c>
    </row>
    <row r="24" spans="1:17" ht="15" customHeight="1">
      <c r="A24" s="332" t="s">
        <v>10</v>
      </c>
      <c r="B24" s="341"/>
      <c r="C24" s="333"/>
      <c r="D24" s="217">
        <v>0</v>
      </c>
      <c r="E24" s="14">
        <f>D24*$E$10</f>
        <v>0</v>
      </c>
      <c r="G24" s="216" t="s">
        <v>400</v>
      </c>
      <c r="H24" s="225"/>
      <c r="I24" s="220">
        <f>(E24*H24)+E24</f>
        <v>0</v>
      </c>
      <c r="J24" s="221"/>
      <c r="K24" s="220">
        <f>(I24*J24)+I24</f>
        <v>0</v>
      </c>
      <c r="L24" s="221"/>
      <c r="M24" s="220">
        <f>(K24*L24)+K24</f>
        <v>0</v>
      </c>
      <c r="N24" s="221"/>
      <c r="O24" s="220">
        <f>(M24*N24)+M24</f>
        <v>0</v>
      </c>
      <c r="P24" s="221"/>
      <c r="Q24" s="220">
        <f>(O24*P24)+O24</f>
        <v>0</v>
      </c>
    </row>
    <row r="25" spans="1:17" ht="15" customHeight="1">
      <c r="A25" s="342" t="s">
        <v>90</v>
      </c>
      <c r="B25" s="343"/>
      <c r="C25" s="344"/>
      <c r="D25" s="226" t="e">
        <f>E25/$E$35</f>
        <v>#DIV/0!</v>
      </c>
      <c r="E25" s="223">
        <v>0</v>
      </c>
      <c r="G25" s="216" t="s">
        <v>399</v>
      </c>
      <c r="H25" s="225"/>
      <c r="I25" s="222">
        <f>(E25*H25)+E25</f>
        <v>0</v>
      </c>
      <c r="J25" s="221"/>
      <c r="K25" s="220">
        <f>(I25*J25)+I25</f>
        <v>0</v>
      </c>
      <c r="L25" s="221"/>
      <c r="M25" s="220">
        <f>(K25*L25)+K25</f>
        <v>0</v>
      </c>
      <c r="N25" s="221"/>
      <c r="O25" s="220">
        <f>(M25*N25)+M25</f>
        <v>0</v>
      </c>
      <c r="P25" s="221"/>
      <c r="Q25" s="220">
        <f>(O25*P25)+O25</f>
        <v>0</v>
      </c>
    </row>
    <row r="26" spans="1:17" ht="15" customHeight="1">
      <c r="A26" s="320" t="s">
        <v>82</v>
      </c>
      <c r="B26" s="320"/>
      <c r="C26" s="320"/>
      <c r="D26" s="153" t="s">
        <v>3</v>
      </c>
      <c r="E26" s="155">
        <f>SUM(E21:E25)</f>
        <v>0</v>
      </c>
      <c r="G26" s="216"/>
      <c r="H26" s="216"/>
      <c r="I26" s="155">
        <f>SUM(I21:I25)</f>
        <v>0</v>
      </c>
      <c r="J26" s="216"/>
      <c r="K26" s="155">
        <f>SUM(K21:K25)</f>
        <v>0</v>
      </c>
      <c r="L26" s="216"/>
      <c r="M26" s="155">
        <f>SUM(M21:M25)</f>
        <v>0</v>
      </c>
      <c r="N26" s="216"/>
      <c r="O26" s="155">
        <f>SUM(O21:O25)</f>
        <v>0</v>
      </c>
      <c r="P26" s="216"/>
      <c r="Q26" s="155">
        <f>SUM(Q21:Q25)</f>
        <v>0</v>
      </c>
    </row>
    <row r="27" spans="1:17" ht="15" customHeight="1">
      <c r="A27" s="21"/>
      <c r="B27" s="21"/>
      <c r="C27" s="21"/>
      <c r="D27" s="22"/>
      <c r="E27" s="23"/>
      <c r="G27" s="216"/>
      <c r="H27" s="216"/>
      <c r="I27" s="216"/>
      <c r="J27" s="216"/>
      <c r="K27" s="216"/>
      <c r="L27" s="216"/>
      <c r="M27" s="216"/>
      <c r="N27" s="216"/>
      <c r="O27" s="216"/>
      <c r="P27" s="216"/>
      <c r="Q27" s="216"/>
    </row>
    <row r="28" spans="1:17" s="8" customFormat="1" ht="26.25" customHeight="1">
      <c r="A28" s="322" t="s">
        <v>77</v>
      </c>
      <c r="B28" s="324"/>
      <c r="C28" s="323"/>
      <c r="D28" s="101" t="s">
        <v>85</v>
      </c>
      <c r="E28" s="100" t="s">
        <v>87</v>
      </c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</row>
    <row r="29" spans="1:17" ht="15" customHeight="1">
      <c r="A29" s="325" t="s">
        <v>11</v>
      </c>
      <c r="B29" s="326"/>
      <c r="C29" s="326"/>
      <c r="D29" s="217">
        <v>0</v>
      </c>
      <c r="E29" s="14">
        <f>D29*($E$18+$E$10)</f>
        <v>0</v>
      </c>
      <c r="G29" s="234" t="s">
        <v>399</v>
      </c>
      <c r="H29" s="225"/>
      <c r="I29" s="220">
        <f>(E29*H29)+E29</f>
        <v>0</v>
      </c>
      <c r="J29" s="221"/>
      <c r="K29" s="220">
        <f>(I29*J29)+I29</f>
        <v>0</v>
      </c>
      <c r="L29" s="221"/>
      <c r="M29" s="220">
        <f>(K29*L29)+K29</f>
        <v>0</v>
      </c>
      <c r="N29" s="221"/>
      <c r="O29" s="220">
        <f>(M29*N29)+M29</f>
        <v>0</v>
      </c>
      <c r="P29" s="221"/>
      <c r="Q29" s="220">
        <f>(O29*P29)+O29</f>
        <v>0</v>
      </c>
    </row>
    <row r="30" spans="1:17" ht="15" customHeight="1">
      <c r="A30" s="325" t="s">
        <v>78</v>
      </c>
      <c r="B30" s="326"/>
      <c r="C30" s="326"/>
      <c r="D30" s="224" t="e">
        <f>E30/$E$35</f>
        <v>#DIV/0!</v>
      </c>
      <c r="E30" s="223">
        <v>0</v>
      </c>
      <c r="G30" s="216" t="s">
        <v>399</v>
      </c>
      <c r="H30" s="225"/>
      <c r="I30" s="222">
        <f>(E30*H30)+E30</f>
        <v>0</v>
      </c>
      <c r="J30" s="221"/>
      <c r="K30" s="220">
        <f>(I30*J30)+I30</f>
        <v>0</v>
      </c>
      <c r="L30" s="221"/>
      <c r="M30" s="220">
        <f>(K30*L30)+K30</f>
        <v>0</v>
      </c>
      <c r="N30" s="221"/>
      <c r="O30" s="220">
        <f>(M30*N30)+M30</f>
        <v>0</v>
      </c>
      <c r="P30" s="221"/>
      <c r="Q30" s="220">
        <f>(O30*P30)+O30</f>
        <v>0</v>
      </c>
    </row>
    <row r="31" spans="1:17" ht="15" customHeight="1">
      <c r="A31" s="342" t="s">
        <v>91</v>
      </c>
      <c r="B31" s="343"/>
      <c r="C31" s="344"/>
      <c r="D31" s="226" t="e">
        <f>E31/$E$35</f>
        <v>#DIV/0!</v>
      </c>
      <c r="E31" s="223">
        <v>0</v>
      </c>
      <c r="G31" s="216" t="s">
        <v>399</v>
      </c>
      <c r="H31" s="225"/>
      <c r="I31" s="222">
        <f>(E31*H31)+E31</f>
        <v>0</v>
      </c>
      <c r="J31" s="221"/>
      <c r="K31" s="220">
        <f>(I31*J31)+I31</f>
        <v>0</v>
      </c>
      <c r="L31" s="221"/>
      <c r="M31" s="220">
        <f>(K31*L31)+K31</f>
        <v>0</v>
      </c>
      <c r="N31" s="221"/>
      <c r="O31" s="220">
        <f>(M31*N31)+M31</f>
        <v>0</v>
      </c>
      <c r="P31" s="221"/>
      <c r="Q31" s="220">
        <f>(O31*P31)+O31</f>
        <v>0</v>
      </c>
    </row>
    <row r="32" spans="1:17" ht="15" customHeight="1">
      <c r="A32" s="326" t="s">
        <v>79</v>
      </c>
      <c r="B32" s="326"/>
      <c r="C32" s="326"/>
      <c r="D32" s="224" t="e">
        <f>E32/$E$35</f>
        <v>#DIV/0!</v>
      </c>
      <c r="E32" s="223">
        <v>0</v>
      </c>
      <c r="G32" s="216"/>
      <c r="H32" s="216"/>
      <c r="I32" s="222">
        <f>(E32*H32)+E32</f>
        <v>0</v>
      </c>
      <c r="J32" s="221"/>
      <c r="K32" s="220">
        <f>(I32*J32)+I32</f>
        <v>0</v>
      </c>
      <c r="L32" s="221"/>
      <c r="M32" s="220">
        <f>(K32*L32)+K32</f>
        <v>0</v>
      </c>
      <c r="N32" s="221"/>
      <c r="O32" s="220">
        <f>(M32*N32)+M32</f>
        <v>0</v>
      </c>
      <c r="P32" s="221"/>
      <c r="Q32" s="220">
        <f>(O32*P32)+O32</f>
        <v>0</v>
      </c>
    </row>
    <row r="33" spans="1:17" ht="15" customHeight="1">
      <c r="A33" s="320" t="s">
        <v>83</v>
      </c>
      <c r="B33" s="320"/>
      <c r="C33" s="320"/>
      <c r="D33" s="153"/>
      <c r="E33" s="154">
        <f>SUM(E29:E32)</f>
        <v>0</v>
      </c>
      <c r="G33" s="216"/>
      <c r="H33" s="216"/>
      <c r="I33" s="154">
        <f>SUM(I29:I32)</f>
        <v>0</v>
      </c>
      <c r="J33" s="216"/>
      <c r="K33" s="154">
        <f>SUM(K29:K32)</f>
        <v>0</v>
      </c>
      <c r="L33" s="216"/>
      <c r="M33" s="154">
        <f>SUM(M29:M32)</f>
        <v>0</v>
      </c>
      <c r="N33" s="216"/>
      <c r="O33" s="154">
        <f>SUM(O29:O32)</f>
        <v>0</v>
      </c>
      <c r="P33" s="216"/>
      <c r="Q33" s="154">
        <f>SUM(Q29:Q32)</f>
        <v>0</v>
      </c>
    </row>
    <row r="34" spans="1:17" ht="15" customHeight="1">
      <c r="A34" s="21"/>
      <c r="B34" s="21"/>
      <c r="C34" s="21"/>
      <c r="D34" s="22"/>
      <c r="E34" s="24"/>
      <c r="H34" s="216"/>
      <c r="I34" s="216"/>
      <c r="J34" s="216"/>
      <c r="K34" s="216"/>
      <c r="L34" s="216"/>
      <c r="M34" s="216"/>
      <c r="N34" s="216"/>
      <c r="O34" s="216"/>
      <c r="P34" s="216"/>
      <c r="Q34" s="216"/>
    </row>
    <row r="35" spans="1:17" ht="26.25" customHeight="1">
      <c r="A35" s="338" t="s">
        <v>102</v>
      </c>
      <c r="B35" s="339"/>
      <c r="C35" s="339"/>
      <c r="D35" s="340"/>
      <c r="E35" s="152">
        <f>E33+E26+E18+E10</f>
        <v>0</v>
      </c>
      <c r="G35" s="28"/>
      <c r="H35" s="216"/>
      <c r="I35" s="152">
        <f>I33+I26+I18+I10</f>
        <v>0</v>
      </c>
      <c r="J35" s="216"/>
      <c r="K35" s="152">
        <f>K33+K26+K18+K10</f>
        <v>0</v>
      </c>
      <c r="L35" s="216"/>
      <c r="M35" s="152">
        <f>M33+M26+M18+M10</f>
        <v>0</v>
      </c>
      <c r="N35" s="216"/>
      <c r="O35" s="152">
        <f>O33+O26+O18+O10</f>
        <v>0</v>
      </c>
      <c r="P35" s="216"/>
      <c r="Q35" s="152">
        <f>Q33+Q26+Q18+Q10</f>
        <v>0</v>
      </c>
    </row>
    <row r="36" spans="1:17" ht="15" customHeight="1">
      <c r="D36" s="19"/>
      <c r="E36" s="20"/>
    </row>
    <row r="37" spans="1:17" ht="26.25" customHeight="1">
      <c r="A37" s="102" t="s">
        <v>86</v>
      </c>
      <c r="B37" s="103"/>
      <c r="C37" s="101" t="s">
        <v>101</v>
      </c>
      <c r="D37" s="101" t="s">
        <v>99</v>
      </c>
      <c r="E37" s="101" t="s">
        <v>100</v>
      </c>
      <c r="H37" s="101" t="s">
        <v>398</v>
      </c>
      <c r="I37" s="219" t="e">
        <f>(I35/E35)-100%</f>
        <v>#DIV/0!</v>
      </c>
      <c r="J37" s="101"/>
      <c r="K37" s="219" t="e">
        <f>(K35/I35)-100%</f>
        <v>#DIV/0!</v>
      </c>
      <c r="L37" s="101"/>
      <c r="M37" s="219" t="e">
        <f>(M35/K35)-100%</f>
        <v>#DIV/0!</v>
      </c>
      <c r="N37" s="101"/>
      <c r="O37" s="219" t="e">
        <f>(O35/M35)-100%</f>
        <v>#DIV/0!</v>
      </c>
      <c r="P37" s="101"/>
      <c r="Q37" s="219" t="e">
        <f>(Q35/O35)-100%</f>
        <v>#DIV/0!</v>
      </c>
    </row>
    <row r="38" spans="1:17" ht="15" customHeight="1">
      <c r="A38" s="216" t="s">
        <v>88</v>
      </c>
      <c r="B38" s="216" t="s">
        <v>94</v>
      </c>
      <c r="C38" s="25">
        <v>0</v>
      </c>
      <c r="D38" s="26">
        <f>SUM($E$10,$E$18,$E$26,$E$33)+(C38*($E$18+$E$10))</f>
        <v>0</v>
      </c>
      <c r="E38" s="27">
        <f>D38*121%</f>
        <v>0</v>
      </c>
      <c r="F38" s="28"/>
      <c r="H38" s="216"/>
      <c r="I38" s="12" t="e">
        <f>(D38*$I$37)+D38</f>
        <v>#DIV/0!</v>
      </c>
      <c r="J38" s="216"/>
      <c r="K38" s="12" t="e">
        <f>(I38*$K$37)+I38</f>
        <v>#DIV/0!</v>
      </c>
      <c r="L38" s="216"/>
      <c r="M38" s="12" t="e">
        <f>(K38*$M$37)+K38</f>
        <v>#DIV/0!</v>
      </c>
      <c r="N38" s="216"/>
      <c r="O38" s="12" t="e">
        <f>(M38*$O$37)+M38</f>
        <v>#DIV/0!</v>
      </c>
      <c r="P38" s="216"/>
      <c r="Q38" s="12" t="e">
        <f>(O38*$Q$37)+O38</f>
        <v>#DIV/0!</v>
      </c>
    </row>
    <row r="39" spans="1:17" ht="15" customHeight="1">
      <c r="A39" s="216" t="s">
        <v>93</v>
      </c>
      <c r="B39" s="216" t="s">
        <v>95</v>
      </c>
      <c r="C39" s="25">
        <v>0.3</v>
      </c>
      <c r="D39" s="26">
        <f>SUM($E$10,$E$18,$E$26,$E$33)+(C39*($E$18+$E$10))</f>
        <v>0</v>
      </c>
      <c r="E39" s="27">
        <f>D39*121%</f>
        <v>0</v>
      </c>
      <c r="F39" s="28"/>
      <c r="H39" s="12"/>
      <c r="I39" s="12" t="e">
        <f>(D39*$I$37)+D39</f>
        <v>#DIV/0!</v>
      </c>
      <c r="J39" s="216"/>
      <c r="K39" s="12" t="e">
        <f>(I39*$K$37)+I39</f>
        <v>#DIV/0!</v>
      </c>
      <c r="L39" s="216"/>
      <c r="M39" s="12" t="e">
        <f>(K39*$M$37)+K39</f>
        <v>#DIV/0!</v>
      </c>
      <c r="N39" s="216"/>
      <c r="O39" s="12" t="e">
        <f>(M39*$O$37)+M39</f>
        <v>#DIV/0!</v>
      </c>
      <c r="P39" s="216"/>
      <c r="Q39" s="12" t="e">
        <f>(O39*$Q$37)+O39</f>
        <v>#DIV/0!</v>
      </c>
    </row>
    <row r="40" spans="1:17" ht="15" customHeight="1">
      <c r="A40" s="216" t="s">
        <v>24</v>
      </c>
      <c r="B40" s="216" t="s">
        <v>96</v>
      </c>
      <c r="C40" s="25">
        <v>0.5</v>
      </c>
      <c r="D40" s="26">
        <f>SUM($E$10,$E$18,$E$26,$E$33)+(C40*($E$18+$E$10))</f>
        <v>0</v>
      </c>
      <c r="E40" s="27">
        <f>D40*121%</f>
        <v>0</v>
      </c>
      <c r="F40" s="28"/>
      <c r="H40" s="216"/>
      <c r="I40" s="12" t="e">
        <f>(D40*$I$37)+D40</f>
        <v>#DIV/0!</v>
      </c>
      <c r="J40" s="216"/>
      <c r="K40" s="12" t="e">
        <f>(I40*$K$37)+I40</f>
        <v>#DIV/0!</v>
      </c>
      <c r="L40" s="216"/>
      <c r="M40" s="12" t="e">
        <f>(K40*$M$37)+K40</f>
        <v>#DIV/0!</v>
      </c>
      <c r="N40" s="216"/>
      <c r="O40" s="12" t="e">
        <f>(M40*$O$37)+M40</f>
        <v>#DIV/0!</v>
      </c>
      <c r="P40" s="216"/>
      <c r="Q40" s="12" t="e">
        <f>(O40*$Q$37)+O40</f>
        <v>#DIV/0!</v>
      </c>
    </row>
    <row r="41" spans="1:17" ht="15" customHeight="1">
      <c r="A41" s="216" t="s">
        <v>97</v>
      </c>
      <c r="B41" s="218" t="s">
        <v>98</v>
      </c>
      <c r="C41" s="25">
        <v>1.5</v>
      </c>
      <c r="D41" s="26">
        <f>SUM($E$10,$E$18,$E$26,$E$33)+(C41*($E$18+$E$10))</f>
        <v>0</v>
      </c>
      <c r="E41" s="27">
        <f>D41*121%</f>
        <v>0</v>
      </c>
      <c r="F41" s="28"/>
      <c r="H41" s="216"/>
      <c r="I41" s="12" t="e">
        <f>(D41*$I$37)+D41</f>
        <v>#DIV/0!</v>
      </c>
      <c r="J41" s="216"/>
      <c r="K41" s="12" t="e">
        <f>(I41*$K$37)+I41</f>
        <v>#DIV/0!</v>
      </c>
      <c r="L41" s="216"/>
      <c r="M41" s="12" t="e">
        <f>(K41*$M$37)+K41</f>
        <v>#DIV/0!</v>
      </c>
      <c r="N41" s="216"/>
      <c r="O41" s="12" t="e">
        <f>(M41*$O$37)+M41</f>
        <v>#DIV/0!</v>
      </c>
      <c r="P41" s="216"/>
      <c r="Q41" s="12" t="e">
        <f>(O41*$Q$37)+O41</f>
        <v>#DIV/0!</v>
      </c>
    </row>
    <row r="42" spans="1:17" ht="15" customHeight="1">
      <c r="E42" s="4"/>
    </row>
    <row r="43" spans="1:17" ht="15" customHeight="1">
      <c r="E43" s="4"/>
    </row>
    <row r="44" spans="1:17" ht="15" customHeight="1">
      <c r="E44" s="4"/>
    </row>
    <row r="45" spans="1:17" ht="15" customHeight="1">
      <c r="E45" s="4"/>
    </row>
    <row r="46" spans="1:17" ht="15" customHeight="1">
      <c r="E46" s="4"/>
    </row>
    <row r="47" spans="1:17" ht="15" customHeight="1">
      <c r="E47" s="4"/>
    </row>
    <row r="48" spans="1:17" ht="15" customHeight="1">
      <c r="E48" s="4"/>
    </row>
    <row r="49" spans="5:5" ht="15" customHeight="1">
      <c r="E49" s="4"/>
    </row>
    <row r="50" spans="5:5" ht="15" customHeight="1">
      <c r="E50" s="4"/>
    </row>
    <row r="51" spans="5:5" ht="15" customHeight="1">
      <c r="E51" s="4"/>
    </row>
    <row r="52" spans="5:5" ht="15" customHeight="1">
      <c r="E52" s="4"/>
    </row>
    <row r="53" spans="5:5" ht="15" customHeight="1">
      <c r="E53" s="4"/>
    </row>
    <row r="54" spans="5:5" ht="15" customHeight="1">
      <c r="E54" s="4"/>
    </row>
    <row r="55" spans="5:5" ht="15" customHeight="1">
      <c r="E55" s="4"/>
    </row>
    <row r="56" spans="5:5" ht="15" customHeight="1">
      <c r="E56" s="4"/>
    </row>
    <row r="57" spans="5:5" ht="15" customHeight="1">
      <c r="E57" s="4"/>
    </row>
    <row r="58" spans="5:5" ht="15" customHeight="1">
      <c r="E58" s="4"/>
    </row>
    <row r="59" spans="5:5" ht="15" customHeight="1">
      <c r="E59" s="4"/>
    </row>
    <row r="60" spans="5:5" ht="15" customHeight="1">
      <c r="E60" s="4"/>
    </row>
  </sheetData>
  <mergeCells count="36"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A20:C20"/>
    <mergeCell ref="A7:B7"/>
    <mergeCell ref="A22:C22"/>
    <mergeCell ref="A10:C10"/>
    <mergeCell ref="G2:Q2"/>
    <mergeCell ref="J3:K3"/>
    <mergeCell ref="L3:M3"/>
    <mergeCell ref="N3:O3"/>
    <mergeCell ref="P3:Q3"/>
    <mergeCell ref="H3:I3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</mergeCells>
  <conditionalFormatting sqref="E9">
    <cfRule type="containsText" dxfId="197" priority="1" operator="containsText" text="geen">
      <formula>NOT(ISERROR(SEARCH("geen",E9)))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 tint="-0.14999847407452621"/>
    <pageSetUpPr fitToPage="1"/>
  </sheetPr>
  <dimension ref="A1:U26"/>
  <sheetViews>
    <sheetView workbookViewId="0"/>
  </sheetViews>
  <sheetFormatPr defaultRowHeight="12.75"/>
  <cols>
    <col min="1" max="1" width="6" style="151" customWidth="1"/>
    <col min="2" max="2" width="11.5703125" style="151" hidden="1" customWidth="1"/>
    <col min="3" max="3" width="13.85546875" style="151" customWidth="1"/>
    <col min="4" max="4" width="14.7109375" style="151" bestFit="1" customWidth="1"/>
    <col min="5" max="5" width="15.5703125" style="151" bestFit="1" customWidth="1"/>
    <col min="6" max="6" width="14" style="151" bestFit="1" customWidth="1"/>
    <col min="7" max="7" width="10.42578125" style="196" bestFit="1" customWidth="1"/>
    <col min="8" max="8" width="38.5703125" style="151" bestFit="1" customWidth="1"/>
    <col min="9" max="9" width="13" style="196" customWidth="1"/>
    <col min="10" max="10" width="11.28515625" style="196" customWidth="1"/>
    <col min="11" max="11" width="9" style="151" bestFit="1" customWidth="1"/>
    <col min="12" max="12" width="12.28515625" style="151" bestFit="1" customWidth="1"/>
    <col min="13" max="13" width="10.7109375" style="151" customWidth="1"/>
    <col min="14" max="16" width="11.7109375" style="151" customWidth="1"/>
    <col min="17" max="17" width="14.140625" style="151" bestFit="1" customWidth="1"/>
    <col min="18" max="18" width="17.7109375" style="151" hidden="1" customWidth="1"/>
    <col min="19" max="19" width="15.85546875" style="196" bestFit="1" customWidth="1"/>
    <col min="20" max="20" width="22.28515625" style="151" bestFit="1" customWidth="1"/>
    <col min="21" max="21" width="14.42578125" customWidth="1"/>
  </cols>
  <sheetData>
    <row r="1" spans="1:21" ht="45" customHeight="1">
      <c r="A1" s="312" t="s">
        <v>1348</v>
      </c>
      <c r="B1" s="227" t="s">
        <v>259</v>
      </c>
      <c r="C1" s="227" t="s">
        <v>420</v>
      </c>
      <c r="D1" s="227" t="s">
        <v>260</v>
      </c>
      <c r="E1" s="227" t="s">
        <v>261</v>
      </c>
      <c r="F1" s="227" t="s">
        <v>262</v>
      </c>
      <c r="G1" s="227" t="s">
        <v>263</v>
      </c>
      <c r="H1" s="227" t="s">
        <v>223</v>
      </c>
      <c r="I1" s="227" t="s">
        <v>264</v>
      </c>
      <c r="J1" s="227" t="s">
        <v>265</v>
      </c>
      <c r="K1" s="227" t="s">
        <v>266</v>
      </c>
      <c r="L1" s="227" t="s">
        <v>267</v>
      </c>
      <c r="M1" s="227" t="s">
        <v>268</v>
      </c>
      <c r="N1" s="227" t="s">
        <v>269</v>
      </c>
      <c r="O1" s="227" t="s">
        <v>430</v>
      </c>
      <c r="P1" s="227" t="s">
        <v>879</v>
      </c>
      <c r="Q1" s="227" t="s">
        <v>880</v>
      </c>
      <c r="R1" s="227" t="s">
        <v>270</v>
      </c>
      <c r="S1" s="227" t="s">
        <v>271</v>
      </c>
      <c r="T1" s="227" t="s">
        <v>145</v>
      </c>
      <c r="U1" s="227" t="s">
        <v>431</v>
      </c>
    </row>
    <row r="2" spans="1:21">
      <c r="A2" s="253">
        <v>1</v>
      </c>
      <c r="B2" s="265"/>
      <c r="C2" s="247"/>
      <c r="D2" s="247">
        <v>38173</v>
      </c>
      <c r="E2" s="264" t="s">
        <v>874</v>
      </c>
      <c r="F2" s="255">
        <v>10</v>
      </c>
      <c r="G2" s="267" t="s">
        <v>875</v>
      </c>
      <c r="H2" s="248" t="s">
        <v>876</v>
      </c>
      <c r="I2" s="267"/>
      <c r="J2" s="267"/>
      <c r="K2" s="249">
        <v>12.86</v>
      </c>
      <c r="L2" s="249"/>
      <c r="M2" s="249"/>
      <c r="N2" s="264"/>
      <c r="O2" s="264"/>
      <c r="P2" s="265"/>
      <c r="Q2" s="249"/>
      <c r="R2" s="271"/>
      <c r="S2" s="275" t="s">
        <v>875</v>
      </c>
      <c r="T2" s="313" t="s">
        <v>1349</v>
      </c>
      <c r="U2" s="273"/>
    </row>
    <row r="3" spans="1:21">
      <c r="A3" s="253">
        <v>2</v>
      </c>
      <c r="B3" s="265"/>
      <c r="C3" s="247"/>
      <c r="D3" s="247">
        <v>41541</v>
      </c>
      <c r="E3" s="248" t="s">
        <v>874</v>
      </c>
      <c r="F3" s="255">
        <v>11.25</v>
      </c>
      <c r="G3" s="267" t="s">
        <v>875</v>
      </c>
      <c r="H3" s="248" t="s">
        <v>877</v>
      </c>
      <c r="I3" s="267"/>
      <c r="J3" s="267"/>
      <c r="K3" s="249">
        <v>14.17</v>
      </c>
      <c r="L3" s="249"/>
      <c r="M3" s="249"/>
      <c r="N3" s="264"/>
      <c r="O3" s="264"/>
      <c r="P3" s="265"/>
      <c r="Q3" s="249"/>
      <c r="R3" s="271"/>
      <c r="S3" s="275" t="s">
        <v>875</v>
      </c>
      <c r="T3" s="313" t="s">
        <v>1349</v>
      </c>
      <c r="U3" s="273"/>
    </row>
    <row r="4" spans="1:21">
      <c r="A4" s="253">
        <v>3</v>
      </c>
      <c r="B4" s="265"/>
      <c r="C4" s="247"/>
      <c r="D4" s="276">
        <v>38341</v>
      </c>
      <c r="E4" s="277" t="s">
        <v>874</v>
      </c>
      <c r="F4" s="278">
        <v>8.5</v>
      </c>
      <c r="G4" s="275" t="s">
        <v>875</v>
      </c>
      <c r="H4" s="277" t="s">
        <v>876</v>
      </c>
      <c r="I4" s="275"/>
      <c r="J4" s="275"/>
      <c r="K4" s="279">
        <v>12.86</v>
      </c>
      <c r="L4" s="249"/>
      <c r="M4" s="249"/>
      <c r="N4" s="264"/>
      <c r="O4" s="264"/>
      <c r="P4" s="265">
        <v>43922</v>
      </c>
      <c r="Q4" s="249">
        <v>1</v>
      </c>
      <c r="R4" s="271"/>
      <c r="S4" s="275" t="s">
        <v>875</v>
      </c>
      <c r="T4" s="313" t="s">
        <v>1349</v>
      </c>
      <c r="U4" s="273"/>
    </row>
    <row r="5" spans="1:21">
      <c r="A5" s="253">
        <v>4</v>
      </c>
      <c r="B5" s="265"/>
      <c r="C5" s="247"/>
      <c r="D5" s="247">
        <v>37230</v>
      </c>
      <c r="E5" s="248" t="s">
        <v>874</v>
      </c>
      <c r="F5" s="255">
        <v>17.5</v>
      </c>
      <c r="G5" s="267" t="s">
        <v>875</v>
      </c>
      <c r="H5" s="248" t="s">
        <v>876</v>
      </c>
      <c r="I5" s="267"/>
      <c r="J5" s="267"/>
      <c r="K5" s="249">
        <v>12.86</v>
      </c>
      <c r="L5" s="249"/>
      <c r="M5" s="249"/>
      <c r="N5" s="264"/>
      <c r="O5" s="264"/>
      <c r="P5" s="265"/>
      <c r="Q5" s="249"/>
      <c r="R5" s="267"/>
      <c r="S5" s="275" t="s">
        <v>875</v>
      </c>
      <c r="T5" s="313" t="s">
        <v>1350</v>
      </c>
      <c r="U5" s="273"/>
    </row>
    <row r="6" spans="1:21">
      <c r="A6" s="253">
        <v>5</v>
      </c>
      <c r="B6" s="265"/>
      <c r="C6" s="247"/>
      <c r="D6" s="247">
        <v>40787</v>
      </c>
      <c r="E6" s="248" t="s">
        <v>874</v>
      </c>
      <c r="F6" s="255">
        <v>7.5</v>
      </c>
      <c r="G6" s="267" t="s">
        <v>875</v>
      </c>
      <c r="H6" s="248" t="s">
        <v>876</v>
      </c>
      <c r="I6" s="267"/>
      <c r="J6" s="267"/>
      <c r="K6" s="249">
        <v>12.86</v>
      </c>
      <c r="L6" s="249"/>
      <c r="M6" s="249"/>
      <c r="N6" s="264"/>
      <c r="O6" s="264"/>
      <c r="P6" s="265"/>
      <c r="Q6" s="249"/>
      <c r="R6" s="267"/>
      <c r="S6" s="275" t="s">
        <v>875</v>
      </c>
      <c r="T6" s="313" t="s">
        <v>1351</v>
      </c>
      <c r="U6" s="273"/>
    </row>
    <row r="7" spans="1:21">
      <c r="A7" s="253">
        <v>6</v>
      </c>
      <c r="B7" s="265"/>
      <c r="C7" s="247"/>
      <c r="D7" s="247">
        <v>40791</v>
      </c>
      <c r="E7" s="248" t="s">
        <v>874</v>
      </c>
      <c r="F7" s="255">
        <v>13.25</v>
      </c>
      <c r="G7" s="267" t="s">
        <v>875</v>
      </c>
      <c r="H7" s="248" t="s">
        <v>876</v>
      </c>
      <c r="I7" s="267"/>
      <c r="J7" s="267"/>
      <c r="K7" s="249">
        <v>12.86</v>
      </c>
      <c r="L7" s="249"/>
      <c r="M7" s="249"/>
      <c r="N7" s="264"/>
      <c r="O7" s="264"/>
      <c r="P7" s="265"/>
      <c r="Q7" s="249"/>
      <c r="R7" s="267"/>
      <c r="S7" s="275" t="s">
        <v>875</v>
      </c>
      <c r="T7" s="313" t="s">
        <v>1352</v>
      </c>
      <c r="U7" s="273"/>
    </row>
    <row r="8" spans="1:21">
      <c r="A8" s="253">
        <v>7</v>
      </c>
      <c r="B8" s="265"/>
      <c r="C8" s="247"/>
      <c r="D8" s="247">
        <v>39939</v>
      </c>
      <c r="E8" s="248" t="s">
        <v>874</v>
      </c>
      <c r="F8" s="255">
        <v>10</v>
      </c>
      <c r="G8" s="267" t="s">
        <v>875</v>
      </c>
      <c r="H8" s="248" t="s">
        <v>876</v>
      </c>
      <c r="I8" s="267"/>
      <c r="J8" s="267"/>
      <c r="K8" s="249">
        <v>12.86</v>
      </c>
      <c r="L8" s="249"/>
      <c r="M8" s="249"/>
      <c r="N8" s="264"/>
      <c r="O8" s="264"/>
      <c r="P8" s="265"/>
      <c r="Q8" s="249"/>
      <c r="R8" s="267"/>
      <c r="S8" s="275" t="s">
        <v>875</v>
      </c>
      <c r="T8" s="313" t="s">
        <v>1351</v>
      </c>
      <c r="U8" s="273"/>
    </row>
    <row r="9" spans="1:21">
      <c r="A9" s="253">
        <v>8</v>
      </c>
      <c r="B9" s="265"/>
      <c r="C9" s="247"/>
      <c r="D9" s="247">
        <v>36537</v>
      </c>
      <c r="E9" s="248" t="s">
        <v>874</v>
      </c>
      <c r="F9" s="255">
        <v>17.899999999999999</v>
      </c>
      <c r="G9" s="267" t="s">
        <v>875</v>
      </c>
      <c r="H9" s="248" t="s">
        <v>876</v>
      </c>
      <c r="I9" s="267"/>
      <c r="J9" s="267"/>
      <c r="K9" s="249">
        <v>12.86</v>
      </c>
      <c r="L9" s="249"/>
      <c r="M9" s="249"/>
      <c r="N9" s="264"/>
      <c r="O9" s="264"/>
      <c r="P9" s="265"/>
      <c r="Q9" s="249"/>
      <c r="R9" s="267"/>
      <c r="S9" s="275" t="s">
        <v>875</v>
      </c>
      <c r="T9" s="313" t="s">
        <v>1350</v>
      </c>
      <c r="U9" s="273"/>
    </row>
    <row r="10" spans="1:21">
      <c r="A10" s="253">
        <v>9</v>
      </c>
      <c r="B10" s="265"/>
      <c r="C10" s="247"/>
      <c r="D10" s="247">
        <v>38845</v>
      </c>
      <c r="E10" s="248" t="s">
        <v>874</v>
      </c>
      <c r="F10" s="255">
        <v>13.75</v>
      </c>
      <c r="G10" s="267" t="s">
        <v>875</v>
      </c>
      <c r="H10" s="248" t="s">
        <v>876</v>
      </c>
      <c r="I10" s="267"/>
      <c r="J10" s="267"/>
      <c r="K10" s="249">
        <v>12.86</v>
      </c>
      <c r="L10" s="249"/>
      <c r="M10" s="249"/>
      <c r="N10" s="264"/>
      <c r="O10" s="264"/>
      <c r="P10" s="265"/>
      <c r="Q10" s="249"/>
      <c r="R10" s="267"/>
      <c r="S10" s="275" t="s">
        <v>875</v>
      </c>
      <c r="T10" s="313" t="s">
        <v>1352</v>
      </c>
      <c r="U10" s="273"/>
    </row>
    <row r="11" spans="1:21">
      <c r="A11" s="253">
        <v>10</v>
      </c>
      <c r="B11" s="265"/>
      <c r="C11" s="247"/>
      <c r="D11" s="247">
        <v>39751</v>
      </c>
      <c r="E11" s="250" t="s">
        <v>874</v>
      </c>
      <c r="F11" s="255">
        <v>8.5</v>
      </c>
      <c r="G11" s="267" t="s">
        <v>875</v>
      </c>
      <c r="H11" s="248" t="s">
        <v>876</v>
      </c>
      <c r="I11" s="267"/>
      <c r="J11" s="267"/>
      <c r="K11" s="249">
        <v>12.86</v>
      </c>
      <c r="L11" s="249"/>
      <c r="M11" s="249"/>
      <c r="N11" s="264"/>
      <c r="O11" s="264"/>
      <c r="P11" s="265"/>
      <c r="Q11" s="249"/>
      <c r="R11" s="267"/>
      <c r="S11" s="275" t="s">
        <v>875</v>
      </c>
      <c r="T11" s="313" t="s">
        <v>1351</v>
      </c>
      <c r="U11" s="273"/>
    </row>
    <row r="12" spans="1:21">
      <c r="A12" s="253">
        <v>11</v>
      </c>
      <c r="B12" s="265"/>
      <c r="C12" s="247"/>
      <c r="D12" s="247">
        <v>41646</v>
      </c>
      <c r="E12" s="248" t="s">
        <v>874</v>
      </c>
      <c r="F12" s="255">
        <v>13.75</v>
      </c>
      <c r="G12" s="267" t="s">
        <v>875</v>
      </c>
      <c r="H12" s="248" t="s">
        <v>877</v>
      </c>
      <c r="I12" s="267"/>
      <c r="J12" s="267"/>
      <c r="K12" s="249">
        <v>14.17</v>
      </c>
      <c r="L12" s="249"/>
      <c r="M12" s="249"/>
      <c r="N12" s="264"/>
      <c r="O12" s="264"/>
      <c r="P12" s="265"/>
      <c r="Q12" s="249"/>
      <c r="R12" s="267"/>
      <c r="S12" s="275" t="s">
        <v>875</v>
      </c>
      <c r="T12" s="313" t="s">
        <v>1353</v>
      </c>
      <c r="U12" s="273"/>
    </row>
    <row r="13" spans="1:21">
      <c r="A13" s="253">
        <v>12</v>
      </c>
      <c r="B13" s="265"/>
      <c r="C13" s="247"/>
      <c r="D13" s="247">
        <v>41962</v>
      </c>
      <c r="E13" s="248" t="s">
        <v>874</v>
      </c>
      <c r="F13" s="255">
        <v>11.25</v>
      </c>
      <c r="G13" s="267" t="s">
        <v>875</v>
      </c>
      <c r="H13" s="248" t="s">
        <v>876</v>
      </c>
      <c r="I13" s="267"/>
      <c r="J13" s="267"/>
      <c r="K13" s="249">
        <v>12.86</v>
      </c>
      <c r="L13" s="249"/>
      <c r="M13" s="249"/>
      <c r="N13" s="264"/>
      <c r="O13" s="264"/>
      <c r="P13" s="265"/>
      <c r="Q13" s="249"/>
      <c r="R13" s="267"/>
      <c r="S13" s="275" t="s">
        <v>875</v>
      </c>
      <c r="T13" s="313" t="s">
        <v>1353</v>
      </c>
      <c r="U13" s="273"/>
    </row>
    <row r="14" spans="1:21">
      <c r="A14" s="253">
        <v>13</v>
      </c>
      <c r="B14" s="265"/>
      <c r="C14" s="247"/>
      <c r="D14" s="247">
        <v>42565</v>
      </c>
      <c r="E14" s="248" t="s">
        <v>874</v>
      </c>
      <c r="F14" s="255">
        <v>13</v>
      </c>
      <c r="G14" s="267" t="s">
        <v>875</v>
      </c>
      <c r="H14" s="248" t="s">
        <v>876</v>
      </c>
      <c r="I14" s="267"/>
      <c r="J14" s="267"/>
      <c r="K14" s="249">
        <v>7.33</v>
      </c>
      <c r="L14" s="249"/>
      <c r="M14" s="249"/>
      <c r="N14" s="264"/>
      <c r="O14" s="264"/>
      <c r="P14" s="265"/>
      <c r="Q14" s="249"/>
      <c r="R14" s="267"/>
      <c r="S14" s="275" t="s">
        <v>878</v>
      </c>
      <c r="T14" s="313" t="s">
        <v>1352</v>
      </c>
      <c r="U14" s="273"/>
    </row>
    <row r="15" spans="1:21">
      <c r="A15" s="253">
        <v>14</v>
      </c>
      <c r="B15" s="266"/>
      <c r="C15" s="251"/>
      <c r="D15" s="251">
        <v>42874</v>
      </c>
      <c r="E15" s="252" t="s">
        <v>874</v>
      </c>
      <c r="F15" s="256">
        <v>11.25</v>
      </c>
      <c r="G15" s="269" t="s">
        <v>875</v>
      </c>
      <c r="H15" s="252" t="s">
        <v>876</v>
      </c>
      <c r="I15" s="268"/>
      <c r="J15" s="268"/>
      <c r="K15" s="254">
        <v>12.47</v>
      </c>
      <c r="L15" s="249"/>
      <c r="M15" s="249"/>
      <c r="N15" s="270"/>
      <c r="O15" s="270"/>
      <c r="P15" s="266"/>
      <c r="Q15" s="249"/>
      <c r="R15" s="272"/>
      <c r="S15" s="275" t="s">
        <v>875</v>
      </c>
      <c r="T15" s="313" t="s">
        <v>1353</v>
      </c>
      <c r="U15" s="274"/>
    </row>
    <row r="16" spans="1:21">
      <c r="A16" s="253">
        <v>15</v>
      </c>
      <c r="B16" s="266"/>
      <c r="C16" s="251"/>
      <c r="D16" s="251">
        <v>42978</v>
      </c>
      <c r="E16" s="252" t="s">
        <v>874</v>
      </c>
      <c r="F16" s="256">
        <v>10.5</v>
      </c>
      <c r="G16" s="267" t="s">
        <v>875</v>
      </c>
      <c r="H16" s="252" t="s">
        <v>876</v>
      </c>
      <c r="I16" s="268"/>
      <c r="J16" s="268"/>
      <c r="K16" s="254">
        <v>12.47</v>
      </c>
      <c r="L16" s="249"/>
      <c r="M16" s="249"/>
      <c r="N16" s="270"/>
      <c r="O16" s="270"/>
      <c r="P16" s="266"/>
      <c r="Q16" s="249"/>
      <c r="R16" s="270"/>
      <c r="S16" s="275" t="s">
        <v>875</v>
      </c>
      <c r="T16" s="313" t="s">
        <v>1352</v>
      </c>
      <c r="U16" s="273"/>
    </row>
    <row r="17" spans="1:21">
      <c r="A17" s="253">
        <v>16</v>
      </c>
      <c r="B17" s="252"/>
      <c r="C17" s="252"/>
      <c r="D17" s="251">
        <v>43405</v>
      </c>
      <c r="E17" s="252" t="s">
        <v>874</v>
      </c>
      <c r="F17" s="252">
        <v>12.5</v>
      </c>
      <c r="G17" s="285" t="s">
        <v>875</v>
      </c>
      <c r="H17" s="252" t="s">
        <v>876</v>
      </c>
      <c r="I17" s="285"/>
      <c r="J17" s="285"/>
      <c r="K17" s="252">
        <v>12.1</v>
      </c>
      <c r="L17" s="252"/>
      <c r="M17" s="252"/>
      <c r="N17" s="252"/>
      <c r="O17" s="252"/>
      <c r="P17" s="251"/>
      <c r="Q17" s="252"/>
      <c r="R17" s="252"/>
      <c r="S17" s="285" t="s">
        <v>878</v>
      </c>
      <c r="T17" s="313" t="s">
        <v>1353</v>
      </c>
      <c r="U17" s="286"/>
    </row>
    <row r="18" spans="1:21">
      <c r="A18" s="253">
        <v>17</v>
      </c>
      <c r="B18" s="252"/>
      <c r="C18" s="252"/>
      <c r="D18" s="251">
        <v>43699</v>
      </c>
      <c r="E18" s="252" t="s">
        <v>874</v>
      </c>
      <c r="F18" s="252">
        <v>10.85</v>
      </c>
      <c r="G18" s="285" t="s">
        <v>875</v>
      </c>
      <c r="H18" s="252" t="s">
        <v>876</v>
      </c>
      <c r="I18" s="285"/>
      <c r="J18" s="285"/>
      <c r="K18" s="252">
        <v>11.27</v>
      </c>
      <c r="L18" s="252"/>
      <c r="M18" s="252"/>
      <c r="N18" s="252"/>
      <c r="O18" s="252"/>
      <c r="P18" s="251"/>
      <c r="Q18" s="252"/>
      <c r="R18" s="252"/>
      <c r="S18" s="285" t="s">
        <v>878</v>
      </c>
      <c r="T18" s="313" t="s">
        <v>1352</v>
      </c>
      <c r="U18" s="286"/>
    </row>
    <row r="19" spans="1:21">
      <c r="A19" s="253">
        <v>18</v>
      </c>
      <c r="B19" s="252"/>
      <c r="C19" s="252"/>
      <c r="D19" s="251">
        <v>43703</v>
      </c>
      <c r="E19" s="252" t="s">
        <v>874</v>
      </c>
      <c r="F19" s="252">
        <v>12.5</v>
      </c>
      <c r="G19" s="285" t="s">
        <v>875</v>
      </c>
      <c r="H19" s="252" t="s">
        <v>876</v>
      </c>
      <c r="I19" s="285"/>
      <c r="J19" s="285"/>
      <c r="K19" s="252">
        <v>11.67</v>
      </c>
      <c r="L19" s="252"/>
      <c r="M19" s="252"/>
      <c r="N19" s="252"/>
      <c r="O19" s="252"/>
      <c r="P19" s="251"/>
      <c r="Q19" s="252"/>
      <c r="R19" s="252"/>
      <c r="S19" s="285" t="s">
        <v>878</v>
      </c>
      <c r="T19" s="313" t="s">
        <v>1353</v>
      </c>
      <c r="U19" s="286"/>
    </row>
    <row r="20" spans="1:21">
      <c r="A20" s="253">
        <v>19</v>
      </c>
      <c r="B20" s="252"/>
      <c r="C20" s="252"/>
      <c r="D20" s="251">
        <v>43713</v>
      </c>
      <c r="E20" s="252" t="s">
        <v>874</v>
      </c>
      <c r="F20" s="252">
        <v>10</v>
      </c>
      <c r="G20" s="285" t="s">
        <v>875</v>
      </c>
      <c r="H20" s="252" t="s">
        <v>876</v>
      </c>
      <c r="I20" s="285"/>
      <c r="J20" s="285"/>
      <c r="K20" s="252">
        <v>11.67</v>
      </c>
      <c r="L20" s="252"/>
      <c r="M20" s="252"/>
      <c r="N20" s="252"/>
      <c r="O20" s="252"/>
      <c r="P20" s="251"/>
      <c r="Q20" s="252"/>
      <c r="R20" s="252"/>
      <c r="S20" s="285" t="s">
        <v>878</v>
      </c>
      <c r="T20" s="313" t="s">
        <v>1352</v>
      </c>
      <c r="U20" s="286"/>
    </row>
    <row r="21" spans="1:21">
      <c r="A21" s="253">
        <v>20</v>
      </c>
      <c r="B21" s="252"/>
      <c r="C21" s="252"/>
      <c r="D21" s="251">
        <v>43740</v>
      </c>
      <c r="E21" s="252" t="s">
        <v>874</v>
      </c>
      <c r="F21" s="252">
        <v>10</v>
      </c>
      <c r="G21" s="285" t="s">
        <v>875</v>
      </c>
      <c r="H21" s="252" t="s">
        <v>876</v>
      </c>
      <c r="I21" s="285"/>
      <c r="J21" s="285"/>
      <c r="K21" s="252">
        <v>11.67</v>
      </c>
      <c r="L21" s="252"/>
      <c r="M21" s="252"/>
      <c r="N21" s="252"/>
      <c r="O21" s="252"/>
      <c r="P21" s="251"/>
      <c r="Q21" s="252"/>
      <c r="R21" s="252"/>
      <c r="S21" s="285" t="s">
        <v>878</v>
      </c>
      <c r="T21" s="313" t="s">
        <v>1351</v>
      </c>
      <c r="U21" s="286"/>
    </row>
    <row r="22" spans="1:21">
      <c r="A22" s="253">
        <v>21</v>
      </c>
      <c r="B22" s="252"/>
      <c r="C22" s="252"/>
      <c r="D22" s="251">
        <v>38987</v>
      </c>
      <c r="E22" s="252" t="s">
        <v>874</v>
      </c>
      <c r="F22" s="252">
        <v>10</v>
      </c>
      <c r="G22" s="285" t="s">
        <v>875</v>
      </c>
      <c r="H22" s="252" t="s">
        <v>876</v>
      </c>
      <c r="I22" s="285"/>
      <c r="J22" s="285"/>
      <c r="K22" s="252">
        <v>12.86</v>
      </c>
      <c r="L22" s="252"/>
      <c r="M22" s="252"/>
      <c r="N22" s="252"/>
      <c r="O22" s="252"/>
      <c r="P22" s="251"/>
      <c r="Q22" s="252"/>
      <c r="R22" s="252"/>
      <c r="S22" s="285" t="s">
        <v>875</v>
      </c>
      <c r="T22" s="313" t="s">
        <v>1351</v>
      </c>
      <c r="U22" s="286"/>
    </row>
    <row r="23" spans="1:21">
      <c r="A23" s="253">
        <v>22</v>
      </c>
      <c r="B23" s="252"/>
      <c r="C23" s="252"/>
      <c r="D23" s="251">
        <v>37537</v>
      </c>
      <c r="E23" s="252" t="s">
        <v>874</v>
      </c>
      <c r="F23" s="252">
        <v>10</v>
      </c>
      <c r="G23" s="285" t="s">
        <v>875</v>
      </c>
      <c r="H23" s="252" t="s">
        <v>876</v>
      </c>
      <c r="I23" s="285"/>
      <c r="J23" s="285"/>
      <c r="K23" s="252">
        <v>12.95</v>
      </c>
      <c r="L23" s="252"/>
      <c r="M23" s="252"/>
      <c r="N23" s="252"/>
      <c r="O23" s="252"/>
      <c r="P23" s="251"/>
      <c r="Q23" s="252"/>
      <c r="R23" s="252"/>
      <c r="S23" s="285" t="s">
        <v>878</v>
      </c>
      <c r="T23" s="313" t="s">
        <v>1351</v>
      </c>
      <c r="U23" s="286"/>
    </row>
    <row r="24" spans="1:21">
      <c r="A24" s="253">
        <v>23</v>
      </c>
      <c r="B24" s="252"/>
      <c r="C24" s="252"/>
      <c r="D24" s="251">
        <v>36186</v>
      </c>
      <c r="E24" s="252" t="s">
        <v>874</v>
      </c>
      <c r="F24" s="252">
        <v>5</v>
      </c>
      <c r="G24" s="285" t="s">
        <v>875</v>
      </c>
      <c r="H24" s="252" t="s">
        <v>876</v>
      </c>
      <c r="I24" s="285"/>
      <c r="J24" s="285"/>
      <c r="K24" s="252">
        <v>12.86</v>
      </c>
      <c r="L24" s="252"/>
      <c r="M24" s="252"/>
      <c r="N24" s="252"/>
      <c r="O24" s="252"/>
      <c r="P24" s="251"/>
      <c r="Q24" s="252"/>
      <c r="R24" s="252"/>
      <c r="S24" s="285" t="s">
        <v>875</v>
      </c>
      <c r="T24" s="313" t="s">
        <v>1354</v>
      </c>
      <c r="U24" s="286"/>
    </row>
    <row r="25" spans="1:21">
      <c r="A25" s="253">
        <v>24</v>
      </c>
      <c r="B25" s="252"/>
      <c r="C25" s="252"/>
      <c r="D25" s="251">
        <v>37634</v>
      </c>
      <c r="E25" s="252" t="s">
        <v>874</v>
      </c>
      <c r="F25" s="252">
        <v>12.5</v>
      </c>
      <c r="G25" s="285" t="s">
        <v>875</v>
      </c>
      <c r="H25" s="252" t="s">
        <v>876</v>
      </c>
      <c r="I25" s="285"/>
      <c r="J25" s="285"/>
      <c r="K25" s="252">
        <v>12.86</v>
      </c>
      <c r="L25" s="252"/>
      <c r="M25" s="252"/>
      <c r="N25" s="252"/>
      <c r="O25" s="252"/>
      <c r="P25" s="251"/>
      <c r="Q25" s="252"/>
      <c r="R25" s="252"/>
      <c r="S25" s="285" t="s">
        <v>875</v>
      </c>
      <c r="T25" s="313" t="s">
        <v>1352</v>
      </c>
      <c r="U25" s="286"/>
    </row>
    <row r="26" spans="1:21">
      <c r="A26" s="253">
        <v>25</v>
      </c>
      <c r="B26" s="252"/>
      <c r="C26" s="252"/>
      <c r="D26" s="251">
        <v>40686</v>
      </c>
      <c r="E26" s="252" t="s">
        <v>874</v>
      </c>
      <c r="F26" s="252">
        <v>1.5</v>
      </c>
      <c r="G26" s="285" t="s">
        <v>878</v>
      </c>
      <c r="H26" s="252" t="s">
        <v>876</v>
      </c>
      <c r="I26" s="285"/>
      <c r="J26" s="285"/>
      <c r="K26" s="252">
        <v>12.86</v>
      </c>
      <c r="L26" s="252"/>
      <c r="M26" s="287">
        <v>0.09</v>
      </c>
      <c r="N26" s="252"/>
      <c r="O26" s="252"/>
      <c r="P26" s="251"/>
      <c r="Q26" s="252"/>
      <c r="R26" s="252"/>
      <c r="S26" s="285" t="s">
        <v>875</v>
      </c>
      <c r="T26" s="313" t="s">
        <v>1352</v>
      </c>
      <c r="U26" s="286"/>
    </row>
  </sheetData>
  <pageMargins left="0.7" right="0.7" top="0.75" bottom="0.75" header="0.3" footer="0.3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64"/>
  <sheetViews>
    <sheetView view="pageBreakPreview" topLeftCell="A2" zoomScaleNormal="100" zoomScaleSheetLayoutView="100" workbookViewId="0">
      <selection activeCell="B28" sqref="B28"/>
    </sheetView>
  </sheetViews>
  <sheetFormatPr defaultColWidth="14.140625" defaultRowHeight="15" customHeight="1"/>
  <cols>
    <col min="1" max="1" width="14.140625" style="5"/>
    <col min="2" max="2" width="44.85546875" style="2" customWidth="1"/>
    <col min="3" max="3" width="14.140625" style="2"/>
    <col min="4" max="4" width="32.5703125" style="7" customWidth="1"/>
    <col min="5" max="5" width="12.140625" style="2" bestFit="1" customWidth="1"/>
    <col min="6" max="6" width="30.28515625" style="2" customWidth="1"/>
    <col min="7" max="7" width="14.140625" style="2"/>
    <col min="8" max="8" width="14.140625" style="6"/>
    <col min="9" max="9" width="14.140625" style="2"/>
    <col min="10" max="10" width="14.140625" style="5"/>
    <col min="11" max="15" width="14.140625" style="1"/>
    <col min="16" max="16384" width="14.140625" style="2"/>
  </cols>
  <sheetData>
    <row r="1" spans="1:16" s="9" customFormat="1" ht="26.25" customHeight="1">
      <c r="A1" s="347" t="s">
        <v>120</v>
      </c>
      <c r="B1" s="347"/>
      <c r="C1" s="347"/>
      <c r="D1" s="347"/>
      <c r="E1" s="347"/>
      <c r="F1" s="347"/>
      <c r="G1" s="81"/>
      <c r="H1" s="81"/>
      <c r="I1" s="81"/>
      <c r="J1" s="81"/>
      <c r="K1" s="81"/>
      <c r="L1" s="81"/>
      <c r="M1" s="81"/>
    </row>
    <row r="2" spans="1:16" s="9" customFormat="1" ht="15" customHeight="1">
      <c r="A2" s="345" t="s">
        <v>218</v>
      </c>
      <c r="B2" s="346"/>
      <c r="C2" s="346"/>
      <c r="D2" s="346"/>
      <c r="E2" s="346"/>
      <c r="F2" s="346"/>
      <c r="G2" s="130"/>
      <c r="H2" s="130"/>
      <c r="I2" s="130"/>
      <c r="J2" s="130"/>
      <c r="K2" s="130"/>
      <c r="L2" s="130"/>
      <c r="M2" s="130"/>
      <c r="N2" s="130"/>
    </row>
    <row r="3" spans="1:16" s="72" customFormat="1" ht="15" customHeight="1">
      <c r="A3" s="73"/>
      <c r="E3" s="92"/>
      <c r="F3" s="92"/>
      <c r="I3" s="93"/>
      <c r="K3" s="94"/>
      <c r="L3" s="73"/>
      <c r="M3" s="73"/>
      <c r="N3" s="73"/>
      <c r="O3" s="73"/>
      <c r="P3" s="73"/>
    </row>
    <row r="4" spans="1:16" s="72" customFormat="1" ht="15" customHeight="1">
      <c r="A4" s="73"/>
      <c r="E4" s="92"/>
      <c r="F4" s="92"/>
      <c r="I4" s="93"/>
      <c r="K4" s="94"/>
      <c r="L4" s="73"/>
      <c r="M4" s="73"/>
      <c r="N4" s="73"/>
      <c r="O4" s="73"/>
      <c r="P4" s="73"/>
    </row>
    <row r="5" spans="1:16" s="72" customFormat="1" ht="26.25" customHeight="1">
      <c r="A5" s="95" t="s">
        <v>241</v>
      </c>
      <c r="B5" s="95"/>
      <c r="C5" s="95"/>
      <c r="D5" s="95"/>
      <c r="E5" s="87"/>
      <c r="F5" s="87"/>
      <c r="I5" s="93"/>
      <c r="K5" s="94"/>
      <c r="L5" s="73"/>
      <c r="M5" s="73"/>
      <c r="N5" s="73"/>
      <c r="O5" s="73"/>
      <c r="P5" s="73"/>
    </row>
    <row r="6" spans="1:16" s="72" customFormat="1" ht="26.25" customHeight="1" thickBot="1">
      <c r="A6" s="123" t="s">
        <v>34</v>
      </c>
      <c r="B6" s="124" t="s">
        <v>145</v>
      </c>
      <c r="C6" s="121" t="s">
        <v>108</v>
      </c>
      <c r="D6" s="125" t="s">
        <v>68</v>
      </c>
      <c r="E6" s="126" t="s">
        <v>67</v>
      </c>
      <c r="F6" s="4" t="s">
        <v>30</v>
      </c>
      <c r="I6" s="93"/>
      <c r="K6" s="94"/>
      <c r="L6" s="73"/>
      <c r="M6" s="73"/>
      <c r="N6" s="73"/>
      <c r="O6" s="73"/>
      <c r="P6" s="73"/>
    </row>
    <row r="7" spans="1:16" s="72" customFormat="1" ht="15" customHeight="1" thickTop="1">
      <c r="A7" s="187">
        <v>1</v>
      </c>
      <c r="B7" s="127" t="s">
        <v>881</v>
      </c>
      <c r="C7" s="122">
        <v>1</v>
      </c>
      <c r="D7" s="127" t="s">
        <v>437</v>
      </c>
      <c r="E7" s="241" t="s">
        <v>868</v>
      </c>
      <c r="F7" s="127" t="s">
        <v>438</v>
      </c>
      <c r="I7" s="93"/>
      <c r="K7" s="94"/>
      <c r="L7" s="73"/>
      <c r="M7" s="73"/>
      <c r="N7" s="73"/>
      <c r="O7" s="73"/>
      <c r="P7" s="73"/>
    </row>
    <row r="8" spans="1:16" s="72" customFormat="1" ht="15" customHeight="1">
      <c r="A8" s="187">
        <v>2</v>
      </c>
      <c r="B8" s="4" t="s">
        <v>882</v>
      </c>
      <c r="C8" s="122">
        <v>1</v>
      </c>
      <c r="D8" s="4" t="s">
        <v>439</v>
      </c>
      <c r="E8" s="241" t="s">
        <v>869</v>
      </c>
      <c r="F8" s="127" t="s">
        <v>438</v>
      </c>
      <c r="I8" s="93"/>
      <c r="K8" s="94"/>
      <c r="L8" s="73"/>
      <c r="M8" s="73"/>
      <c r="N8" s="73"/>
      <c r="O8" s="73"/>
      <c r="P8" s="73"/>
    </row>
    <row r="9" spans="1:16" s="72" customFormat="1" ht="15" customHeight="1">
      <c r="A9" s="187">
        <v>3</v>
      </c>
      <c r="B9" s="201" t="s">
        <v>883</v>
      </c>
      <c r="C9" s="122">
        <v>1</v>
      </c>
      <c r="D9" s="241" t="s">
        <v>886</v>
      </c>
      <c r="E9" s="241" t="s">
        <v>870</v>
      </c>
      <c r="F9" s="242" t="s">
        <v>438</v>
      </c>
      <c r="I9" s="93"/>
      <c r="K9" s="94"/>
      <c r="L9" s="73"/>
      <c r="M9" s="73"/>
      <c r="N9" s="73"/>
      <c r="O9" s="73"/>
      <c r="P9" s="73"/>
    </row>
    <row r="10" spans="1:16" s="72" customFormat="1" ht="15" customHeight="1">
      <c r="A10" s="187">
        <v>4</v>
      </c>
      <c r="B10" s="201" t="s">
        <v>884</v>
      </c>
      <c r="C10" s="122">
        <v>1</v>
      </c>
      <c r="D10" s="241" t="s">
        <v>885</v>
      </c>
      <c r="E10" s="241" t="s">
        <v>871</v>
      </c>
      <c r="F10" s="242" t="s">
        <v>440</v>
      </c>
      <c r="I10" s="93"/>
      <c r="K10" s="94"/>
      <c r="L10" s="73"/>
      <c r="M10" s="73"/>
      <c r="N10" s="73"/>
      <c r="O10" s="73"/>
      <c r="P10" s="73"/>
    </row>
    <row r="11" spans="1:16" s="72" customFormat="1" ht="15" customHeight="1">
      <c r="A11" s="187">
        <v>5</v>
      </c>
      <c r="B11" s="201" t="s">
        <v>887</v>
      </c>
      <c r="C11" s="122">
        <v>1</v>
      </c>
      <c r="D11" s="241" t="s">
        <v>441</v>
      </c>
      <c r="E11" s="241" t="s">
        <v>872</v>
      </c>
      <c r="F11" s="242" t="s">
        <v>438</v>
      </c>
      <c r="I11" s="93"/>
      <c r="K11" s="94"/>
      <c r="L11" s="73"/>
      <c r="M11" s="73"/>
      <c r="N11" s="73"/>
      <c r="O11" s="73"/>
      <c r="P11" s="73"/>
    </row>
    <row r="12" spans="1:16" s="72" customFormat="1" ht="15" customHeight="1">
      <c r="A12" s="187">
        <v>6</v>
      </c>
      <c r="B12" s="201" t="s">
        <v>888</v>
      </c>
      <c r="C12" s="122">
        <v>1</v>
      </c>
      <c r="D12" s="241" t="s">
        <v>443</v>
      </c>
      <c r="E12" s="241" t="s">
        <v>873</v>
      </c>
      <c r="F12" s="242" t="s">
        <v>442</v>
      </c>
      <c r="I12" s="93"/>
      <c r="K12" s="94"/>
      <c r="L12" s="73"/>
      <c r="M12" s="73"/>
      <c r="N12" s="73"/>
      <c r="O12" s="73"/>
      <c r="P12" s="73"/>
    </row>
    <row r="13" spans="1:16" s="72" customFormat="1" ht="15" customHeight="1">
      <c r="A13" s="210"/>
      <c r="B13" s="211"/>
      <c r="C13" s="211"/>
      <c r="D13" s="211"/>
      <c r="E13" s="212"/>
      <c r="F13" s="212"/>
      <c r="I13" s="93"/>
      <c r="K13" s="94"/>
      <c r="L13" s="73"/>
      <c r="M13" s="73"/>
      <c r="N13" s="73"/>
      <c r="O13" s="73"/>
      <c r="P13" s="73"/>
    </row>
    <row r="14" spans="1:16" s="72" customFormat="1" ht="15" customHeight="1">
      <c r="A14" s="105" t="s">
        <v>242</v>
      </c>
      <c r="B14" s="87"/>
      <c r="C14" s="87"/>
      <c r="D14" s="87"/>
      <c r="E14" s="92"/>
      <c r="F14" s="92"/>
      <c r="I14" s="93"/>
      <c r="K14" s="94"/>
      <c r="L14" s="73"/>
      <c r="M14" s="73"/>
      <c r="N14" s="73"/>
      <c r="O14" s="73"/>
      <c r="P14" s="73"/>
    </row>
    <row r="15" spans="1:16" s="72" customFormat="1" ht="15" customHeight="1">
      <c r="A15" s="104" t="s">
        <v>34</v>
      </c>
      <c r="B15" s="29" t="s">
        <v>106</v>
      </c>
      <c r="C15" s="8" t="s">
        <v>105</v>
      </c>
      <c r="D15" s="104" t="s">
        <v>210</v>
      </c>
      <c r="E15" s="92"/>
      <c r="F15" s="92"/>
      <c r="I15" s="93"/>
      <c r="K15" s="94"/>
      <c r="L15" s="73"/>
      <c r="M15" s="73"/>
      <c r="N15" s="73"/>
      <c r="O15" s="73"/>
      <c r="P15" s="73"/>
    </row>
    <row r="16" spans="1:16" s="72" customFormat="1" ht="15" customHeight="1">
      <c r="A16" s="30">
        <v>1</v>
      </c>
      <c r="B16" s="9" t="s">
        <v>59</v>
      </c>
      <c r="C16" s="106">
        <v>0</v>
      </c>
      <c r="D16" s="159" t="s">
        <v>235</v>
      </c>
      <c r="E16" s="92"/>
      <c r="F16" s="92"/>
      <c r="I16" s="93"/>
      <c r="K16" s="94"/>
      <c r="L16" s="73"/>
      <c r="M16" s="73"/>
      <c r="N16" s="73"/>
      <c r="O16" s="73"/>
      <c r="P16" s="73"/>
    </row>
    <row r="17" spans="1:18" s="72" customFormat="1" ht="15" customHeight="1">
      <c r="A17" s="30">
        <v>2</v>
      </c>
      <c r="B17" s="9" t="s">
        <v>60</v>
      </c>
      <c r="C17" s="106">
        <v>0</v>
      </c>
      <c r="D17" s="159" t="s">
        <v>238</v>
      </c>
      <c r="E17" s="92"/>
      <c r="F17" s="87"/>
      <c r="I17" s="93"/>
      <c r="K17" s="94"/>
      <c r="L17" s="73"/>
      <c r="M17" s="73"/>
      <c r="N17" s="73"/>
      <c r="O17" s="73"/>
      <c r="P17" s="73"/>
    </row>
    <row r="18" spans="1:18" s="72" customFormat="1" ht="11.25">
      <c r="A18" s="30">
        <v>3</v>
      </c>
      <c r="B18" s="9" t="s">
        <v>61</v>
      </c>
      <c r="C18" s="106">
        <v>0</v>
      </c>
      <c r="D18" s="159" t="s">
        <v>235</v>
      </c>
      <c r="E18" s="92"/>
      <c r="F18" s="74"/>
      <c r="I18" s="93"/>
      <c r="K18" s="94"/>
      <c r="L18" s="73"/>
      <c r="M18" s="73"/>
      <c r="N18" s="73"/>
      <c r="O18" s="73"/>
      <c r="P18" s="73"/>
    </row>
    <row r="19" spans="1:18" s="72" customFormat="1" ht="14.25" customHeight="1">
      <c r="A19" s="30">
        <v>4</v>
      </c>
      <c r="B19" s="9" t="s">
        <v>392</v>
      </c>
      <c r="C19" s="106">
        <v>0</v>
      </c>
      <c r="D19" s="159" t="s">
        <v>238</v>
      </c>
      <c r="E19" s="92"/>
      <c r="F19" s="87"/>
      <c r="I19" s="93"/>
      <c r="K19" s="94"/>
      <c r="L19" s="73"/>
      <c r="M19" s="73"/>
      <c r="N19" s="73"/>
      <c r="O19" s="73"/>
      <c r="P19" s="73"/>
    </row>
    <row r="20" spans="1:18" s="72" customFormat="1" ht="15" customHeight="1">
      <c r="A20" s="30">
        <v>5</v>
      </c>
      <c r="B20" s="9" t="s">
        <v>22</v>
      </c>
      <c r="C20" s="106">
        <v>0</v>
      </c>
      <c r="D20" s="159" t="s">
        <v>236</v>
      </c>
      <c r="E20" s="92"/>
      <c r="F20" s="87"/>
      <c r="I20" s="93"/>
      <c r="K20" s="94"/>
      <c r="L20" s="73"/>
      <c r="M20" s="73"/>
      <c r="N20" s="73"/>
      <c r="O20" s="73"/>
      <c r="P20" s="73"/>
    </row>
    <row r="21" spans="1:18" s="87" customFormat="1" ht="15" customHeight="1">
      <c r="A21" s="30">
        <v>6</v>
      </c>
      <c r="B21" s="9" t="s">
        <v>62</v>
      </c>
      <c r="C21" s="106">
        <v>0</v>
      </c>
      <c r="D21" s="159" t="s">
        <v>235</v>
      </c>
      <c r="E21" s="92"/>
      <c r="J21" s="96"/>
      <c r="O21" s="97"/>
      <c r="P21" s="97"/>
      <c r="Q21" s="97"/>
    </row>
    <row r="22" spans="1:18" s="31" customFormat="1" ht="15" customHeight="1">
      <c r="A22" s="30">
        <v>7</v>
      </c>
      <c r="B22" s="9" t="s">
        <v>40</v>
      </c>
      <c r="C22" s="106">
        <v>0</v>
      </c>
      <c r="D22" s="159" t="s">
        <v>235</v>
      </c>
      <c r="E22" s="92"/>
      <c r="F22" s="87"/>
      <c r="G22" s="74"/>
      <c r="H22" s="74"/>
      <c r="I22" s="74"/>
      <c r="J22" s="98"/>
      <c r="K22" s="74"/>
      <c r="L22" s="74"/>
      <c r="M22" s="74"/>
      <c r="N22" s="74"/>
      <c r="O22" s="132"/>
      <c r="P22" s="132"/>
      <c r="Q22" s="132"/>
      <c r="R22" s="132"/>
    </row>
    <row r="23" spans="1:18" s="4" customFormat="1" ht="15" customHeight="1">
      <c r="A23" s="30">
        <v>8</v>
      </c>
      <c r="B23" s="9" t="s">
        <v>867</v>
      </c>
      <c r="C23" s="106">
        <v>0</v>
      </c>
      <c r="D23" s="159" t="s">
        <v>237</v>
      </c>
      <c r="E23" s="92"/>
      <c r="F23" s="110"/>
      <c r="G23" s="87"/>
      <c r="H23" s="87"/>
      <c r="I23" s="87"/>
      <c r="J23" s="96"/>
      <c r="K23" s="87"/>
      <c r="L23" s="87"/>
      <c r="M23" s="87"/>
      <c r="N23" s="87"/>
      <c r="O23" s="97"/>
      <c r="P23" s="97"/>
      <c r="Q23" s="97"/>
      <c r="R23" s="97"/>
    </row>
    <row r="24" spans="1:18" s="4" customFormat="1" ht="15" customHeight="1">
      <c r="A24" s="30">
        <v>9</v>
      </c>
      <c r="B24" s="9" t="s">
        <v>253</v>
      </c>
      <c r="C24" s="106">
        <v>0</v>
      </c>
      <c r="D24" s="159" t="s">
        <v>235</v>
      </c>
      <c r="E24" s="92"/>
      <c r="F24" s="110"/>
      <c r="G24" s="87"/>
      <c r="H24" s="87"/>
      <c r="I24" s="87"/>
      <c r="J24" s="96"/>
      <c r="K24" s="87"/>
      <c r="L24" s="87"/>
      <c r="M24" s="87"/>
      <c r="N24" s="87"/>
      <c r="O24" s="97"/>
      <c r="P24" s="97"/>
      <c r="Q24" s="97"/>
      <c r="R24" s="97"/>
    </row>
    <row r="25" spans="1:18" s="4" customFormat="1" ht="15" customHeight="1">
      <c r="A25" s="30">
        <v>10</v>
      </c>
      <c r="B25" s="9" t="s">
        <v>63</v>
      </c>
      <c r="C25" s="106">
        <v>0</v>
      </c>
      <c r="D25" s="159" t="s">
        <v>235</v>
      </c>
      <c r="E25" s="92"/>
      <c r="F25" s="87"/>
      <c r="G25" s="87"/>
      <c r="H25" s="87"/>
      <c r="I25" s="87"/>
      <c r="J25" s="96"/>
      <c r="K25" s="87"/>
      <c r="L25" s="87"/>
      <c r="M25" s="87"/>
      <c r="N25" s="87"/>
      <c r="O25" s="97"/>
      <c r="P25" s="97"/>
      <c r="Q25" s="97"/>
      <c r="R25" s="97"/>
    </row>
    <row r="26" spans="1:18" s="4" customFormat="1" ht="15" customHeight="1">
      <c r="A26" s="30">
        <v>11</v>
      </c>
      <c r="B26" s="9" t="s">
        <v>393</v>
      </c>
      <c r="C26" s="106">
        <v>0</v>
      </c>
      <c r="D26" s="159" t="s">
        <v>237</v>
      </c>
      <c r="E26" s="92"/>
      <c r="F26" s="87"/>
      <c r="G26" s="87"/>
      <c r="H26" s="87"/>
      <c r="I26" s="87"/>
      <c r="J26" s="96"/>
      <c r="K26" s="87"/>
      <c r="L26" s="87"/>
      <c r="M26" s="87"/>
      <c r="N26" s="87"/>
      <c r="O26" s="97"/>
      <c r="P26" s="97"/>
      <c r="Q26" s="97"/>
      <c r="R26" s="97"/>
    </row>
    <row r="27" spans="1:18" s="4" customFormat="1" ht="15" customHeight="1">
      <c r="A27" s="30">
        <v>12</v>
      </c>
      <c r="B27" s="9" t="s">
        <v>394</v>
      </c>
      <c r="C27" s="106">
        <v>0</v>
      </c>
      <c r="D27" s="159" t="s">
        <v>235</v>
      </c>
      <c r="E27" s="92"/>
      <c r="F27" s="87"/>
      <c r="G27" s="110"/>
      <c r="H27" s="87"/>
      <c r="I27" s="87"/>
      <c r="J27" s="96"/>
      <c r="K27" s="87"/>
      <c r="L27" s="87"/>
      <c r="M27" s="87"/>
      <c r="N27" s="87"/>
      <c r="O27" s="97"/>
      <c r="P27" s="97"/>
      <c r="Q27" s="97"/>
      <c r="R27" s="97"/>
    </row>
    <row r="28" spans="1:18" s="4" customFormat="1" ht="15" customHeight="1">
      <c r="A28" s="30">
        <v>13</v>
      </c>
      <c r="B28" s="9" t="s">
        <v>581</v>
      </c>
      <c r="C28" s="106">
        <v>0</v>
      </c>
      <c r="D28" s="159" t="s">
        <v>235</v>
      </c>
      <c r="E28" s="92"/>
      <c r="F28" s="87"/>
      <c r="G28" s="110"/>
      <c r="H28" s="87"/>
      <c r="I28" s="87"/>
      <c r="J28" s="96"/>
      <c r="K28" s="87"/>
      <c r="L28" s="87"/>
      <c r="M28" s="87"/>
      <c r="N28" s="87"/>
      <c r="O28" s="97"/>
      <c r="P28" s="97"/>
      <c r="Q28" s="97"/>
      <c r="R28" s="97"/>
    </row>
    <row r="29" spans="1:18" s="4" customFormat="1" ht="15" customHeight="1">
      <c r="A29" s="30">
        <v>14</v>
      </c>
      <c r="B29" s="9" t="s">
        <v>395</v>
      </c>
      <c r="C29" s="106">
        <v>0</v>
      </c>
      <c r="D29" s="159" t="s">
        <v>235</v>
      </c>
      <c r="E29" s="92"/>
      <c r="F29" s="87"/>
      <c r="G29" s="87"/>
      <c r="H29" s="87"/>
      <c r="I29" s="96"/>
      <c r="J29" s="87"/>
      <c r="K29" s="87"/>
      <c r="L29" s="87"/>
      <c r="M29" s="87"/>
      <c r="N29" s="87"/>
      <c r="O29" s="97"/>
      <c r="P29" s="97"/>
      <c r="Q29" s="97"/>
      <c r="R29" s="87"/>
    </row>
    <row r="30" spans="1:18" s="4" customFormat="1" ht="15" customHeight="1">
      <c r="A30" s="30">
        <v>15</v>
      </c>
      <c r="B30" s="9" t="s">
        <v>64</v>
      </c>
      <c r="C30" s="106">
        <v>0</v>
      </c>
      <c r="D30" s="159" t="s">
        <v>235</v>
      </c>
      <c r="E30" s="92"/>
      <c r="F30" s="87"/>
      <c r="G30" s="87"/>
      <c r="H30" s="87"/>
      <c r="I30" s="87"/>
      <c r="J30" s="87"/>
      <c r="K30" s="87"/>
      <c r="L30" s="87"/>
      <c r="M30" s="87"/>
      <c r="N30" s="87"/>
      <c r="O30" s="97"/>
      <c r="P30" s="97"/>
      <c r="Q30" s="97"/>
      <c r="R30" s="87"/>
    </row>
    <row r="31" spans="1:18" s="4" customFormat="1" ht="15" customHeight="1">
      <c r="A31" s="30">
        <v>16</v>
      </c>
      <c r="B31" s="9" t="s">
        <v>396</v>
      </c>
      <c r="C31" s="106">
        <v>0</v>
      </c>
      <c r="D31" s="159" t="s">
        <v>237</v>
      </c>
      <c r="E31" s="92"/>
      <c r="F31" s="87"/>
      <c r="G31" s="87"/>
      <c r="H31" s="87"/>
      <c r="I31" s="87"/>
      <c r="J31" s="87"/>
      <c r="K31" s="87"/>
      <c r="L31" s="87"/>
      <c r="M31" s="87"/>
      <c r="N31" s="87"/>
      <c r="O31" s="97"/>
      <c r="P31" s="97"/>
      <c r="Q31" s="97"/>
      <c r="R31" s="87"/>
    </row>
    <row r="32" spans="1:18" s="4" customFormat="1" ht="15" customHeight="1">
      <c r="A32" s="30">
        <v>17</v>
      </c>
      <c r="B32" s="9" t="s">
        <v>422</v>
      </c>
      <c r="C32" s="106">
        <v>0</v>
      </c>
      <c r="D32" s="159" t="s">
        <v>235</v>
      </c>
      <c r="E32" s="92"/>
      <c r="F32" s="87"/>
      <c r="G32" s="87"/>
      <c r="H32" s="87"/>
      <c r="I32" s="87"/>
      <c r="J32" s="87"/>
      <c r="K32" s="87"/>
      <c r="L32" s="87"/>
      <c r="M32" s="87"/>
      <c r="N32" s="87"/>
      <c r="O32" s="97"/>
      <c r="P32" s="97"/>
      <c r="Q32" s="97"/>
      <c r="R32" s="87"/>
    </row>
    <row r="33" spans="1:20" s="4" customFormat="1" ht="15" customHeight="1">
      <c r="A33" s="30">
        <v>18</v>
      </c>
      <c r="B33" s="9" t="s">
        <v>397</v>
      </c>
      <c r="C33" s="106">
        <v>0</v>
      </c>
      <c r="D33" s="159" t="s">
        <v>239</v>
      </c>
      <c r="E33" s="92"/>
      <c r="F33" s="87"/>
      <c r="G33" s="87"/>
      <c r="H33" s="87"/>
      <c r="I33" s="87"/>
      <c r="J33" s="87"/>
      <c r="K33" s="87"/>
      <c r="L33" s="87"/>
      <c r="M33" s="87"/>
      <c r="N33" s="87"/>
      <c r="O33" s="97"/>
      <c r="P33" s="97"/>
      <c r="Q33" s="87"/>
      <c r="R33" s="87"/>
    </row>
    <row r="34" spans="1:20" s="4" customFormat="1" ht="15" customHeight="1">
      <c r="A34" s="30">
        <v>19</v>
      </c>
      <c r="B34" s="9" t="s">
        <v>65</v>
      </c>
      <c r="C34" s="106">
        <v>0</v>
      </c>
      <c r="D34" s="159" t="s">
        <v>235</v>
      </c>
      <c r="E34" s="92"/>
      <c r="F34" s="87"/>
      <c r="G34" s="87"/>
      <c r="H34" s="87"/>
      <c r="I34" s="87"/>
      <c r="J34" s="87"/>
      <c r="K34" s="87"/>
      <c r="L34" s="97"/>
      <c r="M34" s="97"/>
      <c r="N34" s="97"/>
      <c r="O34" s="97"/>
      <c r="P34" s="97"/>
      <c r="Q34" s="87"/>
      <c r="R34" s="87"/>
    </row>
    <row r="35" spans="1:20" s="4" customFormat="1" ht="15" customHeight="1">
      <c r="A35" s="30">
        <v>20</v>
      </c>
      <c r="B35" s="9" t="s">
        <v>573</v>
      </c>
      <c r="C35" s="106">
        <v>0</v>
      </c>
      <c r="D35" s="159" t="s">
        <v>235</v>
      </c>
      <c r="E35" s="92"/>
      <c r="F35" s="87"/>
      <c r="G35" s="87"/>
      <c r="H35" s="87"/>
      <c r="I35" s="87"/>
      <c r="J35" s="87"/>
      <c r="K35" s="87"/>
      <c r="L35" s="97"/>
      <c r="M35" s="97"/>
      <c r="N35" s="97"/>
      <c r="O35" s="97"/>
      <c r="P35" s="97"/>
      <c r="Q35" s="87"/>
      <c r="R35" s="87"/>
    </row>
    <row r="36" spans="1:20" s="4" customFormat="1" ht="15" customHeight="1">
      <c r="A36" s="180">
        <v>21</v>
      </c>
      <c r="B36" s="9" t="s">
        <v>66</v>
      </c>
      <c r="C36" s="107"/>
      <c r="D36" s="159" t="s">
        <v>66</v>
      </c>
      <c r="E36" s="92"/>
      <c r="F36" s="87"/>
      <c r="G36" s="87"/>
      <c r="H36" s="87"/>
      <c r="I36" s="87"/>
      <c r="J36" s="87"/>
      <c r="K36" s="87"/>
      <c r="L36" s="97"/>
      <c r="M36" s="97"/>
      <c r="N36" s="97"/>
      <c r="O36" s="97"/>
      <c r="P36" s="97"/>
      <c r="Q36" s="87"/>
      <c r="R36" s="87"/>
    </row>
    <row r="37" spans="1:20" s="4" customFormat="1" ht="15" customHeight="1">
      <c r="A37" s="288"/>
      <c r="B37" s="289"/>
      <c r="C37" s="290"/>
      <c r="D37" s="290"/>
      <c r="E37" s="110"/>
      <c r="F37" s="87"/>
      <c r="G37" s="87"/>
      <c r="H37" s="87"/>
      <c r="I37" s="87"/>
      <c r="J37" s="87"/>
      <c r="K37" s="87"/>
      <c r="L37" s="97"/>
      <c r="M37" s="97"/>
      <c r="N37" s="97"/>
      <c r="O37" s="97"/>
      <c r="P37" s="97"/>
      <c r="Q37" s="87"/>
      <c r="R37" s="87"/>
    </row>
    <row r="38" spans="1:20" s="4" customFormat="1" ht="15" customHeight="1">
      <c r="A38" s="95" t="s">
        <v>243</v>
      </c>
      <c r="B38" s="95"/>
      <c r="C38" s="87"/>
      <c r="D38" s="87"/>
      <c r="E38" s="110"/>
      <c r="F38" s="87"/>
      <c r="G38" s="87"/>
      <c r="H38" s="87"/>
      <c r="I38" s="87"/>
      <c r="J38" s="87"/>
      <c r="K38" s="87"/>
      <c r="L38" s="97"/>
      <c r="M38" s="97"/>
      <c r="N38" s="97"/>
      <c r="O38" s="97"/>
      <c r="P38" s="97"/>
      <c r="Q38" s="87"/>
      <c r="R38" s="87"/>
    </row>
    <row r="39" spans="1:20" s="4" customFormat="1" ht="22.9" customHeight="1">
      <c r="A39" s="32" t="s">
        <v>34</v>
      </c>
      <c r="B39" s="128" t="s">
        <v>131</v>
      </c>
      <c r="C39" s="33" t="s">
        <v>108</v>
      </c>
      <c r="D39" s="8" t="s">
        <v>107</v>
      </c>
      <c r="E39" s="135" t="s">
        <v>209</v>
      </c>
      <c r="F39" s="136" t="s">
        <v>179</v>
      </c>
      <c r="G39" s="87"/>
      <c r="H39" s="87"/>
      <c r="I39" s="87"/>
      <c r="J39" s="87"/>
      <c r="K39" s="87"/>
      <c r="L39" s="97"/>
      <c r="M39" s="97"/>
      <c r="N39" s="97"/>
      <c r="O39" s="97"/>
      <c r="P39" s="97"/>
      <c r="Q39" s="87"/>
      <c r="R39" s="87"/>
    </row>
    <row r="40" spans="1:20" s="4" customFormat="1" ht="15" customHeight="1">
      <c r="A40" s="108" t="s">
        <v>110</v>
      </c>
      <c r="B40" s="30" t="s">
        <v>132</v>
      </c>
      <c r="C40" s="109">
        <v>1</v>
      </c>
      <c r="D40" s="9" t="s">
        <v>113</v>
      </c>
      <c r="E40" s="9"/>
      <c r="F40" s="9"/>
      <c r="G40" s="87"/>
      <c r="H40" s="87"/>
      <c r="I40" s="87"/>
      <c r="J40" s="87"/>
      <c r="K40" s="87"/>
      <c r="L40" s="97"/>
      <c r="M40" s="97"/>
      <c r="N40" s="97"/>
      <c r="O40" s="97"/>
      <c r="P40" s="97"/>
      <c r="Q40" s="87"/>
      <c r="R40" s="87"/>
    </row>
    <row r="41" spans="1:20" s="4" customFormat="1" ht="15" customHeight="1">
      <c r="A41" s="108" t="s">
        <v>109</v>
      </c>
      <c r="B41" s="30" t="s">
        <v>38</v>
      </c>
      <c r="C41" s="109">
        <v>1</v>
      </c>
      <c r="D41" s="9" t="s">
        <v>114</v>
      </c>
      <c r="E41" s="9"/>
      <c r="F41" s="9"/>
      <c r="G41" s="87"/>
      <c r="H41" s="87"/>
      <c r="I41" s="87"/>
      <c r="J41" s="87"/>
      <c r="K41" s="87"/>
      <c r="L41" s="97"/>
      <c r="M41" s="97"/>
      <c r="N41" s="97"/>
      <c r="O41" s="97"/>
      <c r="P41" s="97"/>
      <c r="Q41" s="87"/>
      <c r="R41" s="87"/>
    </row>
    <row r="42" spans="1:20" s="4" customFormat="1" ht="11.25">
      <c r="A42" s="108" t="s">
        <v>111</v>
      </c>
      <c r="B42" s="30" t="s">
        <v>128</v>
      </c>
      <c r="C42" s="109">
        <v>1</v>
      </c>
      <c r="D42" s="9" t="s">
        <v>391</v>
      </c>
      <c r="E42" s="9"/>
      <c r="F42" s="9"/>
      <c r="G42" s="87"/>
      <c r="H42" s="87"/>
      <c r="I42" s="87"/>
      <c r="J42" s="87"/>
      <c r="K42" s="87"/>
      <c r="L42" s="97"/>
      <c r="M42" s="97"/>
      <c r="N42" s="97"/>
      <c r="O42" s="97"/>
      <c r="P42" s="97"/>
      <c r="Q42" s="87"/>
      <c r="R42" s="87"/>
    </row>
    <row r="43" spans="1:20" s="4" customFormat="1" ht="15" customHeight="1">
      <c r="A43" s="108" t="s">
        <v>112</v>
      </c>
      <c r="B43" s="30" t="s">
        <v>129</v>
      </c>
      <c r="C43" s="109">
        <v>1</v>
      </c>
      <c r="D43" s="9" t="s">
        <v>115</v>
      </c>
      <c r="E43" s="9"/>
      <c r="F43" s="9"/>
      <c r="G43" s="110"/>
      <c r="H43" s="87"/>
      <c r="I43" s="87"/>
      <c r="J43" s="87"/>
      <c r="K43" s="87"/>
      <c r="L43" s="87"/>
      <c r="M43" s="87"/>
      <c r="N43" s="97"/>
      <c r="O43" s="97"/>
      <c r="P43" s="97"/>
      <c r="Q43" s="97"/>
      <c r="R43" s="97"/>
      <c r="S43" s="87"/>
      <c r="T43" s="87"/>
    </row>
    <row r="44" spans="1:20" s="4" customFormat="1" ht="15" customHeight="1">
      <c r="A44" s="87"/>
      <c r="B44" s="87"/>
      <c r="C44" s="87"/>
      <c r="D44" s="87"/>
      <c r="E44" s="110"/>
      <c r="F44" s="87"/>
      <c r="G44" s="110"/>
      <c r="H44" s="87"/>
      <c r="I44" s="87"/>
      <c r="J44" s="87"/>
      <c r="K44" s="87"/>
      <c r="L44" s="87"/>
      <c r="M44" s="87"/>
      <c r="N44" s="97"/>
      <c r="O44" s="97"/>
      <c r="P44" s="97"/>
      <c r="Q44" s="97"/>
      <c r="R44" s="97"/>
      <c r="S44" s="87"/>
      <c r="T44" s="87"/>
    </row>
    <row r="45" spans="1:20" s="4" customFormat="1" ht="15" customHeight="1">
      <c r="A45" s="95" t="s">
        <v>116</v>
      </c>
      <c r="B45" s="87"/>
      <c r="C45" s="87"/>
      <c r="D45" s="97"/>
      <c r="E45" s="72"/>
      <c r="F45" s="72"/>
      <c r="G45" s="110"/>
      <c r="H45" s="87"/>
      <c r="I45" s="87"/>
      <c r="J45" s="87"/>
      <c r="K45" s="87"/>
      <c r="L45" s="87"/>
      <c r="M45" s="87"/>
      <c r="N45" s="97"/>
      <c r="O45" s="97"/>
      <c r="P45" s="97"/>
      <c r="Q45" s="97"/>
      <c r="R45" s="97"/>
      <c r="S45" s="87"/>
      <c r="T45" s="87"/>
    </row>
    <row r="46" spans="1:20" s="4" customFormat="1" ht="22.5">
      <c r="A46" s="32" t="s">
        <v>34</v>
      </c>
      <c r="B46" s="8" t="s">
        <v>117</v>
      </c>
      <c r="C46" s="33" t="s">
        <v>108</v>
      </c>
      <c r="D46" s="33" t="s">
        <v>134</v>
      </c>
      <c r="E46" s="72"/>
      <c r="F46" s="72"/>
      <c r="G46" s="110"/>
      <c r="H46" s="87"/>
      <c r="I46" s="87"/>
      <c r="J46" s="87"/>
      <c r="K46" s="87"/>
      <c r="L46" s="87"/>
      <c r="M46" s="87"/>
      <c r="N46" s="97"/>
      <c r="O46" s="97"/>
      <c r="P46" s="97"/>
      <c r="Q46" s="97"/>
      <c r="R46" s="97"/>
      <c r="S46" s="87"/>
      <c r="T46" s="87"/>
    </row>
    <row r="47" spans="1:20" s="4" customFormat="1" ht="15" customHeight="1">
      <c r="A47" s="47" t="s">
        <v>19</v>
      </c>
      <c r="B47" s="48" t="s">
        <v>29</v>
      </c>
      <c r="C47" s="109">
        <v>1</v>
      </c>
      <c r="D47" s="160">
        <v>400</v>
      </c>
      <c r="E47" s="72"/>
      <c r="F47" s="72"/>
      <c r="G47" s="110"/>
      <c r="H47" s="87"/>
      <c r="I47" s="87"/>
      <c r="J47" s="87"/>
      <c r="K47" s="87"/>
      <c r="L47" s="87"/>
      <c r="M47" s="87"/>
      <c r="N47" s="97"/>
      <c r="O47" s="97"/>
      <c r="P47" s="97"/>
      <c r="Q47" s="97"/>
      <c r="R47" s="97"/>
      <c r="S47" s="87"/>
      <c r="T47" s="87"/>
    </row>
    <row r="48" spans="1:20" s="4" customFormat="1" ht="15" customHeight="1">
      <c r="A48" s="49" t="s">
        <v>2</v>
      </c>
      <c r="B48" s="50" t="s">
        <v>1</v>
      </c>
      <c r="C48" s="109">
        <v>1</v>
      </c>
      <c r="D48" s="160">
        <v>200</v>
      </c>
      <c r="E48" s="72"/>
      <c r="F48" s="72"/>
      <c r="G48" s="87"/>
      <c r="H48" s="87"/>
      <c r="I48" s="87"/>
      <c r="J48" s="87"/>
      <c r="K48" s="87"/>
      <c r="L48" s="97"/>
      <c r="M48" s="97"/>
      <c r="N48" s="97"/>
      <c r="O48" s="97"/>
      <c r="P48" s="97"/>
      <c r="Q48" s="87"/>
      <c r="R48" s="87"/>
    </row>
    <row r="49" spans="1:18" s="72" customFormat="1" ht="11.25">
      <c r="A49" s="47" t="s">
        <v>20</v>
      </c>
      <c r="B49" s="48" t="s">
        <v>21</v>
      </c>
      <c r="C49" s="109">
        <v>1</v>
      </c>
      <c r="D49" s="160">
        <v>160</v>
      </c>
      <c r="H49" s="93"/>
      <c r="J49" s="133"/>
      <c r="K49" s="73"/>
      <c r="L49" s="73"/>
      <c r="M49" s="73"/>
      <c r="N49" s="73"/>
      <c r="O49" s="73"/>
    </row>
    <row r="50" spans="1:18" ht="11.25">
      <c r="A50" s="49" t="s">
        <v>18</v>
      </c>
      <c r="B50" s="50" t="s">
        <v>12</v>
      </c>
      <c r="C50" s="109">
        <v>1</v>
      </c>
      <c r="D50" s="160">
        <v>120</v>
      </c>
      <c r="E50" s="72"/>
      <c r="F50" s="72"/>
      <c r="G50" s="93"/>
      <c r="H50" s="72"/>
      <c r="I50" s="134"/>
      <c r="J50" s="73"/>
      <c r="K50" s="73"/>
      <c r="L50" s="73"/>
      <c r="M50" s="73"/>
      <c r="N50" s="73"/>
      <c r="O50" s="72"/>
      <c r="P50" s="72"/>
      <c r="Q50" s="72"/>
    </row>
    <row r="51" spans="1:18" ht="15" customHeight="1">
      <c r="A51" s="47" t="s">
        <v>118</v>
      </c>
      <c r="B51" s="48" t="s">
        <v>119</v>
      </c>
      <c r="C51" s="109">
        <v>1</v>
      </c>
      <c r="D51" s="160">
        <v>100</v>
      </c>
      <c r="E51" s="72"/>
      <c r="F51" s="72"/>
      <c r="G51" s="93"/>
      <c r="H51" s="72"/>
      <c r="I51" s="134"/>
      <c r="J51" s="73"/>
      <c r="K51" s="73"/>
      <c r="L51" s="73"/>
      <c r="M51" s="73"/>
      <c r="N51" s="73"/>
      <c r="O51" s="72"/>
      <c r="P51" s="72"/>
      <c r="Q51" s="72"/>
    </row>
    <row r="52" spans="1:18" ht="15" customHeight="1">
      <c r="A52" s="49" t="s">
        <v>17</v>
      </c>
      <c r="B52" s="50" t="s">
        <v>14</v>
      </c>
      <c r="C52" s="109">
        <v>1</v>
      </c>
      <c r="D52" s="160">
        <v>80</v>
      </c>
      <c r="E52" s="72"/>
      <c r="F52" s="72"/>
      <c r="G52" s="93"/>
      <c r="H52" s="72"/>
      <c r="I52" s="134"/>
      <c r="J52" s="73"/>
      <c r="K52" s="73"/>
      <c r="L52" s="73"/>
      <c r="M52" s="73"/>
      <c r="N52" s="73"/>
      <c r="O52" s="72"/>
      <c r="P52" s="72"/>
      <c r="Q52" s="72"/>
    </row>
    <row r="53" spans="1:18" ht="15" customHeight="1">
      <c r="A53" s="47" t="s">
        <v>15</v>
      </c>
      <c r="B53" s="48" t="s">
        <v>13</v>
      </c>
      <c r="C53" s="109">
        <v>1</v>
      </c>
      <c r="D53" s="160">
        <v>40</v>
      </c>
      <c r="E53" s="72"/>
      <c r="F53" s="72"/>
      <c r="G53" s="93"/>
      <c r="H53" s="72"/>
      <c r="I53" s="134"/>
      <c r="J53" s="73"/>
      <c r="K53" s="73"/>
      <c r="L53" s="73"/>
      <c r="M53" s="73"/>
      <c r="N53" s="73"/>
      <c r="O53" s="72"/>
      <c r="P53" s="72"/>
      <c r="Q53" s="72"/>
    </row>
    <row r="54" spans="1:18" ht="15" customHeight="1">
      <c r="A54" s="49" t="s">
        <v>25</v>
      </c>
      <c r="B54" s="50" t="s">
        <v>28</v>
      </c>
      <c r="C54" s="109">
        <v>1</v>
      </c>
      <c r="D54" s="160">
        <v>80</v>
      </c>
      <c r="E54" s="72"/>
      <c r="F54" s="72"/>
      <c r="G54" s="93"/>
      <c r="H54" s="72"/>
      <c r="I54" s="134"/>
      <c r="J54" s="73"/>
      <c r="K54" s="73"/>
      <c r="L54" s="73"/>
      <c r="M54" s="73"/>
      <c r="N54" s="73"/>
      <c r="O54" s="72"/>
      <c r="P54" s="72"/>
      <c r="Q54" s="72"/>
    </row>
    <row r="55" spans="1:18" ht="15" customHeight="1">
      <c r="A55" s="47" t="s">
        <v>26</v>
      </c>
      <c r="B55" s="48" t="s">
        <v>27</v>
      </c>
      <c r="C55" s="109">
        <v>1</v>
      </c>
      <c r="D55" s="160">
        <v>40</v>
      </c>
      <c r="E55" s="72"/>
      <c r="F55" s="72"/>
      <c r="G55" s="93"/>
      <c r="H55" s="72"/>
      <c r="I55" s="134"/>
      <c r="J55" s="73"/>
      <c r="K55" s="73"/>
      <c r="L55" s="73"/>
      <c r="M55" s="73"/>
      <c r="N55" s="73"/>
      <c r="O55" s="72"/>
      <c r="P55" s="72"/>
      <c r="Q55" s="72"/>
    </row>
    <row r="56" spans="1:18" ht="15" customHeight="1">
      <c r="A56" s="49" t="s">
        <v>1344</v>
      </c>
      <c r="B56" s="50" t="s">
        <v>1345</v>
      </c>
      <c r="C56" s="109">
        <v>1</v>
      </c>
      <c r="D56" s="160">
        <v>20</v>
      </c>
      <c r="E56" s="72"/>
      <c r="F56" s="72"/>
      <c r="G56" s="93"/>
      <c r="H56" s="72"/>
      <c r="I56" s="134"/>
      <c r="J56" s="73"/>
      <c r="K56" s="73"/>
      <c r="L56" s="73"/>
      <c r="M56" s="73"/>
      <c r="N56" s="73"/>
      <c r="O56" s="72"/>
      <c r="P56" s="72"/>
      <c r="Q56" s="72"/>
    </row>
    <row r="57" spans="1:18" ht="15" customHeight="1">
      <c r="A57" s="47" t="s">
        <v>16</v>
      </c>
      <c r="B57" s="48" t="s">
        <v>0</v>
      </c>
      <c r="C57" s="109">
        <v>1</v>
      </c>
      <c r="D57" s="160">
        <v>10</v>
      </c>
      <c r="E57" s="72"/>
      <c r="F57" s="72"/>
      <c r="G57" s="93"/>
      <c r="H57" s="72"/>
      <c r="I57" s="134"/>
      <c r="J57" s="73"/>
      <c r="K57" s="73"/>
      <c r="L57" s="73"/>
      <c r="M57" s="73"/>
      <c r="N57" s="73"/>
      <c r="O57" s="72"/>
      <c r="P57" s="72"/>
      <c r="Q57" s="72"/>
    </row>
    <row r="58" spans="1:18" ht="15" customHeight="1">
      <c r="A58" s="111"/>
      <c r="B58" s="97"/>
      <c r="C58" s="97"/>
      <c r="D58" s="97"/>
      <c r="E58" s="72"/>
      <c r="F58" s="72"/>
      <c r="G58" s="93"/>
      <c r="H58" s="72"/>
      <c r="I58" s="134"/>
      <c r="J58" s="73"/>
      <c r="K58" s="73"/>
      <c r="L58" s="73"/>
      <c r="M58" s="73"/>
      <c r="N58" s="73"/>
      <c r="O58" s="72"/>
      <c r="P58" s="72"/>
      <c r="Q58" s="72"/>
    </row>
    <row r="59" spans="1:18" ht="15" customHeight="1">
      <c r="A59" s="134"/>
      <c r="B59" s="72"/>
      <c r="C59" s="72"/>
      <c r="D59" s="92"/>
      <c r="E59" s="72"/>
      <c r="F59" s="72"/>
      <c r="G59" s="93"/>
      <c r="H59" s="72"/>
      <c r="I59" s="134"/>
      <c r="J59" s="73"/>
      <c r="K59" s="73"/>
      <c r="L59" s="73"/>
      <c r="M59" s="73"/>
      <c r="N59" s="73"/>
      <c r="O59" s="72"/>
      <c r="P59" s="72"/>
      <c r="Q59" s="72"/>
    </row>
    <row r="60" spans="1:18" ht="15" customHeight="1">
      <c r="A60" s="134"/>
      <c r="B60" s="72"/>
      <c r="C60" s="72"/>
      <c r="D60" s="92"/>
      <c r="E60" s="72"/>
      <c r="F60" s="72"/>
      <c r="G60" s="93"/>
      <c r="H60" s="72"/>
      <c r="I60" s="134"/>
      <c r="J60" s="73"/>
      <c r="K60" s="73"/>
      <c r="L60" s="73"/>
      <c r="M60" s="73"/>
      <c r="N60" s="73"/>
      <c r="O60" s="72"/>
      <c r="P60" s="72"/>
      <c r="Q60" s="72"/>
    </row>
    <row r="61" spans="1:18" ht="15" customHeight="1">
      <c r="A61" s="134"/>
      <c r="B61" s="72"/>
      <c r="C61" s="72"/>
      <c r="D61" s="92"/>
      <c r="E61" s="72"/>
      <c r="F61" s="72"/>
      <c r="G61" s="93"/>
      <c r="H61" s="72"/>
      <c r="I61" s="134"/>
      <c r="J61" s="73"/>
      <c r="K61" s="73"/>
      <c r="L61" s="73"/>
      <c r="M61" s="73"/>
      <c r="N61" s="73"/>
      <c r="O61" s="72"/>
      <c r="P61" s="72"/>
      <c r="Q61" s="72"/>
    </row>
    <row r="62" spans="1:18" ht="15" customHeight="1">
      <c r="A62" s="134"/>
      <c r="B62" s="72"/>
      <c r="C62" s="72"/>
      <c r="D62" s="92"/>
      <c r="E62" s="72"/>
      <c r="F62" s="72"/>
      <c r="G62" s="72"/>
      <c r="H62" s="93"/>
      <c r="I62" s="72"/>
      <c r="J62" s="134"/>
      <c r="K62" s="73"/>
      <c r="L62" s="73"/>
      <c r="M62" s="73"/>
      <c r="N62" s="73"/>
      <c r="O62" s="73"/>
      <c r="P62" s="72"/>
      <c r="Q62" s="72"/>
      <c r="R62" s="72"/>
    </row>
    <row r="63" spans="1:18" ht="15" customHeight="1">
      <c r="F63" s="72"/>
      <c r="G63" s="72"/>
      <c r="H63" s="93"/>
      <c r="I63" s="72"/>
      <c r="J63" s="134"/>
      <c r="K63" s="73"/>
      <c r="L63" s="73"/>
      <c r="M63" s="73"/>
      <c r="N63" s="73"/>
      <c r="O63" s="73"/>
      <c r="P63" s="72"/>
      <c r="Q63" s="72"/>
      <c r="R63" s="72"/>
    </row>
    <row r="64" spans="1:18" ht="15" customHeight="1">
      <c r="F64" s="72"/>
      <c r="G64" s="72"/>
      <c r="H64" s="93"/>
      <c r="I64" s="72"/>
      <c r="J64" s="134"/>
      <c r="K64" s="73"/>
      <c r="L64" s="73"/>
      <c r="M64" s="73"/>
      <c r="N64" s="73"/>
      <c r="O64" s="73"/>
      <c r="P64" s="72"/>
      <c r="Q64" s="72"/>
      <c r="R64" s="72"/>
    </row>
    <row r="65" spans="6:18" ht="15" customHeight="1">
      <c r="F65" s="72"/>
      <c r="G65" s="72"/>
      <c r="H65" s="93"/>
      <c r="I65" s="72"/>
      <c r="J65" s="134"/>
      <c r="K65" s="73"/>
      <c r="L65" s="73"/>
      <c r="M65" s="73"/>
      <c r="N65" s="73"/>
      <c r="O65" s="73"/>
      <c r="P65" s="72"/>
      <c r="Q65" s="72"/>
      <c r="R65" s="72"/>
    </row>
    <row r="66" spans="6:18" ht="15" customHeight="1">
      <c r="F66" s="72"/>
      <c r="G66" s="72"/>
      <c r="H66" s="93"/>
      <c r="I66" s="72"/>
      <c r="J66" s="134"/>
      <c r="K66" s="73"/>
      <c r="L66" s="73"/>
      <c r="M66" s="73"/>
      <c r="N66" s="73"/>
      <c r="O66" s="73"/>
      <c r="P66" s="72"/>
      <c r="Q66" s="72"/>
      <c r="R66" s="72"/>
    </row>
    <row r="67" spans="6:18" ht="15" customHeight="1">
      <c r="F67" s="72"/>
      <c r="G67" s="72"/>
      <c r="H67" s="93"/>
      <c r="I67" s="72"/>
      <c r="J67" s="134"/>
      <c r="K67" s="73"/>
      <c r="L67" s="73"/>
      <c r="M67" s="73"/>
      <c r="N67" s="73"/>
      <c r="O67" s="73"/>
      <c r="P67" s="72"/>
      <c r="Q67" s="72"/>
      <c r="R67" s="72"/>
    </row>
    <row r="68" spans="6:18" ht="15" customHeight="1">
      <c r="F68" s="72"/>
      <c r="G68" s="72"/>
      <c r="H68" s="93"/>
      <c r="I68" s="72"/>
      <c r="J68" s="134"/>
      <c r="K68" s="73"/>
      <c r="L68" s="73"/>
      <c r="M68" s="73"/>
      <c r="N68" s="73"/>
      <c r="O68" s="73"/>
      <c r="P68" s="72"/>
      <c r="Q68" s="72"/>
      <c r="R68" s="72"/>
    </row>
    <row r="69" spans="6:18" ht="15" customHeight="1">
      <c r="F69" s="72"/>
      <c r="G69" s="72"/>
      <c r="H69" s="93"/>
      <c r="I69" s="72"/>
      <c r="J69" s="134"/>
      <c r="K69" s="73"/>
      <c r="L69" s="73"/>
      <c r="M69" s="73"/>
      <c r="N69" s="73"/>
      <c r="O69" s="73"/>
      <c r="P69" s="72"/>
      <c r="Q69" s="72"/>
      <c r="R69" s="72"/>
    </row>
    <row r="70" spans="6:18" ht="15" customHeight="1">
      <c r="F70" s="72"/>
      <c r="G70" s="72"/>
      <c r="H70" s="93"/>
      <c r="I70" s="72"/>
      <c r="J70" s="134"/>
      <c r="K70" s="73"/>
      <c r="L70" s="73"/>
      <c r="M70" s="73"/>
      <c r="N70" s="73"/>
      <c r="O70" s="73"/>
      <c r="P70" s="72"/>
      <c r="Q70" s="72"/>
      <c r="R70" s="72"/>
    </row>
    <row r="71" spans="6:18" ht="15" customHeight="1">
      <c r="F71" s="72"/>
      <c r="G71" s="72"/>
      <c r="H71" s="93"/>
      <c r="I71" s="72"/>
      <c r="J71" s="134"/>
      <c r="K71" s="73"/>
      <c r="L71" s="73"/>
      <c r="M71" s="73"/>
      <c r="N71" s="73"/>
      <c r="O71" s="73"/>
      <c r="P71" s="72"/>
      <c r="Q71" s="72"/>
      <c r="R71" s="72"/>
    </row>
    <row r="72" spans="6:18" ht="15" customHeight="1">
      <c r="F72" s="72"/>
      <c r="G72" s="72"/>
      <c r="H72" s="93"/>
      <c r="I72" s="72"/>
      <c r="J72" s="134"/>
      <c r="K72" s="73"/>
      <c r="L72" s="73"/>
      <c r="M72" s="73"/>
      <c r="N72" s="73"/>
      <c r="O72" s="73"/>
      <c r="P72" s="72"/>
      <c r="Q72" s="72"/>
      <c r="R72" s="72"/>
    </row>
    <row r="73" spans="6:18" ht="15" customHeight="1">
      <c r="F73" s="72"/>
      <c r="G73" s="72"/>
      <c r="H73" s="93"/>
      <c r="I73" s="72"/>
      <c r="J73" s="134"/>
      <c r="K73" s="73"/>
      <c r="L73" s="73"/>
      <c r="M73" s="73"/>
      <c r="N73" s="73"/>
      <c r="O73" s="73"/>
      <c r="P73" s="72"/>
      <c r="Q73" s="72"/>
      <c r="R73" s="72"/>
    </row>
    <row r="74" spans="6:18" ht="15" customHeight="1">
      <c r="F74" s="72"/>
      <c r="G74" s="72"/>
      <c r="H74" s="93"/>
      <c r="I74" s="72"/>
      <c r="J74" s="134"/>
      <c r="K74" s="73"/>
      <c r="L74" s="73"/>
      <c r="M74" s="73"/>
      <c r="N74" s="73"/>
      <c r="O74" s="73"/>
      <c r="P74" s="72"/>
      <c r="Q74" s="72"/>
      <c r="R74" s="72"/>
    </row>
    <row r="75" spans="6:18" ht="15" customHeight="1">
      <c r="F75" s="72"/>
      <c r="G75" s="72"/>
      <c r="H75" s="93"/>
      <c r="I75" s="72"/>
      <c r="J75" s="134"/>
      <c r="K75" s="73"/>
      <c r="L75" s="73"/>
      <c r="M75" s="73"/>
      <c r="N75" s="73"/>
      <c r="O75" s="73"/>
      <c r="P75" s="72"/>
      <c r="Q75" s="72"/>
      <c r="R75" s="72"/>
    </row>
    <row r="76" spans="6:18" ht="15" customHeight="1">
      <c r="F76" s="72"/>
      <c r="G76" s="72"/>
      <c r="H76" s="93"/>
      <c r="I76" s="72"/>
      <c r="J76" s="134"/>
      <c r="K76" s="73"/>
      <c r="L76" s="73"/>
      <c r="M76" s="73"/>
      <c r="N76" s="73"/>
      <c r="O76" s="73"/>
      <c r="P76" s="72"/>
      <c r="Q76" s="72"/>
      <c r="R76" s="72"/>
    </row>
    <row r="77" spans="6:18" ht="15" customHeight="1">
      <c r="F77" s="72"/>
      <c r="G77" s="72"/>
      <c r="H77" s="93"/>
      <c r="I77" s="72"/>
      <c r="J77" s="134"/>
      <c r="K77" s="73"/>
      <c r="L77" s="73"/>
      <c r="M77" s="73"/>
      <c r="N77" s="73"/>
      <c r="O77" s="73"/>
      <c r="P77" s="72"/>
      <c r="Q77" s="72"/>
      <c r="R77" s="72"/>
    </row>
    <row r="78" spans="6:18" ht="15" customHeight="1">
      <c r="F78" s="72"/>
      <c r="G78" s="72"/>
      <c r="H78" s="93"/>
      <c r="I78" s="72"/>
      <c r="J78" s="134"/>
      <c r="K78" s="73"/>
      <c r="L78" s="73"/>
      <c r="M78" s="73"/>
      <c r="N78" s="73"/>
      <c r="O78" s="73"/>
      <c r="P78" s="72"/>
      <c r="Q78" s="72"/>
      <c r="R78" s="72"/>
    </row>
    <row r="79" spans="6:18" ht="15" customHeight="1">
      <c r="F79" s="72"/>
      <c r="G79" s="72"/>
      <c r="H79" s="93"/>
      <c r="I79" s="72"/>
      <c r="J79" s="134"/>
      <c r="K79" s="73"/>
      <c r="L79" s="73"/>
      <c r="M79" s="73"/>
      <c r="N79" s="73"/>
      <c r="O79" s="73"/>
      <c r="P79" s="72"/>
      <c r="Q79" s="72"/>
      <c r="R79" s="72"/>
    </row>
    <row r="80" spans="6:18" ht="15" customHeight="1">
      <c r="F80" s="72"/>
      <c r="G80" s="72"/>
      <c r="H80" s="93"/>
      <c r="I80" s="72"/>
      <c r="J80" s="134"/>
      <c r="K80" s="73"/>
      <c r="L80" s="73"/>
      <c r="M80" s="73"/>
      <c r="N80" s="73"/>
      <c r="O80" s="73"/>
      <c r="P80" s="72"/>
      <c r="Q80" s="72"/>
      <c r="R80" s="72"/>
    </row>
    <row r="81" spans="6:18" ht="15" customHeight="1">
      <c r="F81" s="72"/>
      <c r="G81" s="72"/>
      <c r="H81" s="93"/>
      <c r="I81" s="72"/>
      <c r="J81" s="134"/>
      <c r="K81" s="73"/>
      <c r="L81" s="73"/>
      <c r="M81" s="73"/>
      <c r="N81" s="73"/>
      <c r="O81" s="73"/>
      <c r="P81" s="72"/>
      <c r="Q81" s="72"/>
      <c r="R81" s="72"/>
    </row>
    <row r="82" spans="6:18" ht="15" customHeight="1">
      <c r="F82" s="72"/>
      <c r="G82" s="72"/>
      <c r="H82" s="93"/>
      <c r="I82" s="72"/>
      <c r="J82" s="134"/>
      <c r="K82" s="73"/>
      <c r="L82" s="73"/>
      <c r="M82" s="73"/>
      <c r="N82" s="73"/>
      <c r="O82" s="73"/>
      <c r="P82" s="72"/>
      <c r="Q82" s="72"/>
      <c r="R82" s="72"/>
    </row>
    <row r="83" spans="6:18" ht="15" customHeight="1">
      <c r="F83" s="72"/>
      <c r="G83" s="72"/>
      <c r="H83" s="93"/>
      <c r="I83" s="72"/>
      <c r="J83" s="134"/>
      <c r="K83" s="73"/>
      <c r="L83" s="73"/>
      <c r="M83" s="73"/>
      <c r="N83" s="73"/>
      <c r="O83" s="73"/>
      <c r="P83" s="72"/>
      <c r="Q83" s="72"/>
      <c r="R83" s="72"/>
    </row>
    <row r="84" spans="6:18" ht="15" customHeight="1">
      <c r="F84" s="72"/>
      <c r="G84" s="72"/>
      <c r="H84" s="93"/>
      <c r="I84" s="72"/>
      <c r="J84" s="134"/>
      <c r="K84" s="73"/>
      <c r="L84" s="73"/>
      <c r="M84" s="73"/>
      <c r="N84" s="73"/>
      <c r="O84" s="73"/>
      <c r="P84" s="72"/>
      <c r="Q84" s="72"/>
      <c r="R84" s="72"/>
    </row>
    <row r="85" spans="6:18" ht="15" customHeight="1">
      <c r="F85" s="72"/>
      <c r="G85" s="72"/>
      <c r="H85" s="93"/>
      <c r="I85" s="72"/>
      <c r="J85" s="134"/>
      <c r="K85" s="73"/>
      <c r="L85" s="73"/>
      <c r="M85" s="73"/>
      <c r="N85" s="73"/>
      <c r="O85" s="73"/>
      <c r="P85" s="72"/>
      <c r="Q85" s="72"/>
      <c r="R85" s="72"/>
    </row>
    <row r="86" spans="6:18" ht="15" customHeight="1">
      <c r="F86" s="72"/>
      <c r="G86" s="72"/>
      <c r="H86" s="93"/>
      <c r="I86" s="72"/>
      <c r="J86" s="134"/>
      <c r="K86" s="73"/>
      <c r="L86" s="73"/>
      <c r="M86" s="73"/>
      <c r="N86" s="73"/>
      <c r="O86" s="73"/>
      <c r="P86" s="72"/>
      <c r="Q86" s="72"/>
      <c r="R86" s="72"/>
    </row>
    <row r="87" spans="6:18" ht="15" customHeight="1">
      <c r="F87" s="72"/>
      <c r="G87" s="72"/>
      <c r="H87" s="93"/>
      <c r="I87" s="72"/>
      <c r="J87" s="134"/>
      <c r="K87" s="73"/>
      <c r="L87" s="73"/>
      <c r="M87" s="73"/>
      <c r="N87" s="73"/>
      <c r="O87" s="73"/>
      <c r="P87" s="72"/>
      <c r="Q87" s="72"/>
      <c r="R87" s="72"/>
    </row>
    <row r="88" spans="6:18" ht="15" customHeight="1">
      <c r="F88" s="72"/>
      <c r="G88" s="72"/>
      <c r="H88" s="93"/>
      <c r="I88" s="72"/>
      <c r="J88" s="134"/>
      <c r="K88" s="73"/>
      <c r="L88" s="73"/>
      <c r="M88" s="73"/>
      <c r="N88" s="73"/>
      <c r="O88" s="73"/>
      <c r="P88" s="72"/>
      <c r="Q88" s="72"/>
      <c r="R88" s="72"/>
    </row>
    <row r="89" spans="6:18" ht="15" customHeight="1">
      <c r="F89" s="72"/>
      <c r="G89" s="72"/>
      <c r="H89" s="93"/>
      <c r="I89" s="72"/>
      <c r="J89" s="134"/>
      <c r="K89" s="73"/>
      <c r="L89" s="73"/>
      <c r="M89" s="73"/>
      <c r="N89" s="73"/>
      <c r="O89" s="73"/>
      <c r="P89" s="72"/>
      <c r="Q89" s="72"/>
      <c r="R89" s="72"/>
    </row>
    <row r="90" spans="6:18" ht="15" customHeight="1">
      <c r="F90" s="72"/>
      <c r="G90" s="72"/>
      <c r="H90" s="93"/>
      <c r="I90" s="72"/>
      <c r="J90" s="134"/>
      <c r="K90" s="73"/>
      <c r="L90" s="73"/>
      <c r="M90" s="73"/>
      <c r="N90" s="73"/>
      <c r="O90" s="73"/>
      <c r="P90" s="72"/>
      <c r="Q90" s="72"/>
      <c r="R90" s="72"/>
    </row>
    <row r="91" spans="6:18" ht="15" customHeight="1">
      <c r="F91" s="72"/>
      <c r="G91" s="72"/>
      <c r="H91" s="93"/>
      <c r="I91" s="72"/>
      <c r="J91" s="134"/>
      <c r="K91" s="73"/>
      <c r="L91" s="73"/>
      <c r="M91" s="73"/>
      <c r="N91" s="73"/>
      <c r="O91" s="73"/>
      <c r="P91" s="72"/>
      <c r="Q91" s="72"/>
      <c r="R91" s="72"/>
    </row>
    <row r="92" spans="6:18" ht="15" customHeight="1">
      <c r="F92" s="72"/>
      <c r="G92" s="72"/>
      <c r="H92" s="93"/>
      <c r="I92" s="72"/>
      <c r="J92" s="134"/>
      <c r="K92" s="73"/>
      <c r="L92" s="73"/>
      <c r="M92" s="73"/>
      <c r="N92" s="73"/>
      <c r="O92" s="73"/>
      <c r="P92" s="72"/>
      <c r="Q92" s="72"/>
      <c r="R92" s="72"/>
    </row>
    <row r="93" spans="6:18" ht="15" customHeight="1">
      <c r="F93" s="72"/>
      <c r="G93" s="72"/>
      <c r="H93" s="93"/>
      <c r="I93" s="72"/>
      <c r="J93" s="134"/>
      <c r="K93" s="73"/>
      <c r="L93" s="73"/>
      <c r="M93" s="73"/>
      <c r="N93" s="73"/>
      <c r="O93" s="73"/>
      <c r="P93" s="72"/>
      <c r="Q93" s="72"/>
      <c r="R93" s="72"/>
    </row>
    <row r="94" spans="6:18" ht="15" customHeight="1">
      <c r="F94" s="72"/>
      <c r="G94" s="72"/>
      <c r="H94" s="93"/>
      <c r="I94" s="72"/>
      <c r="J94" s="134"/>
      <c r="K94" s="73"/>
      <c r="L94" s="73"/>
      <c r="M94" s="73"/>
      <c r="N94" s="73"/>
      <c r="O94" s="73"/>
      <c r="P94" s="72"/>
      <c r="Q94" s="72"/>
      <c r="R94" s="72"/>
    </row>
    <row r="95" spans="6:18" ht="15" customHeight="1">
      <c r="F95" s="72"/>
      <c r="G95" s="72"/>
      <c r="H95" s="93"/>
      <c r="I95" s="72"/>
      <c r="J95" s="134"/>
      <c r="K95" s="73"/>
      <c r="L95" s="73"/>
      <c r="M95" s="73"/>
      <c r="N95" s="73"/>
      <c r="O95" s="73"/>
      <c r="P95" s="72"/>
      <c r="Q95" s="72"/>
      <c r="R95" s="72"/>
    </row>
    <row r="96" spans="6:18" ht="15" customHeight="1">
      <c r="F96" s="72"/>
      <c r="G96" s="72"/>
      <c r="H96" s="93"/>
      <c r="I96" s="72"/>
      <c r="J96" s="134"/>
      <c r="K96" s="73"/>
      <c r="L96" s="73"/>
      <c r="M96" s="73"/>
      <c r="N96" s="73"/>
      <c r="O96" s="73"/>
      <c r="P96" s="72"/>
      <c r="Q96" s="72"/>
      <c r="R96" s="72"/>
    </row>
    <row r="97" spans="6:18" ht="15" customHeight="1">
      <c r="F97" s="72"/>
      <c r="G97" s="72"/>
      <c r="H97" s="93"/>
      <c r="I97" s="72"/>
      <c r="J97" s="134"/>
      <c r="K97" s="73"/>
      <c r="L97" s="73"/>
      <c r="M97" s="73"/>
      <c r="N97" s="73"/>
      <c r="O97" s="73"/>
      <c r="P97" s="72"/>
      <c r="Q97" s="72"/>
      <c r="R97" s="72"/>
    </row>
    <row r="98" spans="6:18" ht="15" customHeight="1">
      <c r="F98" s="72"/>
      <c r="G98" s="72"/>
      <c r="H98" s="93"/>
      <c r="I98" s="72"/>
      <c r="J98" s="134"/>
      <c r="K98" s="73"/>
      <c r="L98" s="73"/>
      <c r="M98" s="73"/>
      <c r="N98" s="73"/>
      <c r="O98" s="73"/>
      <c r="P98" s="72"/>
      <c r="Q98" s="72"/>
      <c r="R98" s="72"/>
    </row>
    <row r="99" spans="6:18" ht="15" customHeight="1">
      <c r="F99" s="72"/>
      <c r="G99" s="72"/>
      <c r="H99" s="93"/>
      <c r="I99" s="72"/>
      <c r="J99" s="134"/>
      <c r="K99" s="73"/>
      <c r="L99" s="73"/>
      <c r="M99" s="73"/>
      <c r="N99" s="73"/>
      <c r="O99" s="73"/>
      <c r="P99" s="72"/>
      <c r="Q99" s="72"/>
      <c r="R99" s="72"/>
    </row>
    <row r="100" spans="6:18" ht="15" customHeight="1">
      <c r="F100" s="72"/>
      <c r="G100" s="72"/>
      <c r="H100" s="93"/>
      <c r="I100" s="72"/>
      <c r="J100" s="134"/>
      <c r="K100" s="73"/>
      <c r="L100" s="73"/>
      <c r="M100" s="73"/>
      <c r="N100" s="73"/>
      <c r="O100" s="73"/>
      <c r="P100" s="72"/>
      <c r="Q100" s="72"/>
      <c r="R100" s="72"/>
    </row>
    <row r="101" spans="6:18" ht="15" customHeight="1">
      <c r="F101" s="72"/>
      <c r="G101" s="72"/>
      <c r="H101" s="93"/>
      <c r="I101" s="72"/>
      <c r="J101" s="134"/>
      <c r="K101" s="73"/>
      <c r="L101" s="73"/>
      <c r="M101" s="73"/>
      <c r="N101" s="73"/>
      <c r="O101" s="73"/>
      <c r="P101" s="72"/>
      <c r="Q101" s="72"/>
      <c r="R101" s="72"/>
    </row>
    <row r="102" spans="6:18" ht="15" customHeight="1">
      <c r="F102" s="72"/>
      <c r="G102" s="72"/>
      <c r="H102" s="93"/>
      <c r="I102" s="72"/>
      <c r="J102" s="134"/>
      <c r="K102" s="73"/>
      <c r="L102" s="73"/>
      <c r="M102" s="73"/>
      <c r="N102" s="73"/>
      <c r="O102" s="73"/>
      <c r="P102" s="72"/>
      <c r="Q102" s="72"/>
      <c r="R102" s="72"/>
    </row>
    <row r="103" spans="6:18" ht="15" customHeight="1">
      <c r="F103" s="72"/>
      <c r="G103" s="72"/>
      <c r="H103" s="93"/>
      <c r="I103" s="72"/>
      <c r="J103" s="134"/>
      <c r="K103" s="73"/>
      <c r="L103" s="73"/>
      <c r="M103" s="73"/>
      <c r="N103" s="73"/>
      <c r="O103" s="73"/>
      <c r="P103" s="72"/>
      <c r="Q103" s="72"/>
      <c r="R103" s="72"/>
    </row>
    <row r="104" spans="6:18" ht="15" customHeight="1">
      <c r="F104" s="72"/>
      <c r="G104" s="72"/>
      <c r="H104" s="93"/>
      <c r="I104" s="72"/>
      <c r="J104" s="134"/>
      <c r="K104" s="73"/>
      <c r="L104" s="73"/>
      <c r="M104" s="73"/>
      <c r="N104" s="73"/>
      <c r="O104" s="73"/>
      <c r="P104" s="72"/>
      <c r="Q104" s="72"/>
      <c r="R104" s="72"/>
    </row>
    <row r="105" spans="6:18" ht="15" customHeight="1">
      <c r="F105" s="72"/>
      <c r="G105" s="72"/>
      <c r="H105" s="93"/>
      <c r="I105" s="72"/>
      <c r="J105" s="134"/>
      <c r="K105" s="73"/>
      <c r="L105" s="73"/>
      <c r="M105" s="73"/>
      <c r="N105" s="73"/>
      <c r="O105" s="73"/>
      <c r="P105" s="72"/>
      <c r="Q105" s="72"/>
      <c r="R105" s="72"/>
    </row>
    <row r="106" spans="6:18" ht="15" customHeight="1">
      <c r="F106" s="72"/>
      <c r="G106" s="72"/>
      <c r="H106" s="93"/>
      <c r="I106" s="72"/>
      <c r="J106" s="134"/>
      <c r="K106" s="73"/>
      <c r="L106" s="73"/>
      <c r="M106" s="73"/>
      <c r="N106" s="73"/>
      <c r="O106" s="73"/>
      <c r="P106" s="72"/>
      <c r="Q106" s="72"/>
      <c r="R106" s="72"/>
    </row>
    <row r="107" spans="6:18" ht="15" customHeight="1">
      <c r="F107" s="72"/>
      <c r="G107" s="72"/>
      <c r="H107" s="93"/>
      <c r="I107" s="72"/>
      <c r="J107" s="134"/>
      <c r="K107" s="73"/>
      <c r="L107" s="73"/>
      <c r="M107" s="73"/>
      <c r="N107" s="73"/>
      <c r="O107" s="73"/>
      <c r="P107" s="72"/>
      <c r="Q107" s="72"/>
      <c r="R107" s="72"/>
    </row>
    <row r="108" spans="6:18" ht="15" customHeight="1">
      <c r="F108" s="72"/>
      <c r="G108" s="72"/>
      <c r="H108" s="93"/>
      <c r="I108" s="72"/>
      <c r="J108" s="134"/>
      <c r="K108" s="73"/>
      <c r="L108" s="73"/>
      <c r="M108" s="73"/>
      <c r="N108" s="73"/>
      <c r="O108" s="73"/>
      <c r="P108" s="72"/>
      <c r="Q108" s="72"/>
      <c r="R108" s="72"/>
    </row>
    <row r="109" spans="6:18" ht="15" customHeight="1">
      <c r="F109" s="72"/>
      <c r="G109" s="72"/>
      <c r="H109" s="93"/>
      <c r="I109" s="72"/>
      <c r="J109" s="134"/>
      <c r="K109" s="73"/>
      <c r="L109" s="73"/>
      <c r="M109" s="73"/>
      <c r="N109" s="73"/>
      <c r="O109" s="73"/>
      <c r="P109" s="72"/>
      <c r="Q109" s="72"/>
      <c r="R109" s="72"/>
    </row>
    <row r="110" spans="6:18" ht="15" customHeight="1">
      <c r="F110" s="72"/>
      <c r="G110" s="72"/>
      <c r="H110" s="93"/>
      <c r="I110" s="72"/>
      <c r="J110" s="134"/>
      <c r="K110" s="73"/>
      <c r="L110" s="73"/>
      <c r="M110" s="73"/>
      <c r="N110" s="73"/>
      <c r="O110" s="73"/>
      <c r="P110" s="72"/>
      <c r="Q110" s="72"/>
      <c r="R110" s="72"/>
    </row>
    <row r="111" spans="6:18" ht="15" customHeight="1">
      <c r="F111" s="72"/>
      <c r="G111" s="72"/>
      <c r="H111" s="93"/>
      <c r="I111" s="72"/>
      <c r="J111" s="134"/>
      <c r="K111" s="73"/>
      <c r="L111" s="73"/>
      <c r="M111" s="73"/>
      <c r="N111" s="73"/>
      <c r="O111" s="73"/>
      <c r="P111" s="72"/>
      <c r="Q111" s="72"/>
      <c r="R111" s="72"/>
    </row>
    <row r="112" spans="6:18" ht="15" customHeight="1">
      <c r="F112" s="72"/>
      <c r="G112" s="72"/>
      <c r="H112" s="93"/>
      <c r="I112" s="72"/>
      <c r="J112" s="134"/>
      <c r="K112" s="73"/>
      <c r="L112" s="73"/>
      <c r="M112" s="73"/>
      <c r="N112" s="73"/>
      <c r="O112" s="73"/>
      <c r="P112" s="72"/>
      <c r="Q112" s="72"/>
      <c r="R112" s="72"/>
    </row>
    <row r="113" spans="6:18" ht="15" customHeight="1">
      <c r="F113" s="72"/>
      <c r="G113" s="72"/>
      <c r="H113" s="93"/>
      <c r="I113" s="72"/>
      <c r="J113" s="134"/>
      <c r="K113" s="73"/>
      <c r="L113" s="73"/>
      <c r="M113" s="73"/>
      <c r="N113" s="73"/>
      <c r="O113" s="73"/>
      <c r="P113" s="72"/>
      <c r="Q113" s="72"/>
      <c r="R113" s="72"/>
    </row>
    <row r="114" spans="6:18" ht="15" customHeight="1">
      <c r="F114" s="72"/>
      <c r="G114" s="72"/>
      <c r="H114" s="93"/>
      <c r="I114" s="72"/>
      <c r="J114" s="134"/>
      <c r="K114" s="73"/>
      <c r="L114" s="73"/>
      <c r="M114" s="73"/>
      <c r="N114" s="73"/>
      <c r="O114" s="73"/>
      <c r="P114" s="72"/>
      <c r="Q114" s="72"/>
      <c r="R114" s="72"/>
    </row>
    <row r="115" spans="6:18" ht="15" customHeight="1">
      <c r="F115" s="72"/>
      <c r="G115" s="72"/>
      <c r="H115" s="93"/>
      <c r="I115" s="72"/>
      <c r="J115" s="134"/>
      <c r="K115" s="73"/>
      <c r="L115" s="73"/>
      <c r="M115" s="73"/>
      <c r="N115" s="73"/>
      <c r="O115" s="73"/>
      <c r="P115" s="72"/>
      <c r="Q115" s="72"/>
      <c r="R115" s="72"/>
    </row>
    <row r="116" spans="6:18" ht="15" customHeight="1">
      <c r="F116" s="72"/>
      <c r="G116" s="72"/>
      <c r="H116" s="93"/>
      <c r="I116" s="72"/>
      <c r="J116" s="134"/>
      <c r="K116" s="73"/>
      <c r="L116" s="73"/>
      <c r="M116" s="73"/>
      <c r="N116" s="73"/>
      <c r="O116" s="73"/>
      <c r="P116" s="72"/>
      <c r="Q116" s="72"/>
      <c r="R116" s="72"/>
    </row>
    <row r="117" spans="6:18" ht="15" customHeight="1">
      <c r="F117" s="72"/>
      <c r="G117" s="72"/>
      <c r="H117" s="93"/>
      <c r="I117" s="72"/>
      <c r="J117" s="134"/>
      <c r="K117" s="73"/>
      <c r="L117" s="73"/>
      <c r="M117" s="73"/>
      <c r="N117" s="73"/>
      <c r="O117" s="73"/>
      <c r="P117" s="72"/>
      <c r="Q117" s="72"/>
      <c r="R117" s="72"/>
    </row>
    <row r="118" spans="6:18" ht="15" customHeight="1">
      <c r="F118" s="72"/>
      <c r="G118" s="72"/>
      <c r="H118" s="93"/>
      <c r="I118" s="72"/>
      <c r="J118" s="134"/>
      <c r="K118" s="73"/>
      <c r="L118" s="73"/>
      <c r="M118" s="73"/>
      <c r="N118" s="73"/>
      <c r="O118" s="73"/>
      <c r="P118" s="72"/>
      <c r="Q118" s="72"/>
      <c r="R118" s="72"/>
    </row>
    <row r="119" spans="6:18" ht="15" customHeight="1">
      <c r="F119" s="72"/>
      <c r="G119" s="72"/>
      <c r="H119" s="93"/>
      <c r="I119" s="72"/>
      <c r="J119" s="134"/>
      <c r="K119" s="73"/>
      <c r="L119" s="73"/>
      <c r="M119" s="73"/>
      <c r="N119" s="73"/>
      <c r="O119" s="73"/>
      <c r="P119" s="72"/>
      <c r="Q119" s="72"/>
      <c r="R119" s="72"/>
    </row>
    <row r="120" spans="6:18" ht="15" customHeight="1">
      <c r="F120" s="72"/>
      <c r="G120" s="72"/>
      <c r="H120" s="93"/>
      <c r="I120" s="72"/>
      <c r="J120" s="134"/>
      <c r="K120" s="73"/>
      <c r="L120" s="73"/>
      <c r="M120" s="73"/>
      <c r="N120" s="73"/>
      <c r="O120" s="73"/>
      <c r="P120" s="72"/>
      <c r="Q120" s="72"/>
      <c r="R120" s="72"/>
    </row>
    <row r="121" spans="6:18" ht="15" customHeight="1">
      <c r="F121" s="72"/>
      <c r="G121" s="72"/>
      <c r="H121" s="93"/>
      <c r="I121" s="72"/>
      <c r="J121" s="134"/>
      <c r="K121" s="73"/>
      <c r="L121" s="73"/>
      <c r="M121" s="73"/>
      <c r="N121" s="73"/>
      <c r="O121" s="73"/>
      <c r="P121" s="72"/>
      <c r="Q121" s="72"/>
      <c r="R121" s="72"/>
    </row>
    <row r="122" spans="6:18" ht="15" customHeight="1">
      <c r="F122" s="72"/>
      <c r="G122" s="72"/>
      <c r="H122" s="93"/>
      <c r="I122" s="72"/>
      <c r="J122" s="134"/>
      <c r="K122" s="73"/>
      <c r="L122" s="73"/>
      <c r="M122" s="73"/>
      <c r="N122" s="73"/>
      <c r="O122" s="73"/>
      <c r="P122" s="72"/>
      <c r="Q122" s="72"/>
      <c r="R122" s="72"/>
    </row>
    <row r="123" spans="6:18" ht="15" customHeight="1">
      <c r="F123" s="72"/>
      <c r="G123" s="72"/>
      <c r="H123" s="93"/>
      <c r="I123" s="72"/>
      <c r="J123" s="134"/>
      <c r="K123" s="73"/>
      <c r="L123" s="73"/>
      <c r="M123" s="73"/>
      <c r="N123" s="73"/>
      <c r="O123" s="73"/>
      <c r="P123" s="72"/>
      <c r="Q123" s="72"/>
      <c r="R123" s="72"/>
    </row>
    <row r="124" spans="6:18" ht="15" customHeight="1">
      <c r="F124" s="72"/>
      <c r="G124" s="72"/>
      <c r="H124" s="93"/>
      <c r="I124" s="72"/>
      <c r="J124" s="134"/>
      <c r="K124" s="73"/>
      <c r="L124" s="73"/>
      <c r="M124" s="73"/>
      <c r="N124" s="73"/>
      <c r="O124" s="73"/>
      <c r="P124" s="72"/>
      <c r="Q124" s="72"/>
      <c r="R124" s="72"/>
    </row>
    <row r="125" spans="6:18" ht="15" customHeight="1">
      <c r="F125" s="72"/>
      <c r="G125" s="72"/>
      <c r="H125" s="93"/>
      <c r="I125" s="72"/>
      <c r="J125" s="134"/>
      <c r="K125" s="73"/>
      <c r="L125" s="73"/>
      <c r="M125" s="73"/>
      <c r="N125" s="73"/>
      <c r="O125" s="73"/>
      <c r="P125" s="72"/>
      <c r="Q125" s="72"/>
      <c r="R125" s="72"/>
    </row>
    <row r="126" spans="6:18" ht="15" customHeight="1">
      <c r="F126" s="72"/>
      <c r="G126" s="72"/>
      <c r="H126" s="93"/>
      <c r="I126" s="72"/>
      <c r="J126" s="134"/>
      <c r="K126" s="73"/>
      <c r="L126" s="73"/>
      <c r="M126" s="73"/>
      <c r="N126" s="73"/>
      <c r="O126" s="73"/>
      <c r="P126" s="72"/>
      <c r="Q126" s="72"/>
      <c r="R126" s="72"/>
    </row>
    <row r="127" spans="6:18" ht="15" customHeight="1">
      <c r="F127" s="72"/>
      <c r="G127" s="72"/>
      <c r="H127" s="93"/>
      <c r="I127" s="72"/>
      <c r="J127" s="134"/>
      <c r="K127" s="73"/>
      <c r="L127" s="73"/>
      <c r="M127" s="73"/>
      <c r="N127" s="73"/>
      <c r="O127" s="73"/>
      <c r="P127" s="72"/>
      <c r="Q127" s="72"/>
      <c r="R127" s="72"/>
    </row>
    <row r="128" spans="6:18" ht="15" customHeight="1">
      <c r="F128" s="72"/>
      <c r="G128" s="72"/>
      <c r="H128" s="93"/>
      <c r="I128" s="72"/>
      <c r="J128" s="134"/>
      <c r="K128" s="73"/>
      <c r="L128" s="73"/>
      <c r="M128" s="73"/>
      <c r="N128" s="73"/>
      <c r="O128" s="73"/>
      <c r="P128" s="72"/>
      <c r="Q128" s="72"/>
      <c r="R128" s="72"/>
    </row>
    <row r="129" spans="6:18" ht="15" customHeight="1">
      <c r="F129" s="72"/>
      <c r="G129" s="72"/>
      <c r="H129" s="93"/>
      <c r="I129" s="72"/>
      <c r="J129" s="134"/>
      <c r="K129" s="73"/>
      <c r="L129" s="73"/>
      <c r="M129" s="73"/>
      <c r="N129" s="73"/>
      <c r="O129" s="73"/>
      <c r="P129" s="72"/>
      <c r="Q129" s="72"/>
      <c r="R129" s="72"/>
    </row>
    <row r="130" spans="6:18" ht="15" customHeight="1">
      <c r="F130" s="72"/>
      <c r="G130" s="72"/>
      <c r="H130" s="93"/>
      <c r="I130" s="72"/>
      <c r="J130" s="134"/>
      <c r="K130" s="73"/>
      <c r="L130" s="73"/>
      <c r="M130" s="73"/>
      <c r="N130" s="73"/>
      <c r="O130" s="73"/>
      <c r="P130" s="72"/>
      <c r="Q130" s="72"/>
      <c r="R130" s="72"/>
    </row>
    <row r="131" spans="6:18" ht="15" customHeight="1">
      <c r="F131" s="72"/>
      <c r="G131" s="72"/>
      <c r="H131" s="93"/>
      <c r="I131" s="72"/>
      <c r="J131" s="134"/>
      <c r="K131" s="73"/>
      <c r="L131" s="73"/>
      <c r="M131" s="73"/>
      <c r="N131" s="73"/>
      <c r="O131" s="73"/>
      <c r="P131" s="72"/>
      <c r="Q131" s="72"/>
      <c r="R131" s="72"/>
    </row>
    <row r="132" spans="6:18" ht="15" customHeight="1">
      <c r="F132" s="72"/>
      <c r="G132" s="72"/>
      <c r="H132" s="93"/>
      <c r="I132" s="72"/>
      <c r="J132" s="134"/>
      <c r="K132" s="73"/>
      <c r="L132" s="73"/>
      <c r="M132" s="73"/>
      <c r="N132" s="73"/>
      <c r="O132" s="73"/>
      <c r="P132" s="72"/>
      <c r="Q132" s="72"/>
      <c r="R132" s="72"/>
    </row>
    <row r="133" spans="6:18" ht="15" customHeight="1">
      <c r="F133" s="72"/>
      <c r="G133" s="72"/>
      <c r="H133" s="93"/>
      <c r="I133" s="72"/>
      <c r="J133" s="134"/>
      <c r="K133" s="73"/>
      <c r="L133" s="73"/>
      <c r="M133" s="73"/>
      <c r="N133" s="73"/>
      <c r="O133" s="73"/>
      <c r="P133" s="72"/>
      <c r="Q133" s="72"/>
      <c r="R133" s="72"/>
    </row>
    <row r="134" spans="6:18" ht="15" customHeight="1">
      <c r="F134" s="72"/>
      <c r="G134" s="72"/>
      <c r="H134" s="93"/>
      <c r="I134" s="72"/>
      <c r="J134" s="134"/>
      <c r="K134" s="73"/>
      <c r="L134" s="73"/>
      <c r="M134" s="73"/>
      <c r="N134" s="73"/>
      <c r="O134" s="73"/>
      <c r="P134" s="72"/>
      <c r="Q134" s="72"/>
      <c r="R134" s="72"/>
    </row>
    <row r="135" spans="6:18" ht="15" customHeight="1">
      <c r="F135" s="72"/>
      <c r="G135" s="72"/>
      <c r="H135" s="93"/>
      <c r="I135" s="72"/>
      <c r="J135" s="134"/>
      <c r="K135" s="73"/>
      <c r="L135" s="73"/>
      <c r="M135" s="73"/>
      <c r="N135" s="73"/>
      <c r="O135" s="73"/>
      <c r="P135" s="72"/>
      <c r="Q135" s="72"/>
      <c r="R135" s="72"/>
    </row>
    <row r="136" spans="6:18" ht="15" customHeight="1">
      <c r="F136" s="72"/>
      <c r="G136" s="72"/>
      <c r="H136" s="93"/>
      <c r="I136" s="72"/>
      <c r="J136" s="134"/>
      <c r="K136" s="73"/>
      <c r="L136" s="73"/>
      <c r="M136" s="73"/>
      <c r="N136" s="73"/>
      <c r="O136" s="73"/>
      <c r="P136" s="72"/>
      <c r="Q136" s="72"/>
      <c r="R136" s="72"/>
    </row>
    <row r="137" spans="6:18" ht="15" customHeight="1">
      <c r="F137" s="72"/>
      <c r="G137" s="72"/>
      <c r="H137" s="93"/>
      <c r="I137" s="72"/>
      <c r="J137" s="134"/>
      <c r="K137" s="73"/>
      <c r="L137" s="73"/>
      <c r="M137" s="73"/>
      <c r="N137" s="73"/>
      <c r="O137" s="73"/>
      <c r="P137" s="72"/>
      <c r="Q137" s="72"/>
      <c r="R137" s="72"/>
    </row>
    <row r="138" spans="6:18" ht="15" customHeight="1">
      <c r="F138" s="72"/>
      <c r="G138" s="72"/>
      <c r="H138" s="93"/>
      <c r="I138" s="72"/>
      <c r="J138" s="134"/>
      <c r="K138" s="73"/>
      <c r="L138" s="73"/>
      <c r="M138" s="73"/>
      <c r="N138" s="73"/>
      <c r="O138" s="73"/>
      <c r="P138" s="72"/>
      <c r="Q138" s="72"/>
      <c r="R138" s="72"/>
    </row>
    <row r="139" spans="6:18" ht="15" customHeight="1">
      <c r="F139" s="72"/>
      <c r="G139" s="72"/>
      <c r="H139" s="93"/>
      <c r="I139" s="72"/>
      <c r="J139" s="134"/>
      <c r="K139" s="73"/>
      <c r="L139" s="73"/>
      <c r="M139" s="73"/>
      <c r="N139" s="73"/>
      <c r="O139" s="73"/>
      <c r="P139" s="72"/>
      <c r="Q139" s="72"/>
      <c r="R139" s="72"/>
    </row>
    <row r="140" spans="6:18" ht="15" customHeight="1">
      <c r="F140" s="72"/>
      <c r="G140" s="72"/>
      <c r="H140" s="93"/>
      <c r="I140" s="72"/>
      <c r="J140" s="134"/>
      <c r="K140" s="73"/>
      <c r="L140" s="73"/>
      <c r="M140" s="73"/>
      <c r="N140" s="73"/>
      <c r="O140" s="73"/>
      <c r="P140" s="72"/>
      <c r="Q140" s="72"/>
      <c r="R140" s="72"/>
    </row>
    <row r="141" spans="6:18" ht="15" customHeight="1">
      <c r="F141" s="72"/>
      <c r="G141" s="72"/>
      <c r="H141" s="93"/>
      <c r="I141" s="72"/>
      <c r="J141" s="134"/>
      <c r="K141" s="73"/>
      <c r="L141" s="73"/>
      <c r="M141" s="73"/>
      <c r="N141" s="73"/>
      <c r="O141" s="73"/>
      <c r="P141" s="72"/>
      <c r="Q141" s="72"/>
      <c r="R141" s="72"/>
    </row>
    <row r="142" spans="6:18" ht="15" customHeight="1">
      <c r="F142" s="72"/>
      <c r="G142" s="72"/>
      <c r="H142" s="93"/>
      <c r="I142" s="72"/>
      <c r="J142" s="134"/>
      <c r="K142" s="73"/>
      <c r="L142" s="73"/>
      <c r="M142" s="73"/>
      <c r="N142" s="73"/>
      <c r="O142" s="73"/>
      <c r="P142" s="72"/>
      <c r="Q142" s="72"/>
      <c r="R142" s="72"/>
    </row>
    <row r="143" spans="6:18" ht="15" customHeight="1">
      <c r="F143" s="72"/>
      <c r="G143" s="72"/>
      <c r="H143" s="93"/>
      <c r="I143" s="72"/>
      <c r="J143" s="134"/>
      <c r="K143" s="73"/>
      <c r="L143" s="73"/>
      <c r="M143" s="73"/>
      <c r="N143" s="73"/>
      <c r="O143" s="73"/>
      <c r="P143" s="72"/>
      <c r="Q143" s="72"/>
      <c r="R143" s="72"/>
    </row>
    <row r="144" spans="6:18" ht="15" customHeight="1">
      <c r="F144" s="72"/>
      <c r="G144" s="72"/>
      <c r="H144" s="93"/>
      <c r="I144" s="72"/>
      <c r="J144" s="134"/>
      <c r="K144" s="73"/>
      <c r="L144" s="73"/>
      <c r="M144" s="73"/>
      <c r="N144" s="73"/>
      <c r="O144" s="73"/>
      <c r="P144" s="72"/>
      <c r="Q144" s="72"/>
      <c r="R144" s="72"/>
    </row>
    <row r="145" spans="6:18" ht="15" customHeight="1">
      <c r="F145" s="72"/>
      <c r="G145" s="72"/>
      <c r="H145" s="93"/>
      <c r="I145" s="72"/>
      <c r="J145" s="134"/>
      <c r="K145" s="73"/>
      <c r="L145" s="73"/>
      <c r="M145" s="73"/>
      <c r="N145" s="73"/>
      <c r="O145" s="73"/>
      <c r="P145" s="72"/>
      <c r="Q145" s="72"/>
      <c r="R145" s="72"/>
    </row>
    <row r="146" spans="6:18" ht="15" customHeight="1">
      <c r="F146" s="72"/>
      <c r="G146" s="72"/>
      <c r="H146" s="93"/>
      <c r="I146" s="72"/>
      <c r="J146" s="134"/>
      <c r="K146" s="73"/>
      <c r="L146" s="73"/>
      <c r="M146" s="73"/>
      <c r="N146" s="73"/>
      <c r="O146" s="73"/>
      <c r="P146" s="72"/>
      <c r="Q146" s="72"/>
      <c r="R146" s="72"/>
    </row>
    <row r="147" spans="6:18" ht="15" customHeight="1">
      <c r="F147" s="72"/>
      <c r="G147" s="72"/>
      <c r="H147" s="93"/>
      <c r="I147" s="72"/>
      <c r="J147" s="134"/>
      <c r="K147" s="73"/>
      <c r="L147" s="73"/>
      <c r="M147" s="73"/>
      <c r="N147" s="73"/>
      <c r="O147" s="73"/>
      <c r="P147" s="72"/>
      <c r="Q147" s="72"/>
      <c r="R147" s="72"/>
    </row>
    <row r="148" spans="6:18" ht="15" customHeight="1">
      <c r="F148" s="72"/>
      <c r="G148" s="72"/>
      <c r="H148" s="93"/>
      <c r="I148" s="72"/>
      <c r="J148" s="134"/>
      <c r="K148" s="73"/>
      <c r="L148" s="73"/>
      <c r="M148" s="73"/>
      <c r="N148" s="73"/>
      <c r="O148" s="73"/>
      <c r="P148" s="72"/>
      <c r="Q148" s="72"/>
      <c r="R148" s="72"/>
    </row>
    <row r="149" spans="6:18" ht="15" customHeight="1">
      <c r="F149" s="72"/>
      <c r="G149" s="72"/>
      <c r="H149" s="93"/>
      <c r="I149" s="72"/>
      <c r="J149" s="134"/>
      <c r="K149" s="73"/>
      <c r="L149" s="73"/>
      <c r="M149" s="73"/>
      <c r="N149" s="73"/>
      <c r="O149" s="73"/>
      <c r="P149" s="72"/>
      <c r="Q149" s="72"/>
      <c r="R149" s="72"/>
    </row>
    <row r="150" spans="6:18" ht="15" customHeight="1">
      <c r="F150" s="72"/>
      <c r="G150" s="72"/>
      <c r="H150" s="93"/>
      <c r="I150" s="72"/>
      <c r="J150" s="134"/>
      <c r="K150" s="73"/>
      <c r="L150" s="73"/>
      <c r="M150" s="73"/>
      <c r="N150" s="73"/>
      <c r="O150" s="73"/>
      <c r="P150" s="72"/>
      <c r="Q150" s="72"/>
      <c r="R150" s="72"/>
    </row>
    <row r="151" spans="6:18" ht="15" customHeight="1">
      <c r="F151" s="72"/>
      <c r="G151" s="72"/>
      <c r="H151" s="93"/>
      <c r="I151" s="72"/>
      <c r="J151" s="134"/>
      <c r="K151" s="73"/>
      <c r="L151" s="73"/>
      <c r="M151" s="73"/>
      <c r="N151" s="73"/>
      <c r="O151" s="73"/>
      <c r="P151" s="72"/>
      <c r="Q151" s="72"/>
      <c r="R151" s="72"/>
    </row>
    <row r="152" spans="6:18" ht="15" customHeight="1">
      <c r="F152" s="72"/>
      <c r="G152" s="72"/>
      <c r="H152" s="93"/>
      <c r="I152" s="72"/>
      <c r="J152" s="134"/>
      <c r="K152" s="73"/>
      <c r="L152" s="73"/>
      <c r="M152" s="73"/>
      <c r="N152" s="73"/>
      <c r="O152" s="73"/>
      <c r="P152" s="72"/>
      <c r="Q152" s="72"/>
      <c r="R152" s="72"/>
    </row>
    <row r="153" spans="6:18" ht="15" customHeight="1">
      <c r="F153" s="72"/>
      <c r="G153" s="72"/>
      <c r="H153" s="93"/>
      <c r="I153" s="72"/>
      <c r="J153" s="134"/>
      <c r="K153" s="73"/>
      <c r="L153" s="73"/>
      <c r="M153" s="73"/>
      <c r="N153" s="73"/>
      <c r="O153" s="73"/>
      <c r="P153" s="72"/>
      <c r="Q153" s="72"/>
      <c r="R153" s="72"/>
    </row>
    <row r="154" spans="6:18" ht="15" customHeight="1">
      <c r="F154" s="72"/>
      <c r="G154" s="72"/>
      <c r="H154" s="93"/>
      <c r="I154" s="72"/>
      <c r="J154" s="134"/>
      <c r="K154" s="73"/>
      <c r="L154" s="73"/>
      <c r="M154" s="73"/>
      <c r="N154" s="73"/>
      <c r="O154" s="73"/>
      <c r="P154" s="72"/>
      <c r="Q154" s="72"/>
      <c r="R154" s="72"/>
    </row>
    <row r="155" spans="6:18" ht="15" customHeight="1">
      <c r="F155" s="72"/>
      <c r="G155" s="72"/>
      <c r="H155" s="93"/>
      <c r="I155" s="72"/>
      <c r="J155" s="134"/>
      <c r="K155" s="73"/>
      <c r="L155" s="73"/>
      <c r="M155" s="73"/>
      <c r="N155" s="73"/>
      <c r="O155" s="73"/>
      <c r="P155" s="72"/>
      <c r="Q155" s="72"/>
      <c r="R155" s="72"/>
    </row>
    <row r="156" spans="6:18" ht="15" customHeight="1">
      <c r="F156" s="72"/>
      <c r="G156" s="72"/>
      <c r="H156" s="93"/>
      <c r="I156" s="72"/>
      <c r="J156" s="134"/>
      <c r="K156" s="73"/>
      <c r="L156" s="73"/>
      <c r="M156" s="73"/>
      <c r="N156" s="73"/>
      <c r="O156" s="73"/>
      <c r="P156" s="72"/>
      <c r="Q156" s="72"/>
      <c r="R156" s="72"/>
    </row>
    <row r="157" spans="6:18" ht="15" customHeight="1">
      <c r="F157" s="72"/>
      <c r="G157" s="72"/>
      <c r="H157" s="93"/>
      <c r="I157" s="72"/>
      <c r="J157" s="134"/>
      <c r="K157" s="73"/>
      <c r="L157" s="73"/>
      <c r="M157" s="73"/>
      <c r="N157" s="73"/>
      <c r="O157" s="73"/>
      <c r="P157" s="72"/>
      <c r="Q157" s="72"/>
      <c r="R157" s="72"/>
    </row>
    <row r="158" spans="6:18" ht="15" customHeight="1">
      <c r="F158" s="72"/>
      <c r="G158" s="72"/>
      <c r="H158" s="93"/>
      <c r="I158" s="72"/>
      <c r="J158" s="134"/>
      <c r="K158" s="73"/>
      <c r="L158" s="73"/>
      <c r="M158" s="73"/>
      <c r="N158" s="73"/>
      <c r="O158" s="73"/>
      <c r="P158" s="72"/>
      <c r="Q158" s="72"/>
      <c r="R158" s="72"/>
    </row>
    <row r="159" spans="6:18" ht="15" customHeight="1">
      <c r="F159" s="72"/>
      <c r="G159" s="72"/>
      <c r="H159" s="93"/>
      <c r="I159" s="72"/>
      <c r="J159" s="134"/>
      <c r="K159" s="73"/>
      <c r="L159" s="73"/>
      <c r="M159" s="73"/>
      <c r="N159" s="73"/>
      <c r="O159" s="73"/>
      <c r="P159" s="72"/>
      <c r="Q159" s="72"/>
      <c r="R159" s="72"/>
    </row>
    <row r="160" spans="6:18" ht="15" customHeight="1">
      <c r="F160" s="72"/>
      <c r="G160" s="72"/>
      <c r="H160" s="93"/>
      <c r="I160" s="72"/>
      <c r="J160" s="134"/>
      <c r="K160" s="73"/>
      <c r="L160" s="73"/>
      <c r="M160" s="73"/>
      <c r="N160" s="73"/>
      <c r="O160" s="73"/>
      <c r="P160" s="72"/>
      <c r="Q160" s="72"/>
      <c r="R160" s="72"/>
    </row>
    <row r="161" spans="7:18" ht="15" customHeight="1">
      <c r="G161" s="72"/>
      <c r="H161" s="93"/>
      <c r="I161" s="72"/>
      <c r="J161" s="134"/>
      <c r="K161" s="73"/>
      <c r="L161" s="73"/>
      <c r="M161" s="73"/>
      <c r="N161" s="73"/>
      <c r="O161" s="73"/>
      <c r="P161" s="72"/>
      <c r="Q161" s="72"/>
      <c r="R161" s="72"/>
    </row>
    <row r="162" spans="7:18" ht="15" customHeight="1">
      <c r="G162" s="72"/>
      <c r="H162" s="93"/>
      <c r="I162" s="72"/>
      <c r="J162" s="134"/>
      <c r="K162" s="73"/>
      <c r="L162" s="73"/>
      <c r="M162" s="73"/>
      <c r="N162" s="73"/>
      <c r="O162" s="73"/>
      <c r="P162" s="72"/>
      <c r="Q162" s="72"/>
      <c r="R162" s="72"/>
    </row>
    <row r="163" spans="7:18" ht="15" customHeight="1">
      <c r="G163" s="72"/>
      <c r="H163" s="93"/>
      <c r="I163" s="72"/>
      <c r="J163" s="134"/>
      <c r="K163" s="73"/>
      <c r="L163" s="73"/>
      <c r="M163" s="73"/>
      <c r="N163" s="73"/>
      <c r="O163" s="73"/>
      <c r="P163" s="72"/>
      <c r="Q163" s="72"/>
      <c r="R163" s="72"/>
    </row>
    <row r="164" spans="7:18" ht="15" customHeight="1">
      <c r="G164" s="72"/>
      <c r="H164" s="93"/>
      <c r="I164" s="72"/>
      <c r="J164" s="134"/>
      <c r="K164" s="73"/>
      <c r="L164" s="73"/>
      <c r="M164" s="73"/>
      <c r="N164" s="73"/>
      <c r="O164" s="73"/>
      <c r="P164" s="72"/>
      <c r="Q164" s="72"/>
      <c r="R164" s="72"/>
    </row>
  </sheetData>
  <mergeCells count="2">
    <mergeCell ref="A2:F2"/>
    <mergeCell ref="A1:F1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59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K881"/>
  <sheetViews>
    <sheetView view="pageBreakPreview" zoomScale="90" zoomScaleNormal="40" zoomScaleSheetLayoutView="90" workbookViewId="0">
      <pane ySplit="4" topLeftCell="A5" activePane="bottomLeft" state="frozen"/>
      <selection pane="bottomLeft" activeCell="B13" sqref="B13"/>
    </sheetView>
  </sheetViews>
  <sheetFormatPr defaultColWidth="10.28515625" defaultRowHeight="15" customHeight="1"/>
  <cols>
    <col min="1" max="1" width="10.5703125" style="4" bestFit="1" customWidth="1"/>
    <col min="2" max="2" width="40.28515625" style="4" bestFit="1" customWidth="1"/>
    <col min="3" max="3" width="22.7109375" style="4" bestFit="1" customWidth="1"/>
    <col min="4" max="4" width="10.5703125" style="4" customWidth="1"/>
    <col min="5" max="5" width="11.7109375" style="4" bestFit="1" customWidth="1"/>
    <col min="6" max="6" width="14" style="4" customWidth="1"/>
    <col min="7" max="7" width="13.85546875" style="4" bestFit="1" customWidth="1"/>
    <col min="8" max="8" width="14.28515625" style="21" bestFit="1" customWidth="1"/>
    <col min="9" max="9" width="25" style="82" customWidth="1"/>
    <col min="10" max="11" width="10" style="21" customWidth="1"/>
    <col min="12" max="12" width="21.7109375" style="115" customWidth="1"/>
    <col min="13" max="13" width="10.42578125" style="115" customWidth="1"/>
    <col min="14" max="14" width="13.85546875" style="116" customWidth="1"/>
    <col min="15" max="15" width="18.7109375" style="174" bestFit="1" customWidth="1"/>
    <col min="16" max="16" width="18.7109375" style="174" customWidth="1"/>
    <col min="17" max="17" width="10" style="4" customWidth="1"/>
    <col min="18" max="18" width="16.5703125" style="17" customWidth="1"/>
    <col min="19" max="19" width="16.42578125" style="17" customWidth="1"/>
    <col min="20" max="20" width="16.42578125" style="118" customWidth="1"/>
    <col min="21" max="21" width="18" style="119" customWidth="1"/>
    <col min="22" max="22" width="16.42578125" style="236" customWidth="1"/>
    <col min="23" max="23" width="16.42578125" style="239" customWidth="1"/>
    <col min="24" max="24" width="16.42578125" style="118" customWidth="1"/>
    <col min="25" max="25" width="16.42578125" style="119" customWidth="1"/>
    <col min="26" max="26" width="16.42578125" style="117" customWidth="1"/>
    <col min="27" max="28" width="16.42578125" style="4" customWidth="1"/>
    <col min="29" max="30" width="16.42578125" style="120" customWidth="1"/>
    <col min="31" max="31" width="16.42578125" style="28" customWidth="1"/>
    <col min="32" max="32" width="16.42578125" style="87" customWidth="1"/>
    <col min="33" max="218" width="10.28515625" style="87"/>
    <col min="219" max="16384" width="10.28515625" style="4"/>
  </cols>
  <sheetData>
    <row r="1" spans="1:219" ht="15" customHeight="1">
      <c r="A1" s="348" t="s">
        <v>171</v>
      </c>
      <c r="B1" s="348"/>
      <c r="C1" s="348"/>
      <c r="D1" s="348"/>
      <c r="E1" s="348"/>
      <c r="F1" s="348"/>
      <c r="G1" s="348"/>
      <c r="H1" s="348"/>
      <c r="I1" s="348"/>
      <c r="J1" s="348"/>
      <c r="K1" s="348"/>
      <c r="L1" s="348"/>
      <c r="M1" s="348"/>
      <c r="N1" s="348"/>
      <c r="O1" s="348"/>
      <c r="P1" s="348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</row>
    <row r="2" spans="1:219" ht="15" customHeight="1">
      <c r="A2" s="87"/>
      <c r="B2" s="87"/>
      <c r="C2" s="87"/>
      <c r="D2" s="87"/>
      <c r="E2" s="87"/>
      <c r="F2" s="87"/>
      <c r="G2" s="87"/>
      <c r="H2" s="97"/>
      <c r="I2" s="131"/>
      <c r="J2" s="97"/>
      <c r="K2" s="97"/>
      <c r="L2" s="112"/>
      <c r="M2" s="112"/>
      <c r="N2" s="113"/>
      <c r="O2" s="172"/>
      <c r="P2" s="172"/>
      <c r="Q2" s="87"/>
      <c r="R2" s="87"/>
      <c r="S2" s="87"/>
      <c r="T2" s="87"/>
      <c r="U2" s="87"/>
      <c r="V2" s="235"/>
      <c r="W2" s="237"/>
      <c r="X2" s="87"/>
      <c r="Y2" s="87"/>
      <c r="Z2" s="87"/>
      <c r="AA2" s="87"/>
      <c r="AB2" s="87"/>
      <c r="AC2" s="87"/>
      <c r="AD2" s="87"/>
      <c r="AE2" s="87"/>
    </row>
    <row r="3" spans="1:219" s="87" customFormat="1" ht="15" customHeight="1">
      <c r="H3" s="97"/>
      <c r="I3" s="131"/>
      <c r="J3" s="97"/>
      <c r="K3" s="97"/>
      <c r="L3" s="112"/>
      <c r="M3" s="112"/>
      <c r="N3" s="113"/>
      <c r="O3" s="172"/>
      <c r="P3" s="172"/>
      <c r="R3" s="349" t="s">
        <v>248</v>
      </c>
      <c r="S3" s="350"/>
      <c r="T3" s="350"/>
      <c r="U3" s="350"/>
      <c r="V3" s="350"/>
      <c r="W3" s="351"/>
      <c r="X3" s="352" t="s">
        <v>249</v>
      </c>
      <c r="Y3" s="353"/>
      <c r="Z3" s="353"/>
      <c r="AA3" s="353"/>
      <c r="AB3" s="353"/>
      <c r="AC3" s="354"/>
      <c r="AD3" s="355" t="s">
        <v>250</v>
      </c>
      <c r="AE3" s="356"/>
      <c r="AF3" s="357"/>
    </row>
    <row r="4" spans="1:219" s="8" customFormat="1" ht="46.5" customHeight="1">
      <c r="A4" s="129" t="s">
        <v>34</v>
      </c>
      <c r="B4" s="33" t="s">
        <v>145</v>
      </c>
      <c r="C4" s="33" t="s">
        <v>68</v>
      </c>
      <c r="D4" s="33" t="s">
        <v>67</v>
      </c>
      <c r="E4" s="33" t="s">
        <v>30</v>
      </c>
      <c r="F4" s="33" t="s">
        <v>31</v>
      </c>
      <c r="G4" s="33" t="s">
        <v>121</v>
      </c>
      <c r="H4" s="33" t="s">
        <v>428</v>
      </c>
      <c r="I4" s="83" t="s">
        <v>106</v>
      </c>
      <c r="J4" s="33" t="s">
        <v>23</v>
      </c>
      <c r="K4" s="33" t="s">
        <v>122</v>
      </c>
      <c r="L4" s="33" t="s">
        <v>39</v>
      </c>
      <c r="M4" s="33" t="s">
        <v>32</v>
      </c>
      <c r="N4" s="33" t="s">
        <v>133</v>
      </c>
      <c r="O4" s="173" t="s">
        <v>69</v>
      </c>
      <c r="P4" s="173" t="s">
        <v>257</v>
      </c>
      <c r="Q4" s="33" t="s">
        <v>124</v>
      </c>
      <c r="R4" s="33" t="s">
        <v>1050</v>
      </c>
      <c r="S4" s="33" t="s">
        <v>137</v>
      </c>
      <c r="T4" s="33" t="s">
        <v>138</v>
      </c>
      <c r="U4" s="33" t="s">
        <v>139</v>
      </c>
      <c r="V4" s="88" t="s">
        <v>135</v>
      </c>
      <c r="W4" s="238" t="s">
        <v>136</v>
      </c>
      <c r="X4" s="33" t="s">
        <v>123</v>
      </c>
      <c r="Y4" s="33" t="s">
        <v>144</v>
      </c>
      <c r="Z4" s="33" t="s">
        <v>140</v>
      </c>
      <c r="AA4" s="33" t="s">
        <v>141</v>
      </c>
      <c r="AB4" s="33" t="s">
        <v>142</v>
      </c>
      <c r="AC4" s="33" t="s">
        <v>143</v>
      </c>
      <c r="AD4" s="88" t="s">
        <v>127</v>
      </c>
      <c r="AE4" s="88" t="s">
        <v>37</v>
      </c>
      <c r="AF4" s="89" t="s">
        <v>36</v>
      </c>
      <c r="AG4" s="90"/>
      <c r="AH4" s="91"/>
      <c r="AI4" s="91"/>
      <c r="AJ4" s="91"/>
      <c r="AK4" s="91"/>
      <c r="AL4" s="91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91"/>
      <c r="BD4" s="91"/>
      <c r="BE4" s="91"/>
      <c r="BF4" s="91"/>
      <c r="BG4" s="91"/>
      <c r="BH4" s="91"/>
      <c r="BI4" s="91"/>
      <c r="BJ4" s="91"/>
      <c r="BK4" s="91"/>
      <c r="BL4" s="91"/>
      <c r="BM4" s="91"/>
      <c r="BN4" s="91"/>
      <c r="BO4" s="91"/>
      <c r="BP4" s="91"/>
      <c r="BQ4" s="91"/>
      <c r="BR4" s="91"/>
      <c r="BS4" s="91"/>
      <c r="BT4" s="91"/>
      <c r="BU4" s="91"/>
      <c r="BV4" s="91"/>
      <c r="BW4" s="91"/>
      <c r="BX4" s="91"/>
      <c r="BY4" s="91"/>
      <c r="BZ4" s="91"/>
      <c r="CA4" s="91"/>
      <c r="CB4" s="91"/>
      <c r="CC4" s="91"/>
      <c r="CD4" s="91"/>
      <c r="CE4" s="91"/>
      <c r="CF4" s="91"/>
      <c r="CG4" s="91"/>
      <c r="CH4" s="91"/>
      <c r="CI4" s="91"/>
      <c r="CJ4" s="91"/>
      <c r="CK4" s="91"/>
      <c r="CL4" s="91"/>
      <c r="CM4" s="91"/>
      <c r="CN4" s="91"/>
      <c r="CO4" s="91"/>
      <c r="CP4" s="91"/>
      <c r="CQ4" s="91"/>
      <c r="CR4" s="91"/>
      <c r="CS4" s="91"/>
      <c r="CT4" s="91"/>
      <c r="CU4" s="91"/>
      <c r="CV4" s="91"/>
      <c r="CW4" s="91"/>
      <c r="CX4" s="91"/>
      <c r="CY4" s="91"/>
      <c r="CZ4" s="91"/>
      <c r="DA4" s="91"/>
      <c r="DB4" s="91"/>
      <c r="DC4" s="91"/>
      <c r="DD4" s="91"/>
      <c r="DE4" s="91"/>
      <c r="DF4" s="91"/>
      <c r="DG4" s="91"/>
      <c r="DH4" s="91"/>
      <c r="DI4" s="91"/>
      <c r="DJ4" s="91"/>
      <c r="DK4" s="91"/>
      <c r="DL4" s="91"/>
      <c r="DM4" s="91"/>
      <c r="DN4" s="91"/>
      <c r="DO4" s="91"/>
      <c r="DP4" s="91"/>
      <c r="DQ4" s="91"/>
      <c r="DR4" s="91"/>
      <c r="DS4" s="91"/>
      <c r="DT4" s="91"/>
      <c r="DU4" s="91"/>
      <c r="DV4" s="91"/>
      <c r="DW4" s="91"/>
      <c r="DX4" s="91"/>
      <c r="DY4" s="91"/>
      <c r="DZ4" s="91"/>
      <c r="EA4" s="91"/>
      <c r="EB4" s="91"/>
      <c r="EC4" s="91"/>
      <c r="ED4" s="91"/>
      <c r="EE4" s="91"/>
      <c r="EF4" s="91"/>
      <c r="EG4" s="91"/>
      <c r="EH4" s="91"/>
      <c r="EI4" s="91"/>
      <c r="EJ4" s="91"/>
      <c r="EK4" s="91"/>
      <c r="EL4" s="91"/>
      <c r="EM4" s="91"/>
      <c r="EN4" s="91"/>
      <c r="EO4" s="91"/>
      <c r="EP4" s="91"/>
      <c r="EQ4" s="91"/>
      <c r="ER4" s="91"/>
      <c r="ES4" s="91"/>
      <c r="ET4" s="91"/>
      <c r="EU4" s="91"/>
      <c r="EV4" s="91"/>
      <c r="EW4" s="91"/>
      <c r="EX4" s="91"/>
      <c r="EY4" s="91"/>
      <c r="EZ4" s="91"/>
      <c r="FA4" s="91"/>
      <c r="FB4" s="91"/>
      <c r="FC4" s="91"/>
      <c r="FD4" s="91"/>
      <c r="FE4" s="91"/>
      <c r="FF4" s="91"/>
      <c r="FG4" s="91"/>
      <c r="FH4" s="91"/>
      <c r="FI4" s="91"/>
      <c r="FJ4" s="91"/>
      <c r="FK4" s="91"/>
      <c r="FL4" s="91"/>
      <c r="FM4" s="91"/>
      <c r="FN4" s="91"/>
      <c r="FO4" s="91"/>
      <c r="FP4" s="91"/>
      <c r="FQ4" s="91"/>
      <c r="FR4" s="91"/>
      <c r="FS4" s="91"/>
      <c r="FT4" s="91"/>
      <c r="FU4" s="91"/>
      <c r="FV4" s="91"/>
      <c r="FW4" s="91"/>
      <c r="FX4" s="91"/>
      <c r="FY4" s="91"/>
      <c r="FZ4" s="91"/>
      <c r="GA4" s="91"/>
      <c r="GB4" s="91"/>
      <c r="GC4" s="91"/>
      <c r="GD4" s="91"/>
      <c r="GE4" s="91"/>
      <c r="GF4" s="91"/>
      <c r="GG4" s="91"/>
      <c r="GH4" s="91"/>
      <c r="GI4" s="91"/>
      <c r="GJ4" s="91"/>
      <c r="GK4" s="91"/>
      <c r="GL4" s="91"/>
      <c r="GM4" s="91"/>
      <c r="GN4" s="91"/>
      <c r="GO4" s="91"/>
      <c r="GP4" s="91"/>
      <c r="GQ4" s="91"/>
      <c r="GR4" s="91"/>
      <c r="GS4" s="91"/>
      <c r="GT4" s="91"/>
      <c r="GU4" s="91"/>
      <c r="GV4" s="91"/>
      <c r="GW4" s="91"/>
      <c r="GX4" s="91"/>
      <c r="GY4" s="91"/>
      <c r="GZ4" s="91"/>
      <c r="HA4" s="91"/>
      <c r="HB4" s="91"/>
      <c r="HC4" s="91"/>
      <c r="HD4" s="91"/>
      <c r="HE4" s="91"/>
      <c r="HF4" s="91"/>
      <c r="HG4" s="91"/>
      <c r="HH4" s="91"/>
      <c r="HI4" s="91"/>
      <c r="HJ4" s="91"/>
      <c r="HK4" s="91"/>
    </row>
    <row r="5" spans="1:219" s="8" customFormat="1" ht="15" customHeight="1">
      <c r="A5" s="129">
        <v>1</v>
      </c>
      <c r="B5" s="21" t="str">
        <f>VLOOKUP(Ruimtestaat[[#This Row],[Code]],Locaties[#All],2,FALSE)</f>
        <v>PXC Aalderinkshoek</v>
      </c>
      <c r="C5" s="21" t="str">
        <f>VLOOKUP(Ruimtestaat[[#This Row],[Code]],Locaties[#All],4,FALSE)</f>
        <v>Cesar Frankstraat 4</v>
      </c>
      <c r="D5" s="21" t="str">
        <f>VLOOKUP(Ruimtestaat[[#This Row],[Code]],Locaties[#All],5,FALSE)</f>
        <v>7604 JG</v>
      </c>
      <c r="E5" s="200" t="str">
        <f>VLOOKUP(Ruimtestaat[[#This Row],[Code]],Locaties[#All],6,FALSE)</f>
        <v>Almelo</v>
      </c>
      <c r="F5" s="215"/>
      <c r="G5" s="215" t="s">
        <v>444</v>
      </c>
      <c r="H5" s="215" t="s">
        <v>445</v>
      </c>
      <c r="I5" s="258" t="s">
        <v>40</v>
      </c>
      <c r="J5" s="215">
        <v>7</v>
      </c>
      <c r="K5" s="215" t="s">
        <v>1040</v>
      </c>
      <c r="L5" s="200" t="s">
        <v>999</v>
      </c>
      <c r="M5" s="213">
        <v>70.91</v>
      </c>
      <c r="N5" s="215"/>
      <c r="O5" s="243" t="str">
        <f>VLOOKUP(Ruimtestaat[[#This Row],[Ruimte code]],Ruimtegroepen[#All],4,FALSE)</f>
        <v>V  (Verkeersruimte)</v>
      </c>
      <c r="P5" s="214"/>
      <c r="Q5" s="215">
        <v>40</v>
      </c>
      <c r="R5" s="215" t="s">
        <v>2</v>
      </c>
      <c r="S5" s="215">
        <f>IF(R5&gt;0,IF(RIGHT(Ruimtestaat[[#This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" s="215">
        <f>IF(S5&gt;0,VLOOKUP($J5,Ruimtegroepen[],3,FALSE)*VLOOKUP($K5,Vloersoorten[],3,FALSE)*VLOOKUP($R5,Frequenties[],3,FALSE)*VLOOKUP($A5,Locaties[],3,FALSE),0)</f>
        <v>0</v>
      </c>
      <c r="U5" s="215">
        <f>Ruimtestaat[[#This Row],[Uitvoeringen werkdagen]]*Ruimtestaat[[#This Row],[Oppervlak (netto)]]</f>
        <v>14182</v>
      </c>
      <c r="V5" s="259">
        <f>IF(T5&gt;0,Ruimtestaat[[#This Row],[Prest. (m2 /jaar) werkdagen]]/Ruimtestaat[[#This Row],[Norm (m2/uur) werkdagen]],0)</f>
        <v>0</v>
      </c>
      <c r="W5" s="260">
        <f>Ruimtestaat[[#This Row],[uren / jaar werkdagen]]*Tariefsopbouw!$D$38</f>
        <v>0</v>
      </c>
      <c r="X5" s="33"/>
      <c r="Y5" s="33">
        <f>IF(Ruimtestaat[[#This Row],[Frequentie weekend]]&gt;0,VALUE(LEFT(X5,1))*Q5,0)</f>
        <v>0</v>
      </c>
      <c r="Z5" s="33">
        <f>IF($Y5&gt;0,VLOOKUP($J5,Ruimtegroepen[],3,FALSE)*VLOOKUP($K5,Vloersoorten[],3,FALSE)*VLOOKUP($X5,Frequenties[],3,FALSE)*VLOOKUP(#REF!,Locaties[],3,FALSE),0)</f>
        <v>0</v>
      </c>
      <c r="AA5" s="33"/>
      <c r="AB5" s="33"/>
      <c r="AC5" s="33">
        <f>Ruimtestaat[[#This Row],[uren / jaar weekend]]*Tariefsopbouw!$D$40</f>
        <v>0</v>
      </c>
      <c r="AD5" s="88">
        <f>Ruimtestaat[[#This Row],[Prest. (m2 /jaar) weekend]]+Ruimtestaat[[#This Row],[Prest. (m2 /jaar) werkdagen]]</f>
        <v>14182</v>
      </c>
      <c r="AE5" s="88">
        <f>Ruimtestaat[[#This Row],[uren / jaar weekend]]+Ruimtestaat[[#This Row],[uren / jaar werkdagen]]</f>
        <v>0</v>
      </c>
      <c r="AF5" s="89">
        <f>Ruimtestaat[[#This Row],[kosten / jaar weekend]]+Ruimtestaat[[#This Row],[kosten / jaar werkdagen]]</f>
        <v>0</v>
      </c>
      <c r="AG5" s="90"/>
      <c r="AH5" s="91"/>
      <c r="AI5" s="91"/>
      <c r="AJ5" s="91"/>
      <c r="AK5" s="91"/>
      <c r="AL5" s="91"/>
      <c r="AM5" s="91"/>
      <c r="AN5" s="91"/>
      <c r="AO5" s="91"/>
      <c r="AP5" s="91"/>
      <c r="AQ5" s="91"/>
      <c r="AR5" s="91"/>
      <c r="AS5" s="91"/>
      <c r="AT5" s="91"/>
      <c r="AU5" s="91"/>
      <c r="AV5" s="91"/>
      <c r="AW5" s="91"/>
      <c r="AX5" s="91"/>
      <c r="AY5" s="91"/>
      <c r="AZ5" s="91"/>
      <c r="BA5" s="91"/>
      <c r="BB5" s="91"/>
      <c r="BC5" s="91"/>
      <c r="BD5" s="91"/>
      <c r="BE5" s="91"/>
      <c r="BF5" s="91"/>
      <c r="BG5" s="91"/>
      <c r="BH5" s="91"/>
      <c r="BI5" s="91"/>
      <c r="BJ5" s="91"/>
      <c r="BK5" s="91"/>
      <c r="BL5" s="91"/>
      <c r="BM5" s="91"/>
      <c r="BN5" s="91"/>
      <c r="BO5" s="91"/>
      <c r="BP5" s="91"/>
      <c r="BQ5" s="91"/>
      <c r="BR5" s="91"/>
      <c r="BS5" s="91"/>
      <c r="BT5" s="91"/>
      <c r="BU5" s="91"/>
      <c r="BV5" s="91"/>
      <c r="BW5" s="91"/>
      <c r="BX5" s="91"/>
      <c r="BY5" s="91"/>
      <c r="BZ5" s="91"/>
      <c r="CA5" s="91"/>
      <c r="CB5" s="91"/>
      <c r="CC5" s="91"/>
      <c r="CD5" s="91"/>
      <c r="CE5" s="91"/>
      <c r="CF5" s="91"/>
      <c r="CG5" s="91"/>
      <c r="CH5" s="91"/>
      <c r="CI5" s="91"/>
      <c r="CJ5" s="91"/>
      <c r="CK5" s="91"/>
      <c r="CL5" s="91"/>
      <c r="CM5" s="91"/>
      <c r="CN5" s="91"/>
      <c r="CO5" s="91"/>
      <c r="CP5" s="91"/>
      <c r="CQ5" s="91"/>
      <c r="CR5" s="91"/>
      <c r="CS5" s="91"/>
      <c r="CT5" s="91"/>
      <c r="CU5" s="91"/>
      <c r="CV5" s="91"/>
      <c r="CW5" s="91"/>
      <c r="CX5" s="91"/>
      <c r="CY5" s="91"/>
      <c r="CZ5" s="91"/>
      <c r="DA5" s="91"/>
      <c r="DB5" s="91"/>
      <c r="DC5" s="91"/>
      <c r="DD5" s="91"/>
      <c r="DE5" s="91"/>
      <c r="DF5" s="91"/>
      <c r="DG5" s="91"/>
      <c r="DH5" s="91"/>
      <c r="DI5" s="91"/>
      <c r="DJ5" s="91"/>
      <c r="DK5" s="91"/>
      <c r="DL5" s="91"/>
      <c r="DM5" s="91"/>
      <c r="DN5" s="91"/>
      <c r="DO5" s="91"/>
      <c r="DP5" s="91"/>
      <c r="DQ5" s="91"/>
      <c r="DR5" s="91"/>
      <c r="DS5" s="91"/>
      <c r="DT5" s="91"/>
      <c r="DU5" s="91"/>
      <c r="DV5" s="91"/>
      <c r="DW5" s="91"/>
      <c r="DX5" s="91"/>
      <c r="DY5" s="91"/>
      <c r="DZ5" s="91"/>
      <c r="EA5" s="91"/>
      <c r="EB5" s="91"/>
      <c r="EC5" s="91"/>
      <c r="ED5" s="91"/>
      <c r="EE5" s="91"/>
      <c r="EF5" s="91"/>
      <c r="EG5" s="91"/>
      <c r="EH5" s="91"/>
      <c r="EI5" s="91"/>
      <c r="EJ5" s="91"/>
      <c r="EK5" s="91"/>
      <c r="EL5" s="91"/>
      <c r="EM5" s="91"/>
      <c r="EN5" s="91"/>
      <c r="EO5" s="91"/>
      <c r="EP5" s="91"/>
      <c r="EQ5" s="91"/>
      <c r="ER5" s="91"/>
      <c r="ES5" s="91"/>
      <c r="ET5" s="91"/>
      <c r="EU5" s="91"/>
      <c r="EV5" s="91"/>
      <c r="EW5" s="91"/>
      <c r="EX5" s="91"/>
      <c r="EY5" s="91"/>
      <c r="EZ5" s="91"/>
      <c r="FA5" s="91"/>
      <c r="FB5" s="91"/>
      <c r="FC5" s="91"/>
      <c r="FD5" s="91"/>
      <c r="FE5" s="91"/>
      <c r="FF5" s="91"/>
      <c r="FG5" s="91"/>
      <c r="FH5" s="91"/>
      <c r="FI5" s="91"/>
      <c r="FJ5" s="91"/>
      <c r="FK5" s="91"/>
      <c r="FL5" s="91"/>
      <c r="FM5" s="91"/>
      <c r="FN5" s="91"/>
      <c r="FO5" s="91"/>
      <c r="FP5" s="91"/>
      <c r="FQ5" s="91"/>
      <c r="FR5" s="91"/>
      <c r="FS5" s="91"/>
      <c r="FT5" s="91"/>
      <c r="FU5" s="91"/>
      <c r="FV5" s="91"/>
      <c r="FW5" s="91"/>
      <c r="FX5" s="91"/>
      <c r="FY5" s="91"/>
      <c r="FZ5" s="91"/>
      <c r="GA5" s="91"/>
      <c r="GB5" s="91"/>
      <c r="GC5" s="91"/>
      <c r="GD5" s="91"/>
      <c r="GE5" s="91"/>
      <c r="GF5" s="91"/>
      <c r="GG5" s="91"/>
      <c r="GH5" s="91"/>
      <c r="GI5" s="91"/>
      <c r="GJ5" s="91"/>
      <c r="GK5" s="91"/>
      <c r="GL5" s="91"/>
      <c r="GM5" s="91"/>
      <c r="GN5" s="91"/>
      <c r="GO5" s="91"/>
      <c r="GP5" s="91"/>
      <c r="GQ5" s="91"/>
      <c r="GR5" s="91"/>
      <c r="GS5" s="91"/>
      <c r="GT5" s="91"/>
      <c r="GU5" s="91"/>
      <c r="GV5" s="91"/>
      <c r="GW5" s="91"/>
      <c r="GX5" s="91"/>
      <c r="GY5" s="91"/>
      <c r="GZ5" s="91"/>
      <c r="HA5" s="91"/>
      <c r="HB5" s="91"/>
      <c r="HC5" s="91"/>
      <c r="HD5" s="91"/>
      <c r="HE5" s="91"/>
      <c r="HF5" s="91"/>
      <c r="HG5" s="91"/>
      <c r="HH5" s="91"/>
      <c r="HI5" s="91"/>
      <c r="HJ5" s="91"/>
      <c r="HK5" s="91"/>
    </row>
    <row r="6" spans="1:219" s="8" customFormat="1" ht="15" customHeight="1">
      <c r="A6" s="129">
        <v>1</v>
      </c>
      <c r="B6" s="21" t="str">
        <f>VLOOKUP(Ruimtestaat[[#This Row],[Code]],Locaties[#All],2,FALSE)</f>
        <v>PXC Aalderinkshoek</v>
      </c>
      <c r="C6" s="21" t="str">
        <f>VLOOKUP(Ruimtestaat[[#This Row],[Code]],Locaties[#All],4,FALSE)</f>
        <v>Cesar Frankstraat 4</v>
      </c>
      <c r="D6" s="21" t="str">
        <f>VLOOKUP(Ruimtestaat[[#This Row],[Code]],Locaties[#All],5,FALSE)</f>
        <v>7604 JG</v>
      </c>
      <c r="E6" s="200" t="str">
        <f>VLOOKUP(Ruimtestaat[[#This Row],[Code]],Locaties[#All],6,FALSE)</f>
        <v>Almelo</v>
      </c>
      <c r="F6" s="215"/>
      <c r="G6" s="215" t="s">
        <v>444</v>
      </c>
      <c r="H6" s="215" t="s">
        <v>446</v>
      </c>
      <c r="I6" s="258" t="s">
        <v>447</v>
      </c>
      <c r="J6" s="215">
        <v>1</v>
      </c>
      <c r="K6" s="215" t="s">
        <v>110</v>
      </c>
      <c r="L6" s="200" t="s">
        <v>132</v>
      </c>
      <c r="M6" s="213">
        <v>11.81</v>
      </c>
      <c r="N6" s="213"/>
      <c r="O6" s="243" t="str">
        <f>VLOOKUP(Ruimtestaat[[#This Row],[Ruimte code]],Ruimtegroepen[#All],4,FALSE)</f>
        <v>V  (Verkeersruimte)</v>
      </c>
      <c r="P6" s="214"/>
      <c r="Q6" s="215">
        <v>40</v>
      </c>
      <c r="R6" s="215" t="s">
        <v>16</v>
      </c>
      <c r="S6" s="215">
        <f>IF(R6&gt;0,IF(RIGHT(Ruimtestaat[[#This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" s="215">
        <f>IF(S6&gt;0,VLOOKUP($J6,Ruimtegroepen[],3,FALSE)*VLOOKUP($K6,Vloersoorten[],3,FALSE)*VLOOKUP($R6,Frequenties[],3,FALSE)*VLOOKUP($A6,Locaties[],3,FALSE),0)</f>
        <v>0</v>
      </c>
      <c r="U6" s="215">
        <f>Ruimtestaat[[#This Row],[Uitvoeringen werkdagen]]*Ruimtestaat[[#This Row],[Oppervlak (netto)]]</f>
        <v>141.72</v>
      </c>
      <c r="V6" s="259">
        <f>IF(T6&gt;0,Ruimtestaat[[#This Row],[Prest. (m2 /jaar) werkdagen]]/Ruimtestaat[[#This Row],[Norm (m2/uur) werkdagen]],0)</f>
        <v>0</v>
      </c>
      <c r="W6" s="260">
        <f>Ruimtestaat[[#This Row],[uren / jaar werkdagen]]*Tariefsopbouw!$D$38</f>
        <v>0</v>
      </c>
      <c r="X6" s="33"/>
      <c r="Y6" s="33">
        <f>IF(Ruimtestaat[[#This Row],[Frequentie weekend]]&gt;0,VALUE(LEFT(X6,1))*Q6,0)</f>
        <v>0</v>
      </c>
      <c r="Z6" s="33">
        <f>IF($Y6&gt;0,VLOOKUP($J6,Ruimtegroepen[],3,FALSE)*VLOOKUP($K6,Vloersoorten[],3,FALSE)*VLOOKUP($X6,Frequenties[],3,FALSE)*VLOOKUP(#REF!,Locaties[],3,FALSE),0)</f>
        <v>0</v>
      </c>
      <c r="AA6" s="33"/>
      <c r="AB6" s="33"/>
      <c r="AC6" s="33">
        <f>Ruimtestaat[[#This Row],[uren / jaar weekend]]*Tariefsopbouw!$D$40</f>
        <v>0</v>
      </c>
      <c r="AD6" s="88">
        <f>Ruimtestaat[[#This Row],[Prest. (m2 /jaar) weekend]]+Ruimtestaat[[#This Row],[Prest. (m2 /jaar) werkdagen]]</f>
        <v>141.72</v>
      </c>
      <c r="AE6" s="88">
        <f>Ruimtestaat[[#This Row],[uren / jaar weekend]]+Ruimtestaat[[#This Row],[uren / jaar werkdagen]]</f>
        <v>0</v>
      </c>
      <c r="AF6" s="89">
        <f>Ruimtestaat[[#This Row],[kosten / jaar weekend]]+Ruimtestaat[[#This Row],[kosten / jaar werkdagen]]</f>
        <v>0</v>
      </c>
      <c r="AG6" s="90" t="s">
        <v>3</v>
      </c>
      <c r="AH6" s="91"/>
      <c r="AI6" s="91"/>
      <c r="AJ6" s="91"/>
      <c r="AK6" s="91"/>
      <c r="AL6" s="91"/>
      <c r="AM6" s="91"/>
      <c r="AN6" s="91"/>
      <c r="AO6" s="91"/>
      <c r="AP6" s="91"/>
      <c r="AQ6" s="91"/>
      <c r="AR6" s="91"/>
      <c r="AS6" s="91"/>
      <c r="AT6" s="91"/>
      <c r="AU6" s="91"/>
      <c r="AV6" s="91"/>
      <c r="AW6" s="91"/>
      <c r="AX6" s="91"/>
      <c r="AY6" s="91"/>
      <c r="AZ6" s="91"/>
      <c r="BA6" s="91"/>
      <c r="BB6" s="91"/>
      <c r="BC6" s="91"/>
      <c r="BD6" s="91"/>
      <c r="BE6" s="91"/>
      <c r="BF6" s="91"/>
      <c r="BG6" s="91"/>
      <c r="BH6" s="91"/>
      <c r="BI6" s="91"/>
      <c r="BJ6" s="91"/>
      <c r="BK6" s="91"/>
      <c r="BL6" s="91"/>
      <c r="BM6" s="91"/>
      <c r="BN6" s="91"/>
      <c r="BO6" s="91"/>
      <c r="BP6" s="91"/>
      <c r="BQ6" s="91"/>
      <c r="BR6" s="91"/>
      <c r="BS6" s="91"/>
      <c r="BT6" s="91"/>
      <c r="BU6" s="91"/>
      <c r="BV6" s="91"/>
      <c r="BW6" s="91"/>
      <c r="BX6" s="91"/>
      <c r="BY6" s="91"/>
      <c r="BZ6" s="91"/>
      <c r="CA6" s="91"/>
      <c r="CB6" s="91"/>
      <c r="CC6" s="91"/>
      <c r="CD6" s="91"/>
      <c r="CE6" s="91"/>
      <c r="CF6" s="91"/>
      <c r="CG6" s="91"/>
      <c r="CH6" s="91"/>
      <c r="CI6" s="91"/>
      <c r="CJ6" s="91"/>
      <c r="CK6" s="91"/>
      <c r="CL6" s="91"/>
      <c r="CM6" s="91"/>
      <c r="CN6" s="91"/>
      <c r="CO6" s="91"/>
      <c r="CP6" s="91"/>
      <c r="CQ6" s="91"/>
      <c r="CR6" s="91"/>
      <c r="CS6" s="91"/>
      <c r="CT6" s="91"/>
      <c r="CU6" s="91"/>
      <c r="CV6" s="91"/>
      <c r="CW6" s="91"/>
      <c r="CX6" s="91"/>
      <c r="CY6" s="91"/>
      <c r="CZ6" s="91"/>
      <c r="DA6" s="91"/>
      <c r="DB6" s="91"/>
      <c r="DC6" s="91"/>
      <c r="DD6" s="91"/>
      <c r="DE6" s="91"/>
      <c r="DF6" s="91"/>
      <c r="DG6" s="91"/>
      <c r="DH6" s="91"/>
      <c r="DI6" s="91"/>
      <c r="DJ6" s="91"/>
      <c r="DK6" s="91"/>
      <c r="DL6" s="91"/>
      <c r="DM6" s="91"/>
      <c r="DN6" s="91"/>
      <c r="DO6" s="91"/>
      <c r="DP6" s="91"/>
      <c r="DQ6" s="91"/>
      <c r="DR6" s="91"/>
      <c r="DS6" s="91"/>
      <c r="DT6" s="91"/>
      <c r="DU6" s="91"/>
      <c r="DV6" s="91"/>
      <c r="DW6" s="91"/>
      <c r="DX6" s="91"/>
      <c r="DY6" s="91"/>
      <c r="DZ6" s="91"/>
      <c r="EA6" s="91"/>
      <c r="EB6" s="91"/>
      <c r="EC6" s="91"/>
      <c r="ED6" s="91"/>
      <c r="EE6" s="91"/>
      <c r="EF6" s="91"/>
      <c r="EG6" s="91"/>
      <c r="EH6" s="91"/>
      <c r="EI6" s="91"/>
      <c r="EJ6" s="91"/>
      <c r="EK6" s="91"/>
      <c r="EL6" s="91"/>
      <c r="EM6" s="91"/>
      <c r="EN6" s="91"/>
      <c r="EO6" s="91"/>
      <c r="EP6" s="91"/>
      <c r="EQ6" s="91"/>
      <c r="ER6" s="91"/>
      <c r="ES6" s="91"/>
      <c r="ET6" s="91"/>
      <c r="EU6" s="91"/>
      <c r="EV6" s="91"/>
      <c r="EW6" s="91"/>
      <c r="EX6" s="91"/>
      <c r="EY6" s="91"/>
      <c r="EZ6" s="91"/>
      <c r="FA6" s="91"/>
      <c r="FB6" s="91"/>
      <c r="FC6" s="91"/>
      <c r="FD6" s="91"/>
      <c r="FE6" s="91"/>
      <c r="FF6" s="91"/>
      <c r="FG6" s="91"/>
      <c r="FH6" s="91"/>
      <c r="FI6" s="91"/>
      <c r="FJ6" s="91"/>
      <c r="FK6" s="91"/>
      <c r="FL6" s="91"/>
      <c r="FM6" s="91"/>
      <c r="FN6" s="91"/>
      <c r="FO6" s="91"/>
      <c r="FP6" s="91"/>
      <c r="FQ6" s="91"/>
      <c r="FR6" s="91"/>
      <c r="FS6" s="91"/>
      <c r="FT6" s="91"/>
      <c r="FU6" s="91"/>
      <c r="FV6" s="91"/>
      <c r="FW6" s="91"/>
      <c r="FX6" s="91"/>
      <c r="FY6" s="91"/>
      <c r="FZ6" s="91"/>
      <c r="GA6" s="91"/>
      <c r="GB6" s="91"/>
      <c r="GC6" s="91"/>
      <c r="GD6" s="91"/>
      <c r="GE6" s="91"/>
      <c r="GF6" s="91"/>
      <c r="GG6" s="91"/>
      <c r="GH6" s="91"/>
      <c r="GI6" s="91"/>
      <c r="GJ6" s="91"/>
      <c r="GK6" s="91"/>
      <c r="GL6" s="91"/>
      <c r="GM6" s="91"/>
      <c r="GN6" s="91"/>
      <c r="GO6" s="91"/>
      <c r="GP6" s="91"/>
      <c r="GQ6" s="91"/>
      <c r="GR6" s="91"/>
      <c r="GS6" s="91"/>
      <c r="GT6" s="91"/>
      <c r="GU6" s="91"/>
      <c r="GV6" s="91"/>
      <c r="GW6" s="91"/>
      <c r="GX6" s="91"/>
      <c r="GY6" s="91"/>
      <c r="GZ6" s="91"/>
      <c r="HA6" s="91"/>
      <c r="HB6" s="91"/>
      <c r="HC6" s="91"/>
      <c r="HD6" s="91"/>
      <c r="HE6" s="91"/>
      <c r="HF6" s="91"/>
      <c r="HG6" s="91"/>
      <c r="HH6" s="91"/>
      <c r="HI6" s="91"/>
      <c r="HJ6" s="91"/>
      <c r="HK6" s="91"/>
    </row>
    <row r="7" spans="1:219" ht="15" customHeight="1">
      <c r="A7" s="129">
        <v>1</v>
      </c>
      <c r="B7" s="21" t="str">
        <f>VLOOKUP(Ruimtestaat[[#This Row],[Code]],Locaties[#All],2,FALSE)</f>
        <v>PXC Aalderinkshoek</v>
      </c>
      <c r="C7" s="21" t="str">
        <f>VLOOKUP(Ruimtestaat[[#This Row],[Code]],Locaties[#All],4,FALSE)</f>
        <v>Cesar Frankstraat 4</v>
      </c>
      <c r="D7" s="21" t="str">
        <f>VLOOKUP(Ruimtestaat[[#This Row],[Code]],Locaties[#All],5,FALSE)</f>
        <v>7604 JG</v>
      </c>
      <c r="E7" s="200" t="str">
        <f>VLOOKUP(Ruimtestaat[[#This Row],[Code]],Locaties[#All],6,FALSE)</f>
        <v>Almelo</v>
      </c>
      <c r="F7" s="244"/>
      <c r="G7" s="215" t="s">
        <v>444</v>
      </c>
      <c r="H7" s="200" t="s">
        <v>448</v>
      </c>
      <c r="I7" s="244" t="s">
        <v>447</v>
      </c>
      <c r="J7" s="200">
        <v>1</v>
      </c>
      <c r="K7" s="215" t="s">
        <v>110</v>
      </c>
      <c r="L7" s="200" t="s">
        <v>132</v>
      </c>
      <c r="M7" s="213">
        <v>21.94</v>
      </c>
      <c r="N7" s="213"/>
      <c r="O7" s="243" t="str">
        <f>VLOOKUP(Ruimtestaat[[#This Row],[Ruimte code]],Ruimtegroepen[#All],4,FALSE)</f>
        <v>V  (Verkeersruimte)</v>
      </c>
      <c r="P7" s="214"/>
      <c r="Q7" s="215">
        <v>40</v>
      </c>
      <c r="R7" s="215" t="s">
        <v>16</v>
      </c>
      <c r="S7" s="215">
        <f>IF(R7&gt;0,IF(RIGHT(Ruimtestaat[[#This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" s="215">
        <f>IF(S7&gt;0,VLOOKUP($J7,Ruimtegroepen[],3,FALSE)*VLOOKUP($K7,Vloersoorten[],3,FALSE)*VLOOKUP($R7,Frequenties[],3,FALSE)*VLOOKUP($A7,Locaties[],3,FALSE),0)</f>
        <v>0</v>
      </c>
      <c r="U7" s="215">
        <f>Ruimtestaat[[#This Row],[Uitvoeringen werkdagen]]*Ruimtestaat[[#This Row],[Oppervlak (netto)]]</f>
        <v>263.28000000000003</v>
      </c>
      <c r="V7" s="259">
        <f>IF(T7&gt;0,Ruimtestaat[[#This Row],[Prest. (m2 /jaar) werkdagen]]/Ruimtestaat[[#This Row],[Norm (m2/uur) werkdagen]],0)</f>
        <v>0</v>
      </c>
      <c r="W7" s="260">
        <f>Ruimtestaat[[#This Row],[uren / jaar werkdagen]]*Tariefsopbouw!$D$38</f>
        <v>0</v>
      </c>
      <c r="X7" s="33"/>
      <c r="Y7" s="33">
        <f>IF(Ruimtestaat[[#This Row],[Frequentie weekend]]&gt;0,VALUE(LEFT(X7,1))*Q7,0)</f>
        <v>0</v>
      </c>
      <c r="Z7" s="33">
        <f>IF($Y7&gt;0,VLOOKUP($J7,Ruimtegroepen[],3,FALSE)*VLOOKUP($K7,Vloersoorten[],3,FALSE)*VLOOKUP($X7,Frequenties[],3,FALSE)*VLOOKUP(#REF!,Locaties[],3,FALSE),0)</f>
        <v>0</v>
      </c>
      <c r="AA7" s="33"/>
      <c r="AB7" s="33"/>
      <c r="AC7" s="33">
        <f>Ruimtestaat[[#This Row],[uren / jaar weekend]]*Tariefsopbouw!$D$40</f>
        <v>0</v>
      </c>
      <c r="AD7" s="88">
        <f>Ruimtestaat[[#This Row],[Prest. (m2 /jaar) weekend]]+Ruimtestaat[[#This Row],[Prest. (m2 /jaar) werkdagen]]</f>
        <v>263.28000000000003</v>
      </c>
      <c r="AE7" s="88">
        <f>Ruimtestaat[[#This Row],[uren / jaar weekend]]+Ruimtestaat[[#This Row],[uren / jaar werkdagen]]</f>
        <v>0</v>
      </c>
      <c r="AF7" s="89">
        <f>Ruimtestaat[[#This Row],[kosten / jaar weekend]]+Ruimtestaat[[#This Row],[kosten / jaar werkdagen]]</f>
        <v>0</v>
      </c>
      <c r="AG7" s="114"/>
      <c r="HK7" s="87"/>
    </row>
    <row r="8" spans="1:219" ht="15" customHeight="1">
      <c r="A8" s="129">
        <v>1</v>
      </c>
      <c r="B8" s="21" t="str">
        <f>VLOOKUP(Ruimtestaat[[#This Row],[Code]],Locaties[#All],2,FALSE)</f>
        <v>PXC Aalderinkshoek</v>
      </c>
      <c r="C8" s="21" t="str">
        <f>VLOOKUP(Ruimtestaat[[#This Row],[Code]],Locaties[#All],4,FALSE)</f>
        <v>Cesar Frankstraat 4</v>
      </c>
      <c r="D8" s="21" t="str">
        <f>VLOOKUP(Ruimtestaat[[#This Row],[Code]],Locaties[#All],5,FALSE)</f>
        <v>7604 JG</v>
      </c>
      <c r="E8" s="200" t="str">
        <f>VLOOKUP(Ruimtestaat[[#This Row],[Code]],Locaties[#All],6,FALSE)</f>
        <v>Almelo</v>
      </c>
      <c r="F8" s="244"/>
      <c r="G8" s="215" t="s">
        <v>444</v>
      </c>
      <c r="H8" s="200" t="s">
        <v>449</v>
      </c>
      <c r="I8" s="244" t="s">
        <v>450</v>
      </c>
      <c r="J8" s="200">
        <v>21</v>
      </c>
      <c r="K8" s="215"/>
      <c r="L8" s="200"/>
      <c r="M8" s="213"/>
      <c r="N8" s="213">
        <v>44.74</v>
      </c>
      <c r="O8" s="243" t="str">
        <f>VLOOKUP(Ruimtestaat[[#This Row],[Ruimte code]],Ruimtegroepen[#All],4,FALSE)</f>
        <v>Niet in onderhoud</v>
      </c>
      <c r="P8" s="214"/>
      <c r="Q8" s="215"/>
      <c r="R8" s="215"/>
      <c r="S8" s="215">
        <f>IF(R8&gt;0,IF(RIGHT(Ruimtestaat[[#This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" s="215">
        <f>IF(S8&gt;0,VLOOKUP($J8,Ruimtegroepen[],3,FALSE)*VLOOKUP($K8,Vloersoorten[],3,FALSE)*VLOOKUP($R8,Frequenties[],3,FALSE)*VLOOKUP($A8,Locaties[],3,FALSE),0)</f>
        <v>0</v>
      </c>
      <c r="U8" s="215">
        <f>Ruimtestaat[[#This Row],[Uitvoeringen werkdagen]]*Ruimtestaat[[#This Row],[Oppervlak (netto)]]</f>
        <v>0</v>
      </c>
      <c r="V8" s="259">
        <f>IF(T8&gt;0,Ruimtestaat[[#This Row],[Prest. (m2 /jaar) werkdagen]]/Ruimtestaat[[#This Row],[Norm (m2/uur) werkdagen]],0)</f>
        <v>0</v>
      </c>
      <c r="W8" s="260">
        <f>Ruimtestaat[[#This Row],[uren / jaar werkdagen]]*Tariefsopbouw!$D$38</f>
        <v>0</v>
      </c>
      <c r="X8" s="33"/>
      <c r="Y8" s="33">
        <f>IF(Ruimtestaat[[#This Row],[Frequentie weekend]]&gt;0,VALUE(LEFT(X8,1))*Q8,0)</f>
        <v>0</v>
      </c>
      <c r="Z8" s="33">
        <f>IF($Y8&gt;0,VLOOKUP($J8,Ruimtegroepen[],3,FALSE)*VLOOKUP($K8,Vloersoorten[],3,FALSE)*VLOOKUP($X8,Frequenties[],3,FALSE)*VLOOKUP(#REF!,Locaties[],3,FALSE),0)</f>
        <v>0</v>
      </c>
      <c r="AA8" s="33"/>
      <c r="AB8" s="33"/>
      <c r="AC8" s="33">
        <f>Ruimtestaat[[#This Row],[uren / jaar weekend]]*Tariefsopbouw!$D$40</f>
        <v>0</v>
      </c>
      <c r="AD8" s="88">
        <f>Ruimtestaat[[#This Row],[Prest. (m2 /jaar) weekend]]+Ruimtestaat[[#This Row],[Prest. (m2 /jaar) werkdagen]]</f>
        <v>0</v>
      </c>
      <c r="AE8" s="88">
        <f>Ruimtestaat[[#This Row],[uren / jaar weekend]]+Ruimtestaat[[#This Row],[uren / jaar werkdagen]]</f>
        <v>0</v>
      </c>
      <c r="AF8" s="89">
        <f>Ruimtestaat[[#This Row],[kosten / jaar weekend]]+Ruimtestaat[[#This Row],[kosten / jaar werkdagen]]</f>
        <v>0</v>
      </c>
      <c r="AG8" s="114"/>
      <c r="HK8" s="87"/>
    </row>
    <row r="9" spans="1:219" ht="15" customHeight="1">
      <c r="A9" s="129">
        <v>1</v>
      </c>
      <c r="B9" s="21" t="str">
        <f>VLOOKUP(Ruimtestaat[[#This Row],[Code]],Locaties[#All],2,FALSE)</f>
        <v>PXC Aalderinkshoek</v>
      </c>
      <c r="C9" s="21" t="str">
        <f>VLOOKUP(Ruimtestaat[[#This Row],[Code]],Locaties[#All],4,FALSE)</f>
        <v>Cesar Frankstraat 4</v>
      </c>
      <c r="D9" s="21" t="str">
        <f>VLOOKUP(Ruimtestaat[[#This Row],[Code]],Locaties[#All],5,FALSE)</f>
        <v>7604 JG</v>
      </c>
      <c r="E9" s="200" t="str">
        <f>VLOOKUP(Ruimtestaat[[#This Row],[Code]],Locaties[#All],6,FALSE)</f>
        <v>Almelo</v>
      </c>
      <c r="F9" s="244"/>
      <c r="G9" s="215" t="s">
        <v>444</v>
      </c>
      <c r="H9" s="200" t="s">
        <v>451</v>
      </c>
      <c r="I9" s="244" t="s">
        <v>452</v>
      </c>
      <c r="J9" s="200">
        <v>21</v>
      </c>
      <c r="K9" s="200"/>
      <c r="L9" s="200"/>
      <c r="M9" s="213"/>
      <c r="N9" s="213">
        <v>3.3</v>
      </c>
      <c r="O9" s="243" t="str">
        <f>VLOOKUP(Ruimtestaat[[#This Row],[Ruimte code]],Ruimtegroepen[#All],4,FALSE)</f>
        <v>Niet in onderhoud</v>
      </c>
      <c r="P9" s="214"/>
      <c r="Q9" s="215"/>
      <c r="R9" s="215"/>
      <c r="S9" s="215">
        <f>IF(R9&gt;0,IF(RIGHT(Ruimtestaat[[#This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9" s="215">
        <f>IF(S9&gt;0,VLOOKUP($J9,Ruimtegroepen[],3,FALSE)*VLOOKUP($K9,Vloersoorten[],3,FALSE)*VLOOKUP($R9,Frequenties[],3,FALSE)*VLOOKUP($A9,Locaties[],3,FALSE),0)</f>
        <v>0</v>
      </c>
      <c r="U9" s="215">
        <f>Ruimtestaat[[#This Row],[Uitvoeringen werkdagen]]*Ruimtestaat[[#This Row],[Oppervlak (netto)]]</f>
        <v>0</v>
      </c>
      <c r="V9" s="259">
        <f>IF(T9&gt;0,Ruimtestaat[[#This Row],[Prest. (m2 /jaar) werkdagen]]/Ruimtestaat[[#This Row],[Norm (m2/uur) werkdagen]],0)</f>
        <v>0</v>
      </c>
      <c r="W9" s="260">
        <f>Ruimtestaat[[#This Row],[uren / jaar werkdagen]]*Tariefsopbouw!$D$38</f>
        <v>0</v>
      </c>
      <c r="X9" s="33"/>
      <c r="Y9" s="33">
        <f>IF(Ruimtestaat[[#This Row],[Frequentie weekend]]&gt;0,VALUE(LEFT(X9,1))*Q9,0)</f>
        <v>0</v>
      </c>
      <c r="Z9" s="33">
        <f>IF($Y9&gt;0,VLOOKUP($J9,Ruimtegroepen[],3,FALSE)*VLOOKUP($K9,Vloersoorten[],3,FALSE)*VLOOKUP($X9,Frequenties[],3,FALSE)*VLOOKUP(#REF!,Locaties[],3,FALSE),0)</f>
        <v>0</v>
      </c>
      <c r="AA9" s="33"/>
      <c r="AB9" s="33"/>
      <c r="AC9" s="33">
        <f>Ruimtestaat[[#This Row],[uren / jaar weekend]]*Tariefsopbouw!$D$40</f>
        <v>0</v>
      </c>
      <c r="AD9" s="88">
        <f>Ruimtestaat[[#This Row],[Prest. (m2 /jaar) weekend]]+Ruimtestaat[[#This Row],[Prest. (m2 /jaar) werkdagen]]</f>
        <v>0</v>
      </c>
      <c r="AE9" s="88">
        <f>Ruimtestaat[[#This Row],[uren / jaar weekend]]+Ruimtestaat[[#This Row],[uren / jaar werkdagen]]</f>
        <v>0</v>
      </c>
      <c r="AF9" s="89">
        <f>Ruimtestaat[[#This Row],[kosten / jaar weekend]]+Ruimtestaat[[#This Row],[kosten / jaar werkdagen]]</f>
        <v>0</v>
      </c>
      <c r="AG9" s="114"/>
      <c r="HK9" s="87"/>
    </row>
    <row r="10" spans="1:219" ht="15" customHeight="1">
      <c r="A10" s="129">
        <v>1</v>
      </c>
      <c r="B10" s="21" t="str">
        <f>VLOOKUP(Ruimtestaat[[#This Row],[Code]],Locaties[#All],2,FALSE)</f>
        <v>PXC Aalderinkshoek</v>
      </c>
      <c r="C10" s="21" t="str">
        <f>VLOOKUP(Ruimtestaat[[#This Row],[Code]],Locaties[#All],4,FALSE)</f>
        <v>Cesar Frankstraat 4</v>
      </c>
      <c r="D10" s="21" t="str">
        <f>VLOOKUP(Ruimtestaat[[#This Row],[Code]],Locaties[#All],5,FALSE)</f>
        <v>7604 JG</v>
      </c>
      <c r="E10" s="200" t="str">
        <f>VLOOKUP(Ruimtestaat[[#This Row],[Code]],Locaties[#All],6,FALSE)</f>
        <v>Almelo</v>
      </c>
      <c r="F10" s="244"/>
      <c r="G10" s="215" t="s">
        <v>444</v>
      </c>
      <c r="H10" s="200" t="s">
        <v>453</v>
      </c>
      <c r="I10" s="244" t="s">
        <v>272</v>
      </c>
      <c r="J10" s="200">
        <v>10</v>
      </c>
      <c r="K10" s="215" t="s">
        <v>110</v>
      </c>
      <c r="L10" s="200" t="s">
        <v>132</v>
      </c>
      <c r="M10" s="213">
        <v>3.18</v>
      </c>
      <c r="N10" s="213"/>
      <c r="O10" s="243" t="str">
        <f>VLOOKUP(Ruimtestaat[[#This Row],[Ruimte code]],Ruimtegroepen[#All],4,FALSE)</f>
        <v>V  (Verkeersruimte)</v>
      </c>
      <c r="P10" s="214"/>
      <c r="Q10" s="215">
        <v>40</v>
      </c>
      <c r="R10" s="215" t="s">
        <v>2</v>
      </c>
      <c r="S10" s="215">
        <f>IF(R10&gt;0,IF(RIGHT(Ruimtestaat[[#This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" s="215">
        <f>IF(S10&gt;0,VLOOKUP($J10,Ruimtegroepen[],3,FALSE)*VLOOKUP($K10,Vloersoorten[],3,FALSE)*VLOOKUP($R10,Frequenties[],3,FALSE)*VLOOKUP($A10,Locaties[],3,FALSE),0)</f>
        <v>0</v>
      </c>
      <c r="U10" s="215">
        <f>Ruimtestaat[[#This Row],[Uitvoeringen werkdagen]]*Ruimtestaat[[#This Row],[Oppervlak (netto)]]</f>
        <v>636</v>
      </c>
      <c r="V10" s="259">
        <f>IF(T10&gt;0,Ruimtestaat[[#This Row],[Prest. (m2 /jaar) werkdagen]]/Ruimtestaat[[#This Row],[Norm (m2/uur) werkdagen]],0)</f>
        <v>0</v>
      </c>
      <c r="W10" s="260">
        <f>Ruimtestaat[[#This Row],[uren / jaar werkdagen]]*Tariefsopbouw!$D$38</f>
        <v>0</v>
      </c>
      <c r="X10" s="33"/>
      <c r="Y10" s="33">
        <f>IF(Ruimtestaat[[#This Row],[Frequentie weekend]]&gt;0,VALUE(LEFT(X10,1))*Q10,0)</f>
        <v>0</v>
      </c>
      <c r="Z10" s="33">
        <f>IF($Y10&gt;0,VLOOKUP($J10,Ruimtegroepen[],3,FALSE)*VLOOKUP($K10,Vloersoorten[],3,FALSE)*VLOOKUP($X10,Frequenties[],3,FALSE)*VLOOKUP(#REF!,Locaties[],3,FALSE),0)</f>
        <v>0</v>
      </c>
      <c r="AA10" s="33"/>
      <c r="AB10" s="33"/>
      <c r="AC10" s="33">
        <f>Ruimtestaat[[#This Row],[uren / jaar weekend]]*Tariefsopbouw!$D$40</f>
        <v>0</v>
      </c>
      <c r="AD10" s="88">
        <f>Ruimtestaat[[#This Row],[Prest. (m2 /jaar) weekend]]+Ruimtestaat[[#This Row],[Prest. (m2 /jaar) werkdagen]]</f>
        <v>636</v>
      </c>
      <c r="AE10" s="88">
        <f>Ruimtestaat[[#This Row],[uren / jaar weekend]]+Ruimtestaat[[#This Row],[uren / jaar werkdagen]]</f>
        <v>0</v>
      </c>
      <c r="AF10" s="89">
        <f>Ruimtestaat[[#This Row],[kosten / jaar weekend]]+Ruimtestaat[[#This Row],[kosten / jaar werkdagen]]</f>
        <v>0</v>
      </c>
      <c r="AG10" s="114"/>
      <c r="HK10" s="87"/>
    </row>
    <row r="11" spans="1:219" ht="15" customHeight="1">
      <c r="A11" s="129">
        <v>1</v>
      </c>
      <c r="B11" s="21" t="str">
        <f>VLOOKUP(Ruimtestaat[[#This Row],[Code]],Locaties[#All],2,FALSE)</f>
        <v>PXC Aalderinkshoek</v>
      </c>
      <c r="C11" s="21" t="str">
        <f>VLOOKUP(Ruimtestaat[[#This Row],[Code]],Locaties[#All],4,FALSE)</f>
        <v>Cesar Frankstraat 4</v>
      </c>
      <c r="D11" s="21" t="str">
        <f>VLOOKUP(Ruimtestaat[[#This Row],[Code]],Locaties[#All],5,FALSE)</f>
        <v>7604 JG</v>
      </c>
      <c r="E11" s="200" t="str">
        <f>VLOOKUP(Ruimtestaat[[#This Row],[Code]],Locaties[#All],6,FALSE)</f>
        <v>Almelo</v>
      </c>
      <c r="F11" s="244"/>
      <c r="G11" s="215" t="s">
        <v>444</v>
      </c>
      <c r="H11" s="200" t="s">
        <v>454</v>
      </c>
      <c r="I11" s="244" t="s">
        <v>455</v>
      </c>
      <c r="J11" s="200">
        <v>10</v>
      </c>
      <c r="K11" s="200" t="s">
        <v>111</v>
      </c>
      <c r="L11" s="200" t="s">
        <v>128</v>
      </c>
      <c r="M11" s="213">
        <v>10.220000000000001</v>
      </c>
      <c r="N11" s="213"/>
      <c r="O11" s="243" t="str">
        <f>VLOOKUP(Ruimtestaat[[#This Row],[Ruimte code]],Ruimtegroepen[#All],4,FALSE)</f>
        <v>V  (Verkeersruimte)</v>
      </c>
      <c r="P11" s="214"/>
      <c r="Q11" s="215">
        <v>40</v>
      </c>
      <c r="R11" s="215" t="s">
        <v>2</v>
      </c>
      <c r="S11" s="215">
        <f>IF(R11&gt;0,IF(RIGHT(Ruimtestaat[[#This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" s="215">
        <f>IF(S11&gt;0,VLOOKUP($J11,Ruimtegroepen[],3,FALSE)*VLOOKUP($K11,Vloersoorten[],3,FALSE)*VLOOKUP($R11,Frequenties[],3,FALSE)*VLOOKUP($A11,Locaties[],3,FALSE),0)</f>
        <v>0</v>
      </c>
      <c r="U11" s="215">
        <f>Ruimtestaat[[#This Row],[Uitvoeringen werkdagen]]*Ruimtestaat[[#This Row],[Oppervlak (netto)]]</f>
        <v>2044.0000000000002</v>
      </c>
      <c r="V11" s="259">
        <f>IF(T11&gt;0,Ruimtestaat[[#This Row],[Prest. (m2 /jaar) werkdagen]]/Ruimtestaat[[#This Row],[Norm (m2/uur) werkdagen]],0)</f>
        <v>0</v>
      </c>
      <c r="W11" s="260">
        <f>Ruimtestaat[[#This Row],[uren / jaar werkdagen]]*Tariefsopbouw!$D$38</f>
        <v>0</v>
      </c>
      <c r="X11" s="33"/>
      <c r="Y11" s="33">
        <f>IF(Ruimtestaat[[#This Row],[Frequentie weekend]]&gt;0,VALUE(LEFT(X11,1))*Q11,0)</f>
        <v>0</v>
      </c>
      <c r="Z11" s="33">
        <f>IF($Y11&gt;0,VLOOKUP($J11,Ruimtegroepen[],3,FALSE)*VLOOKUP($K11,Vloersoorten[],3,FALSE)*VLOOKUP($X11,Frequenties[],3,FALSE)*VLOOKUP(#REF!,Locaties[],3,FALSE),0)</f>
        <v>0</v>
      </c>
      <c r="AA11" s="33"/>
      <c r="AB11" s="33"/>
      <c r="AC11" s="33">
        <f>Ruimtestaat[[#This Row],[uren / jaar weekend]]*Tariefsopbouw!$D$40</f>
        <v>0</v>
      </c>
      <c r="AD11" s="88">
        <f>Ruimtestaat[[#This Row],[Prest. (m2 /jaar) weekend]]+Ruimtestaat[[#This Row],[Prest. (m2 /jaar) werkdagen]]</f>
        <v>2044.0000000000002</v>
      </c>
      <c r="AE11" s="88">
        <f>Ruimtestaat[[#This Row],[uren / jaar weekend]]+Ruimtestaat[[#This Row],[uren / jaar werkdagen]]</f>
        <v>0</v>
      </c>
      <c r="AF11" s="89">
        <f>Ruimtestaat[[#This Row],[kosten / jaar weekend]]+Ruimtestaat[[#This Row],[kosten / jaar werkdagen]]</f>
        <v>0</v>
      </c>
      <c r="AG11" s="114"/>
      <c r="HK11" s="87"/>
    </row>
    <row r="12" spans="1:219" ht="15" customHeight="1">
      <c r="A12" s="129">
        <v>1</v>
      </c>
      <c r="B12" s="21" t="str">
        <f>VLOOKUP(Ruimtestaat[[#This Row],[Code]],Locaties[#All],2,FALSE)</f>
        <v>PXC Aalderinkshoek</v>
      </c>
      <c r="C12" s="21" t="str">
        <f>VLOOKUP(Ruimtestaat[[#This Row],[Code]],Locaties[#All],4,FALSE)</f>
        <v>Cesar Frankstraat 4</v>
      </c>
      <c r="D12" s="21" t="str">
        <f>VLOOKUP(Ruimtestaat[[#This Row],[Code]],Locaties[#All],5,FALSE)</f>
        <v>7604 JG</v>
      </c>
      <c r="E12" s="200" t="str">
        <f>VLOOKUP(Ruimtestaat[[#This Row],[Code]],Locaties[#All],6,FALSE)</f>
        <v>Almelo</v>
      </c>
      <c r="F12" s="244"/>
      <c r="G12" s="215" t="s">
        <v>444</v>
      </c>
      <c r="H12" s="200" t="s">
        <v>456</v>
      </c>
      <c r="I12" s="244" t="s">
        <v>457</v>
      </c>
      <c r="J12" s="200">
        <v>10</v>
      </c>
      <c r="K12" s="200" t="s">
        <v>111</v>
      </c>
      <c r="L12" s="200" t="s">
        <v>128</v>
      </c>
      <c r="M12" s="213">
        <v>1.7</v>
      </c>
      <c r="N12" s="213"/>
      <c r="O12" s="243" t="str">
        <f>VLOOKUP(Ruimtestaat[[#This Row],[Ruimte code]],Ruimtegroepen[#All],4,FALSE)</f>
        <v>V  (Verkeersruimte)</v>
      </c>
      <c r="P12" s="214"/>
      <c r="Q12" s="215">
        <v>40</v>
      </c>
      <c r="R12" s="215" t="s">
        <v>2</v>
      </c>
      <c r="S12" s="215">
        <f>IF(R12&gt;0,IF(RIGHT(Ruimtestaat[[#This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" s="215">
        <f>IF(S12&gt;0,VLOOKUP($J12,Ruimtegroepen[],3,FALSE)*VLOOKUP($K12,Vloersoorten[],3,FALSE)*VLOOKUP($R12,Frequenties[],3,FALSE)*VLOOKUP($A12,Locaties[],3,FALSE),0)</f>
        <v>0</v>
      </c>
      <c r="U12" s="215">
        <f>Ruimtestaat[[#This Row],[Uitvoeringen werkdagen]]*Ruimtestaat[[#This Row],[Oppervlak (netto)]]</f>
        <v>340</v>
      </c>
      <c r="V12" s="259">
        <f>IF(T12&gt;0,Ruimtestaat[[#This Row],[Prest. (m2 /jaar) werkdagen]]/Ruimtestaat[[#This Row],[Norm (m2/uur) werkdagen]],0)</f>
        <v>0</v>
      </c>
      <c r="W12" s="260">
        <f>Ruimtestaat[[#This Row],[uren / jaar werkdagen]]*Tariefsopbouw!$D$38</f>
        <v>0</v>
      </c>
      <c r="X12" s="33"/>
      <c r="Y12" s="33">
        <f>IF(Ruimtestaat[[#This Row],[Frequentie weekend]]&gt;0,VALUE(LEFT(X12,1))*Q12,0)</f>
        <v>0</v>
      </c>
      <c r="Z12" s="33">
        <f>IF($Y12&gt;0,VLOOKUP($J12,Ruimtegroepen[],3,FALSE)*VLOOKUP($K12,Vloersoorten[],3,FALSE)*VLOOKUP($X12,Frequenties[],3,FALSE)*VLOOKUP(#REF!,Locaties[],3,FALSE),0)</f>
        <v>0</v>
      </c>
      <c r="AA12" s="33"/>
      <c r="AB12" s="33"/>
      <c r="AC12" s="33">
        <f>Ruimtestaat[[#This Row],[uren / jaar weekend]]*Tariefsopbouw!$D$40</f>
        <v>0</v>
      </c>
      <c r="AD12" s="88">
        <f>Ruimtestaat[[#This Row],[Prest. (m2 /jaar) weekend]]+Ruimtestaat[[#This Row],[Prest. (m2 /jaar) werkdagen]]</f>
        <v>340</v>
      </c>
      <c r="AE12" s="88">
        <f>Ruimtestaat[[#This Row],[uren / jaar weekend]]+Ruimtestaat[[#This Row],[uren / jaar werkdagen]]</f>
        <v>0</v>
      </c>
      <c r="AF12" s="89">
        <f>Ruimtestaat[[#This Row],[kosten / jaar weekend]]+Ruimtestaat[[#This Row],[kosten / jaar werkdagen]]</f>
        <v>0</v>
      </c>
      <c r="AG12" s="114"/>
      <c r="HK12" s="87"/>
    </row>
    <row r="13" spans="1:219" ht="15" customHeight="1">
      <c r="A13" s="129">
        <v>1</v>
      </c>
      <c r="B13" s="21" t="str">
        <f>VLOOKUP(Ruimtestaat[[#This Row],[Code]],Locaties[#All],2,FALSE)</f>
        <v>PXC Aalderinkshoek</v>
      </c>
      <c r="C13" s="21" t="str">
        <f>VLOOKUP(Ruimtestaat[[#This Row],[Code]],Locaties[#All],4,FALSE)</f>
        <v>Cesar Frankstraat 4</v>
      </c>
      <c r="D13" s="21" t="str">
        <f>VLOOKUP(Ruimtestaat[[#This Row],[Code]],Locaties[#All],5,FALSE)</f>
        <v>7604 JG</v>
      </c>
      <c r="E13" s="200" t="str">
        <f>VLOOKUP(Ruimtestaat[[#This Row],[Code]],Locaties[#All],6,FALSE)</f>
        <v>Almelo</v>
      </c>
      <c r="F13" s="244"/>
      <c r="G13" s="215" t="s">
        <v>444</v>
      </c>
      <c r="H13" s="200" t="s">
        <v>458</v>
      </c>
      <c r="I13" s="244" t="s">
        <v>459</v>
      </c>
      <c r="J13" s="200">
        <v>21</v>
      </c>
      <c r="K13" s="200"/>
      <c r="L13" s="200"/>
      <c r="M13" s="213"/>
      <c r="N13" s="213">
        <v>5.23</v>
      </c>
      <c r="O13" s="243" t="str">
        <f>VLOOKUP(Ruimtestaat[[#This Row],[Ruimte code]],Ruimtegroepen[#All],4,FALSE)</f>
        <v>Niet in onderhoud</v>
      </c>
      <c r="P13" s="214"/>
      <c r="Q13" s="215"/>
      <c r="R13" s="215"/>
      <c r="S13" s="215">
        <f>IF(R13&gt;0,IF(RIGHT(Ruimtestaat[[#This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3" s="215">
        <f>IF(S13&gt;0,VLOOKUP($J13,Ruimtegroepen[],3,FALSE)*VLOOKUP($K13,Vloersoorten[],3,FALSE)*VLOOKUP($R13,Frequenties[],3,FALSE)*VLOOKUP($A13,Locaties[],3,FALSE),0)</f>
        <v>0</v>
      </c>
      <c r="U13" s="215">
        <f>Ruimtestaat[[#This Row],[Uitvoeringen werkdagen]]*Ruimtestaat[[#This Row],[Oppervlak (netto)]]</f>
        <v>0</v>
      </c>
      <c r="V13" s="259">
        <f>IF(T13&gt;0,Ruimtestaat[[#This Row],[Prest. (m2 /jaar) werkdagen]]/Ruimtestaat[[#This Row],[Norm (m2/uur) werkdagen]],0)</f>
        <v>0</v>
      </c>
      <c r="W13" s="260">
        <f>Ruimtestaat[[#This Row],[uren / jaar werkdagen]]*Tariefsopbouw!$D$38</f>
        <v>0</v>
      </c>
      <c r="X13" s="33"/>
      <c r="Y13" s="33">
        <f>IF(Ruimtestaat[[#This Row],[Frequentie weekend]]&gt;0,VALUE(LEFT(X13,1))*Q13,0)</f>
        <v>0</v>
      </c>
      <c r="Z13" s="33">
        <f>IF($Y13&gt;0,VLOOKUP($J13,Ruimtegroepen[],3,FALSE)*VLOOKUP($K13,Vloersoorten[],3,FALSE)*VLOOKUP($X13,Frequenties[],3,FALSE)*VLOOKUP(#REF!,Locaties[],3,FALSE),0)</f>
        <v>0</v>
      </c>
      <c r="AA13" s="33"/>
      <c r="AB13" s="33"/>
      <c r="AC13" s="33">
        <f>Ruimtestaat[[#This Row],[uren / jaar weekend]]*Tariefsopbouw!$D$40</f>
        <v>0</v>
      </c>
      <c r="AD13" s="88">
        <f>Ruimtestaat[[#This Row],[Prest. (m2 /jaar) weekend]]+Ruimtestaat[[#This Row],[Prest. (m2 /jaar) werkdagen]]</f>
        <v>0</v>
      </c>
      <c r="AE13" s="88">
        <f>Ruimtestaat[[#This Row],[uren / jaar weekend]]+Ruimtestaat[[#This Row],[uren / jaar werkdagen]]</f>
        <v>0</v>
      </c>
      <c r="AF13" s="89">
        <f>Ruimtestaat[[#This Row],[kosten / jaar weekend]]+Ruimtestaat[[#This Row],[kosten / jaar werkdagen]]</f>
        <v>0</v>
      </c>
      <c r="AG13" s="114"/>
      <c r="HK13" s="87"/>
    </row>
    <row r="14" spans="1:219" ht="15" customHeight="1">
      <c r="A14" s="129">
        <v>1</v>
      </c>
      <c r="B14" s="21" t="str">
        <f>VLOOKUP(Ruimtestaat[[#This Row],[Code]],Locaties[#All],2,FALSE)</f>
        <v>PXC Aalderinkshoek</v>
      </c>
      <c r="C14" s="21" t="str">
        <f>VLOOKUP(Ruimtestaat[[#This Row],[Code]],Locaties[#All],4,FALSE)</f>
        <v>Cesar Frankstraat 4</v>
      </c>
      <c r="D14" s="21" t="str">
        <f>VLOOKUP(Ruimtestaat[[#This Row],[Code]],Locaties[#All],5,FALSE)</f>
        <v>7604 JG</v>
      </c>
      <c r="E14" s="200" t="str">
        <f>VLOOKUP(Ruimtestaat[[#This Row],[Code]],Locaties[#All],6,FALSE)</f>
        <v>Almelo</v>
      </c>
      <c r="F14" s="244"/>
      <c r="G14" s="215" t="s">
        <v>444</v>
      </c>
      <c r="H14" s="200" t="s">
        <v>460</v>
      </c>
      <c r="I14" s="244" t="s">
        <v>461</v>
      </c>
      <c r="J14" s="200">
        <v>2</v>
      </c>
      <c r="K14" s="200" t="s">
        <v>1040</v>
      </c>
      <c r="L14" s="200" t="s">
        <v>999</v>
      </c>
      <c r="M14" s="213">
        <v>7.37</v>
      </c>
      <c r="N14" s="213"/>
      <c r="O14" s="243" t="str">
        <f>VLOOKUP(Ruimtestaat[[#This Row],[Ruimte code]],Ruimtegroepen[#All],4,FALSE)</f>
        <v>B  (Bureauruimte)</v>
      </c>
      <c r="P14" s="214"/>
      <c r="Q14" s="215">
        <v>40</v>
      </c>
      <c r="R14" s="215" t="s">
        <v>17</v>
      </c>
      <c r="S14" s="215">
        <f>IF(R14&gt;0,IF(RIGHT(Ruimtestaat[[#This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4" s="215">
        <f>IF(S14&gt;0,VLOOKUP($J14,Ruimtegroepen[],3,FALSE)*VLOOKUP($K14,Vloersoorten[],3,FALSE)*VLOOKUP($R14,Frequenties[],3,FALSE)*VLOOKUP($A14,Locaties[],3,FALSE),0)</f>
        <v>0</v>
      </c>
      <c r="U14" s="215">
        <f>Ruimtestaat[[#This Row],[Uitvoeringen werkdagen]]*Ruimtestaat[[#This Row],[Oppervlak (netto)]]</f>
        <v>589.6</v>
      </c>
      <c r="V14" s="259">
        <f>IF(T14&gt;0,Ruimtestaat[[#This Row],[Prest. (m2 /jaar) werkdagen]]/Ruimtestaat[[#This Row],[Norm (m2/uur) werkdagen]],0)</f>
        <v>0</v>
      </c>
      <c r="W14" s="260">
        <f>Ruimtestaat[[#This Row],[uren / jaar werkdagen]]*Tariefsopbouw!$D$38</f>
        <v>0</v>
      </c>
      <c r="X14" s="33"/>
      <c r="Y14" s="33">
        <f>IF(Ruimtestaat[[#This Row],[Frequentie weekend]]&gt;0,VALUE(LEFT(X14,1))*Q14,0)</f>
        <v>0</v>
      </c>
      <c r="Z14" s="33">
        <f>IF($Y14&gt;0,VLOOKUP($J14,Ruimtegroepen[],3,FALSE)*VLOOKUP($K14,Vloersoorten[],3,FALSE)*VLOOKUP($X14,Frequenties[],3,FALSE)*VLOOKUP(#REF!,Locaties[],3,FALSE),0)</f>
        <v>0</v>
      </c>
      <c r="AA14" s="33"/>
      <c r="AB14" s="33"/>
      <c r="AC14" s="33">
        <f>Ruimtestaat[[#This Row],[uren / jaar weekend]]*Tariefsopbouw!$D$40</f>
        <v>0</v>
      </c>
      <c r="AD14" s="88">
        <f>Ruimtestaat[[#This Row],[Prest. (m2 /jaar) weekend]]+Ruimtestaat[[#This Row],[Prest. (m2 /jaar) werkdagen]]</f>
        <v>589.6</v>
      </c>
      <c r="AE14" s="88">
        <f>Ruimtestaat[[#This Row],[uren / jaar weekend]]+Ruimtestaat[[#This Row],[uren / jaar werkdagen]]</f>
        <v>0</v>
      </c>
      <c r="AF14" s="89">
        <f>Ruimtestaat[[#This Row],[kosten / jaar weekend]]+Ruimtestaat[[#This Row],[kosten / jaar werkdagen]]</f>
        <v>0</v>
      </c>
      <c r="AG14" s="114"/>
      <c r="HK14" s="87"/>
    </row>
    <row r="15" spans="1:219" ht="15" customHeight="1">
      <c r="A15" s="129">
        <v>1</v>
      </c>
      <c r="B15" s="21" t="str">
        <f>VLOOKUP(Ruimtestaat[[#This Row],[Code]],Locaties[#All],2,FALSE)</f>
        <v>PXC Aalderinkshoek</v>
      </c>
      <c r="C15" s="21" t="str">
        <f>VLOOKUP(Ruimtestaat[[#This Row],[Code]],Locaties[#All],4,FALSE)</f>
        <v>Cesar Frankstraat 4</v>
      </c>
      <c r="D15" s="21" t="str">
        <f>VLOOKUP(Ruimtestaat[[#This Row],[Code]],Locaties[#All],5,FALSE)</f>
        <v>7604 JG</v>
      </c>
      <c r="E15" s="200" t="str">
        <f>VLOOKUP(Ruimtestaat[[#This Row],[Code]],Locaties[#All],6,FALSE)</f>
        <v>Almelo</v>
      </c>
      <c r="F15" s="244"/>
      <c r="G15" s="215" t="s">
        <v>444</v>
      </c>
      <c r="H15" s="200" t="s">
        <v>462</v>
      </c>
      <c r="I15" s="244" t="s">
        <v>463</v>
      </c>
      <c r="J15" s="200">
        <v>16</v>
      </c>
      <c r="K15" s="200" t="s">
        <v>110</v>
      </c>
      <c r="L15" s="200" t="s">
        <v>132</v>
      </c>
      <c r="M15" s="213">
        <v>44.45</v>
      </c>
      <c r="N15" s="213"/>
      <c r="O15" s="243" t="str">
        <f>VLOOKUP(Ruimtestaat[[#This Row],[Ruimte code]],Ruimtegroepen[#All],4,FALSE)</f>
        <v>L  (Lesruimte)</v>
      </c>
      <c r="P15" s="214"/>
      <c r="Q15" s="215">
        <v>40</v>
      </c>
      <c r="R15" s="215" t="s">
        <v>1344</v>
      </c>
      <c r="S15" s="215">
        <f>IF(R15&gt;0,IF(RIGHT(Ruimtestaat[[#This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5" s="215">
        <f>IF(S15&gt;0,VLOOKUP($J15,Ruimtegroepen[],3,FALSE)*VLOOKUP($K15,Vloersoorten[],3,FALSE)*VLOOKUP($R15,Frequenties[],3,FALSE)*VLOOKUP($A15,Locaties[],3,FALSE),0)</f>
        <v>0</v>
      </c>
      <c r="U15" s="215">
        <f>Ruimtestaat[[#This Row],[Uitvoeringen werkdagen]]*Ruimtestaat[[#This Row],[Oppervlak (netto)]]</f>
        <v>1066.8000000000002</v>
      </c>
      <c r="V15" s="259">
        <f>IF(T15&gt;0,Ruimtestaat[[#This Row],[Prest. (m2 /jaar) werkdagen]]/Ruimtestaat[[#This Row],[Norm (m2/uur) werkdagen]],0)</f>
        <v>0</v>
      </c>
      <c r="W15" s="260">
        <f>Ruimtestaat[[#This Row],[uren / jaar werkdagen]]*Tariefsopbouw!$D$38</f>
        <v>0</v>
      </c>
      <c r="X15" s="33"/>
      <c r="Y15" s="33">
        <f>IF(Ruimtestaat[[#This Row],[Frequentie weekend]]&gt;0,VALUE(LEFT(X15,1))*Q15,0)</f>
        <v>0</v>
      </c>
      <c r="Z15" s="33">
        <f>IF($Y15&gt;0,VLOOKUP($J15,Ruimtegroepen[],3,FALSE)*VLOOKUP($K15,Vloersoorten[],3,FALSE)*VLOOKUP($X15,Frequenties[],3,FALSE)*VLOOKUP(#REF!,Locaties[],3,FALSE),0)</f>
        <v>0</v>
      </c>
      <c r="AA15" s="33"/>
      <c r="AB15" s="33"/>
      <c r="AC15" s="33">
        <f>Ruimtestaat[[#This Row],[uren / jaar weekend]]*Tariefsopbouw!$D$40</f>
        <v>0</v>
      </c>
      <c r="AD15" s="88">
        <f>Ruimtestaat[[#This Row],[Prest. (m2 /jaar) weekend]]+Ruimtestaat[[#This Row],[Prest. (m2 /jaar) werkdagen]]</f>
        <v>1066.8000000000002</v>
      </c>
      <c r="AE15" s="88">
        <f>Ruimtestaat[[#This Row],[uren / jaar weekend]]+Ruimtestaat[[#This Row],[uren / jaar werkdagen]]</f>
        <v>0</v>
      </c>
      <c r="AF15" s="89">
        <f>Ruimtestaat[[#This Row],[kosten / jaar weekend]]+Ruimtestaat[[#This Row],[kosten / jaar werkdagen]]</f>
        <v>0</v>
      </c>
      <c r="AG15" s="114"/>
      <c r="HK15" s="87"/>
    </row>
    <row r="16" spans="1:219" ht="15" customHeight="1">
      <c r="A16" s="129">
        <v>1</v>
      </c>
      <c r="B16" s="21" t="str">
        <f>VLOOKUP(Ruimtestaat[[#This Row],[Code]],Locaties[#All],2,FALSE)</f>
        <v>PXC Aalderinkshoek</v>
      </c>
      <c r="C16" s="21" t="str">
        <f>VLOOKUP(Ruimtestaat[[#This Row],[Code]],Locaties[#All],4,FALSE)</f>
        <v>Cesar Frankstraat 4</v>
      </c>
      <c r="D16" s="21" t="str">
        <f>VLOOKUP(Ruimtestaat[[#This Row],[Code]],Locaties[#All],5,FALSE)</f>
        <v>7604 JG</v>
      </c>
      <c r="E16" s="200" t="str">
        <f>VLOOKUP(Ruimtestaat[[#This Row],[Code]],Locaties[#All],6,FALSE)</f>
        <v>Almelo</v>
      </c>
      <c r="F16" s="244"/>
      <c r="G16" s="215" t="s">
        <v>444</v>
      </c>
      <c r="H16" s="200" t="s">
        <v>464</v>
      </c>
      <c r="I16" s="244" t="s">
        <v>463</v>
      </c>
      <c r="J16" s="200">
        <v>16</v>
      </c>
      <c r="K16" s="200" t="s">
        <v>110</v>
      </c>
      <c r="L16" s="200" t="s">
        <v>132</v>
      </c>
      <c r="M16" s="213">
        <v>100.75</v>
      </c>
      <c r="N16" s="213"/>
      <c r="O16" s="243" t="str">
        <f>VLOOKUP(Ruimtestaat[[#This Row],[Ruimte code]],Ruimtegroepen[#All],4,FALSE)</f>
        <v>L  (Lesruimte)</v>
      </c>
      <c r="P16" s="214"/>
      <c r="Q16" s="215">
        <v>40</v>
      </c>
      <c r="R16" s="215" t="s">
        <v>1344</v>
      </c>
      <c r="S16" s="215">
        <f>IF(R16&gt;0,IF(RIGHT(Ruimtestaat[[#This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6" s="215">
        <f>IF(S16&gt;0,VLOOKUP($J16,Ruimtegroepen[],3,FALSE)*VLOOKUP($K16,Vloersoorten[],3,FALSE)*VLOOKUP($R16,Frequenties[],3,FALSE)*VLOOKUP($A16,Locaties[],3,FALSE),0)</f>
        <v>0</v>
      </c>
      <c r="U16" s="215">
        <f>Ruimtestaat[[#This Row],[Uitvoeringen werkdagen]]*Ruimtestaat[[#This Row],[Oppervlak (netto)]]</f>
        <v>2418</v>
      </c>
      <c r="V16" s="259">
        <f>IF(T16&gt;0,Ruimtestaat[[#This Row],[Prest. (m2 /jaar) werkdagen]]/Ruimtestaat[[#This Row],[Norm (m2/uur) werkdagen]],0)</f>
        <v>0</v>
      </c>
      <c r="W16" s="260">
        <f>Ruimtestaat[[#This Row],[uren / jaar werkdagen]]*Tariefsopbouw!$D$38</f>
        <v>0</v>
      </c>
      <c r="X16" s="33"/>
      <c r="Y16" s="33">
        <f>IF(Ruimtestaat[[#This Row],[Frequentie weekend]]&gt;0,VALUE(LEFT(X16,1))*Q16,0)</f>
        <v>0</v>
      </c>
      <c r="Z16" s="33">
        <f>IF($Y16&gt;0,VLOOKUP($J16,Ruimtegroepen[],3,FALSE)*VLOOKUP($K16,Vloersoorten[],3,FALSE)*VLOOKUP($X16,Frequenties[],3,FALSE)*VLOOKUP(#REF!,Locaties[],3,FALSE),0)</f>
        <v>0</v>
      </c>
      <c r="AA16" s="33"/>
      <c r="AB16" s="33"/>
      <c r="AC16" s="33">
        <f>Ruimtestaat[[#This Row],[uren / jaar weekend]]*Tariefsopbouw!$D$40</f>
        <v>0</v>
      </c>
      <c r="AD16" s="88">
        <f>Ruimtestaat[[#This Row],[Prest. (m2 /jaar) weekend]]+Ruimtestaat[[#This Row],[Prest. (m2 /jaar) werkdagen]]</f>
        <v>2418</v>
      </c>
      <c r="AE16" s="88">
        <f>Ruimtestaat[[#This Row],[uren / jaar weekend]]+Ruimtestaat[[#This Row],[uren / jaar werkdagen]]</f>
        <v>0</v>
      </c>
      <c r="AF16" s="89">
        <f>Ruimtestaat[[#This Row],[kosten / jaar weekend]]+Ruimtestaat[[#This Row],[kosten / jaar werkdagen]]</f>
        <v>0</v>
      </c>
      <c r="AG16" s="114"/>
      <c r="HK16" s="87"/>
    </row>
    <row r="17" spans="1:219" ht="15" customHeight="1">
      <c r="A17" s="129">
        <v>1</v>
      </c>
      <c r="B17" s="21" t="str">
        <f>VLOOKUP(Ruimtestaat[[#This Row],[Code]],Locaties[#All],2,FALSE)</f>
        <v>PXC Aalderinkshoek</v>
      </c>
      <c r="C17" s="21" t="str">
        <f>VLOOKUP(Ruimtestaat[[#This Row],[Code]],Locaties[#All],4,FALSE)</f>
        <v>Cesar Frankstraat 4</v>
      </c>
      <c r="D17" s="21" t="str">
        <f>VLOOKUP(Ruimtestaat[[#This Row],[Code]],Locaties[#All],5,FALSE)</f>
        <v>7604 JG</v>
      </c>
      <c r="E17" s="200" t="str">
        <f>VLOOKUP(Ruimtestaat[[#This Row],[Code]],Locaties[#All],6,FALSE)</f>
        <v>Almelo</v>
      </c>
      <c r="F17" s="244"/>
      <c r="G17" s="215" t="s">
        <v>444</v>
      </c>
      <c r="H17" s="261" t="s">
        <v>465</v>
      </c>
      <c r="I17" s="244" t="s">
        <v>447</v>
      </c>
      <c r="J17" s="200">
        <v>1</v>
      </c>
      <c r="K17" s="215" t="s">
        <v>110</v>
      </c>
      <c r="L17" s="200" t="s">
        <v>132</v>
      </c>
      <c r="M17" s="213">
        <v>21.36</v>
      </c>
      <c r="N17" s="213"/>
      <c r="O17" s="243" t="str">
        <f>VLOOKUP(Ruimtestaat[[#This Row],[Ruimte code]],Ruimtegroepen[#All],4,FALSE)</f>
        <v>V  (Verkeersruimte)</v>
      </c>
      <c r="P17" s="214"/>
      <c r="Q17" s="215">
        <v>40</v>
      </c>
      <c r="R17" s="215" t="s">
        <v>16</v>
      </c>
      <c r="S17" s="215">
        <f>IF(R17&gt;0,IF(RIGHT(Ruimtestaat[[#This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7" s="215">
        <f>IF(S17&gt;0,VLOOKUP($J17,Ruimtegroepen[],3,FALSE)*VLOOKUP($K17,Vloersoorten[],3,FALSE)*VLOOKUP($R17,Frequenties[],3,FALSE)*VLOOKUP($A17,Locaties[],3,FALSE),0)</f>
        <v>0</v>
      </c>
      <c r="U17" s="215">
        <f>Ruimtestaat[[#This Row],[Uitvoeringen werkdagen]]*Ruimtestaat[[#This Row],[Oppervlak (netto)]]</f>
        <v>256.32</v>
      </c>
      <c r="V17" s="259">
        <f>IF(T17&gt;0,Ruimtestaat[[#This Row],[Prest. (m2 /jaar) werkdagen]]/Ruimtestaat[[#This Row],[Norm (m2/uur) werkdagen]],0)</f>
        <v>0</v>
      </c>
      <c r="W17" s="260">
        <f>Ruimtestaat[[#This Row],[uren / jaar werkdagen]]*Tariefsopbouw!$D$38</f>
        <v>0</v>
      </c>
      <c r="X17" s="33"/>
      <c r="Y17" s="33">
        <f>IF(Ruimtestaat[[#This Row],[Frequentie weekend]]&gt;0,VALUE(LEFT(X17,1))*Q17,0)</f>
        <v>0</v>
      </c>
      <c r="Z17" s="33">
        <f>IF($Y17&gt;0,VLOOKUP($J17,Ruimtegroepen[],3,FALSE)*VLOOKUP($K17,Vloersoorten[],3,FALSE)*VLOOKUP($X17,Frequenties[],3,FALSE)*VLOOKUP(#REF!,Locaties[],3,FALSE),0)</f>
        <v>0</v>
      </c>
      <c r="AA17" s="33"/>
      <c r="AB17" s="33"/>
      <c r="AC17" s="33">
        <f>Ruimtestaat[[#This Row],[uren / jaar weekend]]*Tariefsopbouw!$D$40</f>
        <v>0</v>
      </c>
      <c r="AD17" s="88">
        <f>Ruimtestaat[[#This Row],[Prest. (m2 /jaar) weekend]]+Ruimtestaat[[#This Row],[Prest. (m2 /jaar) werkdagen]]</f>
        <v>256.32</v>
      </c>
      <c r="AE17" s="88">
        <f>Ruimtestaat[[#This Row],[uren / jaar weekend]]+Ruimtestaat[[#This Row],[uren / jaar werkdagen]]</f>
        <v>0</v>
      </c>
      <c r="AF17" s="89">
        <f>Ruimtestaat[[#This Row],[kosten / jaar weekend]]+Ruimtestaat[[#This Row],[kosten / jaar werkdagen]]</f>
        <v>0</v>
      </c>
      <c r="AG17" s="114"/>
      <c r="HK17" s="87"/>
    </row>
    <row r="18" spans="1:219" ht="15" customHeight="1">
      <c r="A18" s="129">
        <v>1</v>
      </c>
      <c r="B18" s="21" t="str">
        <f>VLOOKUP(Ruimtestaat[[#This Row],[Code]],Locaties[#All],2,FALSE)</f>
        <v>PXC Aalderinkshoek</v>
      </c>
      <c r="C18" s="21" t="str">
        <f>VLOOKUP(Ruimtestaat[[#This Row],[Code]],Locaties[#All],4,FALSE)</f>
        <v>Cesar Frankstraat 4</v>
      </c>
      <c r="D18" s="21" t="str">
        <f>VLOOKUP(Ruimtestaat[[#This Row],[Code]],Locaties[#All],5,FALSE)</f>
        <v>7604 JG</v>
      </c>
      <c r="E18" s="200" t="str">
        <f>VLOOKUP(Ruimtestaat[[#This Row],[Code]],Locaties[#All],6,FALSE)</f>
        <v>Almelo</v>
      </c>
      <c r="F18" s="244"/>
      <c r="G18" s="215" t="s">
        <v>444</v>
      </c>
      <c r="H18" s="200" t="s">
        <v>466</v>
      </c>
      <c r="I18" s="244" t="s">
        <v>463</v>
      </c>
      <c r="J18" s="200">
        <v>16</v>
      </c>
      <c r="K18" s="200" t="s">
        <v>110</v>
      </c>
      <c r="L18" s="200" t="s">
        <v>132</v>
      </c>
      <c r="M18" s="213">
        <v>56.73</v>
      </c>
      <c r="N18" s="213"/>
      <c r="O18" s="243" t="str">
        <f>VLOOKUP(Ruimtestaat[[#This Row],[Ruimte code]],Ruimtegroepen[#All],4,FALSE)</f>
        <v>L  (Lesruimte)</v>
      </c>
      <c r="P18" s="214"/>
      <c r="Q18" s="215">
        <v>40</v>
      </c>
      <c r="R18" s="215" t="s">
        <v>2</v>
      </c>
      <c r="S18" s="215">
        <f>IF(R18&gt;0,IF(RIGHT(Ruimtestaat[[#This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" s="215">
        <f>IF(S18&gt;0,VLOOKUP($J18,Ruimtegroepen[],3,FALSE)*VLOOKUP($K18,Vloersoorten[],3,FALSE)*VLOOKUP($R18,Frequenties[],3,FALSE)*VLOOKUP($A18,Locaties[],3,FALSE),0)</f>
        <v>0</v>
      </c>
      <c r="U18" s="215">
        <f>Ruimtestaat[[#This Row],[Uitvoeringen werkdagen]]*Ruimtestaat[[#This Row],[Oppervlak (netto)]]</f>
        <v>11346</v>
      </c>
      <c r="V18" s="259">
        <f>IF(T18&gt;0,Ruimtestaat[[#This Row],[Prest. (m2 /jaar) werkdagen]]/Ruimtestaat[[#This Row],[Norm (m2/uur) werkdagen]],0)</f>
        <v>0</v>
      </c>
      <c r="W18" s="260">
        <f>Ruimtestaat[[#This Row],[uren / jaar werkdagen]]*Tariefsopbouw!$D$38</f>
        <v>0</v>
      </c>
      <c r="X18" s="33"/>
      <c r="Y18" s="33">
        <f>IF(Ruimtestaat[[#This Row],[Frequentie weekend]]&gt;0,VALUE(LEFT(X18,1))*Q18,0)</f>
        <v>0</v>
      </c>
      <c r="Z18" s="33">
        <f>IF($Y18&gt;0,VLOOKUP($J18,Ruimtegroepen[],3,FALSE)*VLOOKUP($K18,Vloersoorten[],3,FALSE)*VLOOKUP($X18,Frequenties[],3,FALSE)*VLOOKUP(#REF!,Locaties[],3,FALSE),0)</f>
        <v>0</v>
      </c>
      <c r="AA18" s="33"/>
      <c r="AB18" s="33"/>
      <c r="AC18" s="33">
        <f>Ruimtestaat[[#This Row],[uren / jaar weekend]]*Tariefsopbouw!$D$40</f>
        <v>0</v>
      </c>
      <c r="AD18" s="88">
        <f>Ruimtestaat[[#This Row],[Prest. (m2 /jaar) weekend]]+Ruimtestaat[[#This Row],[Prest. (m2 /jaar) werkdagen]]</f>
        <v>11346</v>
      </c>
      <c r="AE18" s="88">
        <f>Ruimtestaat[[#This Row],[uren / jaar weekend]]+Ruimtestaat[[#This Row],[uren / jaar werkdagen]]</f>
        <v>0</v>
      </c>
      <c r="AF18" s="89">
        <f>Ruimtestaat[[#This Row],[kosten / jaar weekend]]+Ruimtestaat[[#This Row],[kosten / jaar werkdagen]]</f>
        <v>0</v>
      </c>
      <c r="AG18" s="114"/>
      <c r="HK18" s="87"/>
    </row>
    <row r="19" spans="1:219" ht="15" customHeight="1">
      <c r="A19" s="129">
        <v>1</v>
      </c>
      <c r="B19" s="21" t="str">
        <f>VLOOKUP(Ruimtestaat[[#This Row],[Code]],Locaties[#All],2,FALSE)</f>
        <v>PXC Aalderinkshoek</v>
      </c>
      <c r="C19" s="21" t="str">
        <f>VLOOKUP(Ruimtestaat[[#This Row],[Code]],Locaties[#All],4,FALSE)</f>
        <v>Cesar Frankstraat 4</v>
      </c>
      <c r="D19" s="21" t="str">
        <f>VLOOKUP(Ruimtestaat[[#This Row],[Code]],Locaties[#All],5,FALSE)</f>
        <v>7604 JG</v>
      </c>
      <c r="E19" s="200" t="str">
        <f>VLOOKUP(Ruimtestaat[[#This Row],[Code]],Locaties[#All],6,FALSE)</f>
        <v>Almelo</v>
      </c>
      <c r="F19" s="244"/>
      <c r="G19" s="215" t="s">
        <v>444</v>
      </c>
      <c r="H19" s="261" t="s">
        <v>467</v>
      </c>
      <c r="I19" s="244" t="s">
        <v>463</v>
      </c>
      <c r="J19" s="200">
        <v>16</v>
      </c>
      <c r="K19" s="200" t="s">
        <v>110</v>
      </c>
      <c r="L19" s="200" t="s">
        <v>132</v>
      </c>
      <c r="M19" s="213">
        <v>56.67</v>
      </c>
      <c r="N19" s="213"/>
      <c r="O19" s="243" t="str">
        <f>VLOOKUP(Ruimtestaat[[#This Row],[Ruimte code]],Ruimtegroepen[#All],4,FALSE)</f>
        <v>L  (Lesruimte)</v>
      </c>
      <c r="P19" s="214"/>
      <c r="Q19" s="215">
        <v>40</v>
      </c>
      <c r="R19" s="215" t="s">
        <v>2</v>
      </c>
      <c r="S19" s="215">
        <f>IF(R19&gt;0,IF(RIGHT(Ruimtestaat[[#This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" s="215">
        <f>IF(S19&gt;0,VLOOKUP($J19,Ruimtegroepen[],3,FALSE)*VLOOKUP($K19,Vloersoorten[],3,FALSE)*VLOOKUP($R19,Frequenties[],3,FALSE)*VLOOKUP($A19,Locaties[],3,FALSE),0)</f>
        <v>0</v>
      </c>
      <c r="U19" s="215">
        <f>Ruimtestaat[[#This Row],[Uitvoeringen werkdagen]]*Ruimtestaat[[#This Row],[Oppervlak (netto)]]</f>
        <v>11334</v>
      </c>
      <c r="V19" s="259">
        <f>IF(T19&gt;0,Ruimtestaat[[#This Row],[Prest. (m2 /jaar) werkdagen]]/Ruimtestaat[[#This Row],[Norm (m2/uur) werkdagen]],0)</f>
        <v>0</v>
      </c>
      <c r="W19" s="260">
        <f>Ruimtestaat[[#This Row],[uren / jaar werkdagen]]*Tariefsopbouw!$D$38</f>
        <v>0</v>
      </c>
      <c r="X19" s="33"/>
      <c r="Y19" s="33">
        <f>IF(Ruimtestaat[[#This Row],[Frequentie weekend]]&gt;0,VALUE(LEFT(X19,1))*Q19,0)</f>
        <v>0</v>
      </c>
      <c r="Z19" s="33">
        <f>IF($Y19&gt;0,VLOOKUP($J19,Ruimtegroepen[],3,FALSE)*VLOOKUP($K19,Vloersoorten[],3,FALSE)*VLOOKUP($X19,Frequenties[],3,FALSE)*VLOOKUP(#REF!,Locaties[],3,FALSE),0)</f>
        <v>0</v>
      </c>
      <c r="AA19" s="33"/>
      <c r="AB19" s="33"/>
      <c r="AC19" s="33">
        <f>Ruimtestaat[[#This Row],[uren / jaar weekend]]*Tariefsopbouw!$D$40</f>
        <v>0</v>
      </c>
      <c r="AD19" s="88">
        <f>Ruimtestaat[[#This Row],[Prest. (m2 /jaar) weekend]]+Ruimtestaat[[#This Row],[Prest. (m2 /jaar) werkdagen]]</f>
        <v>11334</v>
      </c>
      <c r="AE19" s="88">
        <f>Ruimtestaat[[#This Row],[uren / jaar weekend]]+Ruimtestaat[[#This Row],[uren / jaar werkdagen]]</f>
        <v>0</v>
      </c>
      <c r="AF19" s="89">
        <f>Ruimtestaat[[#This Row],[kosten / jaar weekend]]+Ruimtestaat[[#This Row],[kosten / jaar werkdagen]]</f>
        <v>0</v>
      </c>
      <c r="AG19" s="114"/>
      <c r="HK19" s="87"/>
    </row>
    <row r="20" spans="1:219" ht="15" customHeight="1">
      <c r="A20" s="129">
        <v>1</v>
      </c>
      <c r="B20" s="21" t="str">
        <f>VLOOKUP(Ruimtestaat[[#This Row],[Code]],Locaties[#All],2,FALSE)</f>
        <v>PXC Aalderinkshoek</v>
      </c>
      <c r="C20" s="21" t="str">
        <f>VLOOKUP(Ruimtestaat[[#This Row],[Code]],Locaties[#All],4,FALSE)</f>
        <v>Cesar Frankstraat 4</v>
      </c>
      <c r="D20" s="21" t="str">
        <f>VLOOKUP(Ruimtestaat[[#This Row],[Code]],Locaties[#All],5,FALSE)</f>
        <v>7604 JG</v>
      </c>
      <c r="E20" s="200" t="str">
        <f>VLOOKUP(Ruimtestaat[[#This Row],[Code]],Locaties[#All],6,FALSE)</f>
        <v>Almelo</v>
      </c>
      <c r="F20" s="244"/>
      <c r="G20" s="215" t="s">
        <v>444</v>
      </c>
      <c r="H20" s="261" t="s">
        <v>468</v>
      </c>
      <c r="I20" s="244" t="s">
        <v>469</v>
      </c>
      <c r="J20" s="215">
        <v>6</v>
      </c>
      <c r="K20" s="200" t="s">
        <v>110</v>
      </c>
      <c r="L20" s="200" t="s">
        <v>132</v>
      </c>
      <c r="M20" s="213">
        <v>18.12</v>
      </c>
      <c r="N20" s="213"/>
      <c r="O20" s="243" t="str">
        <f>VLOOKUP(Ruimtestaat[[#This Row],[Ruimte code]],Ruimtegroepen[#All],4,FALSE)</f>
        <v>V  (Verkeersruimte)</v>
      </c>
      <c r="P20" s="214"/>
      <c r="Q20" s="215">
        <v>40</v>
      </c>
      <c r="R20" s="215" t="s">
        <v>2</v>
      </c>
      <c r="S20" s="215">
        <f>IF(R20&gt;0,IF(RIGHT(Ruimtestaat[[#This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" s="215">
        <f>IF(S20&gt;0,VLOOKUP($J20,Ruimtegroepen[],3,FALSE)*VLOOKUP($K20,Vloersoorten[],3,FALSE)*VLOOKUP($R20,Frequenties[],3,FALSE)*VLOOKUP($A20,Locaties[],3,FALSE),0)</f>
        <v>0</v>
      </c>
      <c r="U20" s="215">
        <f>Ruimtestaat[[#This Row],[Uitvoeringen werkdagen]]*Ruimtestaat[[#This Row],[Oppervlak (netto)]]</f>
        <v>3624</v>
      </c>
      <c r="V20" s="259">
        <f>IF(T20&gt;0,Ruimtestaat[[#This Row],[Prest. (m2 /jaar) werkdagen]]/Ruimtestaat[[#This Row],[Norm (m2/uur) werkdagen]],0)</f>
        <v>0</v>
      </c>
      <c r="W20" s="260">
        <f>Ruimtestaat[[#This Row],[uren / jaar werkdagen]]*Tariefsopbouw!$D$38</f>
        <v>0</v>
      </c>
      <c r="X20" s="33"/>
      <c r="Y20" s="33">
        <f>IF(Ruimtestaat[[#This Row],[Frequentie weekend]]&gt;0,VALUE(LEFT(X20,1))*Q20,0)</f>
        <v>0</v>
      </c>
      <c r="Z20" s="33">
        <f>IF($Y20&gt;0,VLOOKUP($J20,Ruimtegroepen[],3,FALSE)*VLOOKUP($K20,Vloersoorten[],3,FALSE)*VLOOKUP($X20,Frequenties[],3,FALSE)*VLOOKUP(#REF!,Locaties[],3,FALSE),0)</f>
        <v>0</v>
      </c>
      <c r="AA20" s="33"/>
      <c r="AB20" s="33"/>
      <c r="AC20" s="33">
        <f>Ruimtestaat[[#This Row],[uren / jaar weekend]]*Tariefsopbouw!$D$40</f>
        <v>0</v>
      </c>
      <c r="AD20" s="88">
        <f>Ruimtestaat[[#This Row],[Prest. (m2 /jaar) weekend]]+Ruimtestaat[[#This Row],[Prest. (m2 /jaar) werkdagen]]</f>
        <v>3624</v>
      </c>
      <c r="AE20" s="88">
        <f>Ruimtestaat[[#This Row],[uren / jaar weekend]]+Ruimtestaat[[#This Row],[uren / jaar werkdagen]]</f>
        <v>0</v>
      </c>
      <c r="AF20" s="89">
        <f>Ruimtestaat[[#This Row],[kosten / jaar weekend]]+Ruimtestaat[[#This Row],[kosten / jaar werkdagen]]</f>
        <v>0</v>
      </c>
      <c r="AG20" s="114"/>
      <c r="HK20" s="87"/>
    </row>
    <row r="21" spans="1:219" ht="15" customHeight="1">
      <c r="A21" s="129">
        <v>1</v>
      </c>
      <c r="B21" s="21" t="str">
        <f>VLOOKUP(Ruimtestaat[[#This Row],[Code]],Locaties[#All],2,FALSE)</f>
        <v>PXC Aalderinkshoek</v>
      </c>
      <c r="C21" s="21" t="str">
        <f>VLOOKUP(Ruimtestaat[[#This Row],[Code]],Locaties[#All],4,FALSE)</f>
        <v>Cesar Frankstraat 4</v>
      </c>
      <c r="D21" s="21" t="str">
        <f>VLOOKUP(Ruimtestaat[[#This Row],[Code]],Locaties[#All],5,FALSE)</f>
        <v>7604 JG</v>
      </c>
      <c r="E21" s="200" t="str">
        <f>VLOOKUP(Ruimtestaat[[#This Row],[Code]],Locaties[#All],6,FALSE)</f>
        <v>Almelo</v>
      </c>
      <c r="F21" s="244"/>
      <c r="G21" s="215" t="s">
        <v>444</v>
      </c>
      <c r="H21" s="261" t="s">
        <v>470</v>
      </c>
      <c r="I21" s="244" t="s">
        <v>471</v>
      </c>
      <c r="J21" s="200">
        <v>16</v>
      </c>
      <c r="K21" s="200" t="s">
        <v>110</v>
      </c>
      <c r="L21" s="200" t="s">
        <v>132</v>
      </c>
      <c r="M21" s="213">
        <v>115.97</v>
      </c>
      <c r="N21" s="213"/>
      <c r="O21" s="243" t="str">
        <f>VLOOKUP(Ruimtestaat[[#This Row],[Ruimte code]],Ruimtegroepen[#All],4,FALSE)</f>
        <v>L  (Lesruimte)</v>
      </c>
      <c r="P21" s="214"/>
      <c r="Q21" s="215">
        <v>40</v>
      </c>
      <c r="R21" s="215" t="s">
        <v>2</v>
      </c>
      <c r="S21" s="215">
        <f>IF(R21&gt;0,IF(RIGHT(Ruimtestaat[[#This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" s="215">
        <f>IF(S21&gt;0,VLOOKUP($J21,Ruimtegroepen[],3,FALSE)*VLOOKUP($K21,Vloersoorten[],3,FALSE)*VLOOKUP($R21,Frequenties[],3,FALSE)*VLOOKUP($A21,Locaties[],3,FALSE),0)</f>
        <v>0</v>
      </c>
      <c r="U21" s="215">
        <f>Ruimtestaat[[#This Row],[Uitvoeringen werkdagen]]*Ruimtestaat[[#This Row],[Oppervlak (netto)]]</f>
        <v>23194</v>
      </c>
      <c r="V21" s="259">
        <f>IF(T21&gt;0,Ruimtestaat[[#This Row],[Prest. (m2 /jaar) werkdagen]]/Ruimtestaat[[#This Row],[Norm (m2/uur) werkdagen]],0)</f>
        <v>0</v>
      </c>
      <c r="W21" s="260">
        <f>Ruimtestaat[[#This Row],[uren / jaar werkdagen]]*Tariefsopbouw!$D$38</f>
        <v>0</v>
      </c>
      <c r="X21" s="33"/>
      <c r="Y21" s="33">
        <f>IF(Ruimtestaat[[#This Row],[Frequentie weekend]]&gt;0,VALUE(LEFT(X21,1))*Q21,0)</f>
        <v>0</v>
      </c>
      <c r="Z21" s="33">
        <f>IF($Y21&gt;0,VLOOKUP($J21,Ruimtegroepen[],3,FALSE)*VLOOKUP($K21,Vloersoorten[],3,FALSE)*VLOOKUP($X21,Frequenties[],3,FALSE)*VLOOKUP(#REF!,Locaties[],3,FALSE),0)</f>
        <v>0</v>
      </c>
      <c r="AA21" s="33"/>
      <c r="AB21" s="33"/>
      <c r="AC21" s="33">
        <f>Ruimtestaat[[#This Row],[uren / jaar weekend]]*Tariefsopbouw!$D$40</f>
        <v>0</v>
      </c>
      <c r="AD21" s="88">
        <f>Ruimtestaat[[#This Row],[Prest. (m2 /jaar) weekend]]+Ruimtestaat[[#This Row],[Prest. (m2 /jaar) werkdagen]]</f>
        <v>23194</v>
      </c>
      <c r="AE21" s="88">
        <f>Ruimtestaat[[#This Row],[uren / jaar weekend]]+Ruimtestaat[[#This Row],[uren / jaar werkdagen]]</f>
        <v>0</v>
      </c>
      <c r="AF21" s="89">
        <f>Ruimtestaat[[#This Row],[kosten / jaar weekend]]+Ruimtestaat[[#This Row],[kosten / jaar werkdagen]]</f>
        <v>0</v>
      </c>
      <c r="AG21" s="114"/>
      <c r="HK21" s="87"/>
    </row>
    <row r="22" spans="1:219" ht="15" customHeight="1">
      <c r="A22" s="129">
        <v>1</v>
      </c>
      <c r="B22" s="21" t="str">
        <f>VLOOKUP(Ruimtestaat[[#This Row],[Code]],Locaties[#All],2,FALSE)</f>
        <v>PXC Aalderinkshoek</v>
      </c>
      <c r="C22" s="21" t="str">
        <f>VLOOKUP(Ruimtestaat[[#This Row],[Code]],Locaties[#All],4,FALSE)</f>
        <v>Cesar Frankstraat 4</v>
      </c>
      <c r="D22" s="21" t="str">
        <f>VLOOKUP(Ruimtestaat[[#This Row],[Code]],Locaties[#All],5,FALSE)</f>
        <v>7604 JG</v>
      </c>
      <c r="E22" s="200" t="str">
        <f>VLOOKUP(Ruimtestaat[[#This Row],[Code]],Locaties[#All],6,FALSE)</f>
        <v>Almelo</v>
      </c>
      <c r="F22" s="244"/>
      <c r="G22" s="215" t="s">
        <v>444</v>
      </c>
      <c r="H22" s="200" t="s">
        <v>472</v>
      </c>
      <c r="I22" s="244" t="s">
        <v>447</v>
      </c>
      <c r="J22" s="215">
        <v>1</v>
      </c>
      <c r="K22" s="215" t="s">
        <v>110</v>
      </c>
      <c r="L22" s="200" t="s">
        <v>132</v>
      </c>
      <c r="M22" s="213">
        <v>19.48</v>
      </c>
      <c r="N22" s="213"/>
      <c r="O22" s="243" t="str">
        <f>VLOOKUP(Ruimtestaat[[#This Row],[Ruimte code]],Ruimtegroepen[#All],4,FALSE)</f>
        <v>V  (Verkeersruimte)</v>
      </c>
      <c r="P22" s="214"/>
      <c r="Q22" s="215">
        <v>40</v>
      </c>
      <c r="R22" s="215" t="s">
        <v>16</v>
      </c>
      <c r="S22" s="215">
        <f>IF(R22&gt;0,IF(RIGHT(Ruimtestaat[[#This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2" s="215">
        <f>IF(S22&gt;0,VLOOKUP($J22,Ruimtegroepen[],3,FALSE)*VLOOKUP($K22,Vloersoorten[],3,FALSE)*VLOOKUP($R22,Frequenties[],3,FALSE)*VLOOKUP($A22,Locaties[],3,FALSE),0)</f>
        <v>0</v>
      </c>
      <c r="U22" s="215">
        <f>Ruimtestaat[[#This Row],[Uitvoeringen werkdagen]]*Ruimtestaat[[#This Row],[Oppervlak (netto)]]</f>
        <v>233.76</v>
      </c>
      <c r="V22" s="259">
        <f>IF(T22&gt;0,Ruimtestaat[[#This Row],[Prest. (m2 /jaar) werkdagen]]/Ruimtestaat[[#This Row],[Norm (m2/uur) werkdagen]],0)</f>
        <v>0</v>
      </c>
      <c r="W22" s="260">
        <f>Ruimtestaat[[#This Row],[uren / jaar werkdagen]]*Tariefsopbouw!$D$38</f>
        <v>0</v>
      </c>
      <c r="X22" s="33"/>
      <c r="Y22" s="33">
        <f>IF(Ruimtestaat[[#This Row],[Frequentie weekend]]&gt;0,VALUE(LEFT(X22,1))*Q22,0)</f>
        <v>0</v>
      </c>
      <c r="Z22" s="33">
        <f>IF($Y22&gt;0,VLOOKUP($J22,Ruimtegroepen[],3,FALSE)*VLOOKUP($K22,Vloersoorten[],3,FALSE)*VLOOKUP($X22,Frequenties[],3,FALSE)*VLOOKUP(#REF!,Locaties[],3,FALSE),0)</f>
        <v>0</v>
      </c>
      <c r="AA22" s="33"/>
      <c r="AB22" s="33"/>
      <c r="AC22" s="33">
        <f>Ruimtestaat[[#This Row],[uren / jaar weekend]]*Tariefsopbouw!$D$40</f>
        <v>0</v>
      </c>
      <c r="AD22" s="88">
        <f>Ruimtestaat[[#This Row],[Prest. (m2 /jaar) weekend]]+Ruimtestaat[[#This Row],[Prest. (m2 /jaar) werkdagen]]</f>
        <v>233.76</v>
      </c>
      <c r="AE22" s="88">
        <f>Ruimtestaat[[#This Row],[uren / jaar weekend]]+Ruimtestaat[[#This Row],[uren / jaar werkdagen]]</f>
        <v>0</v>
      </c>
      <c r="AF22" s="89">
        <f>Ruimtestaat[[#This Row],[kosten / jaar weekend]]+Ruimtestaat[[#This Row],[kosten / jaar werkdagen]]</f>
        <v>0</v>
      </c>
      <c r="AG22" s="114"/>
      <c r="HK22" s="87"/>
    </row>
    <row r="23" spans="1:219" ht="15" customHeight="1">
      <c r="A23" s="129">
        <v>1</v>
      </c>
      <c r="B23" s="21" t="str">
        <f>VLOOKUP(Ruimtestaat[[#This Row],[Code]],Locaties[#All],2,FALSE)</f>
        <v>PXC Aalderinkshoek</v>
      </c>
      <c r="C23" s="21" t="str">
        <f>VLOOKUP(Ruimtestaat[[#This Row],[Code]],Locaties[#All],4,FALSE)</f>
        <v>Cesar Frankstraat 4</v>
      </c>
      <c r="D23" s="21" t="str">
        <f>VLOOKUP(Ruimtestaat[[#This Row],[Code]],Locaties[#All],5,FALSE)</f>
        <v>7604 JG</v>
      </c>
      <c r="E23" s="200" t="str">
        <f>VLOOKUP(Ruimtestaat[[#This Row],[Code]],Locaties[#All],6,FALSE)</f>
        <v>Almelo</v>
      </c>
      <c r="F23" s="244"/>
      <c r="G23" s="215" t="s">
        <v>444</v>
      </c>
      <c r="H23" s="200" t="s">
        <v>473</v>
      </c>
      <c r="I23" s="244" t="s">
        <v>447</v>
      </c>
      <c r="J23" s="200">
        <v>1</v>
      </c>
      <c r="K23" s="215" t="s">
        <v>110</v>
      </c>
      <c r="L23" s="200" t="s">
        <v>132</v>
      </c>
      <c r="M23" s="213">
        <v>5.72</v>
      </c>
      <c r="N23" s="213"/>
      <c r="O23" s="243" t="str">
        <f>VLOOKUP(Ruimtestaat[[#This Row],[Ruimte code]],Ruimtegroepen[#All],4,FALSE)</f>
        <v>V  (Verkeersruimte)</v>
      </c>
      <c r="P23" s="214"/>
      <c r="Q23" s="215">
        <v>40</v>
      </c>
      <c r="R23" s="215" t="s">
        <v>16</v>
      </c>
      <c r="S23" s="215">
        <f>IF(R23&gt;0,IF(RIGHT(Ruimtestaat[[#This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3" s="215">
        <f>IF(S23&gt;0,VLOOKUP($J23,Ruimtegroepen[],3,FALSE)*VLOOKUP($K23,Vloersoorten[],3,FALSE)*VLOOKUP($R23,Frequenties[],3,FALSE)*VLOOKUP($A23,Locaties[],3,FALSE),0)</f>
        <v>0</v>
      </c>
      <c r="U23" s="215">
        <f>Ruimtestaat[[#This Row],[Uitvoeringen werkdagen]]*Ruimtestaat[[#This Row],[Oppervlak (netto)]]</f>
        <v>68.64</v>
      </c>
      <c r="V23" s="259">
        <f>IF(T23&gt;0,Ruimtestaat[[#This Row],[Prest. (m2 /jaar) werkdagen]]/Ruimtestaat[[#This Row],[Norm (m2/uur) werkdagen]],0)</f>
        <v>0</v>
      </c>
      <c r="W23" s="260">
        <f>Ruimtestaat[[#This Row],[uren / jaar werkdagen]]*Tariefsopbouw!$D$38</f>
        <v>0</v>
      </c>
      <c r="X23" s="33"/>
      <c r="Y23" s="33">
        <f>IF(Ruimtestaat[[#This Row],[Frequentie weekend]]&gt;0,VALUE(LEFT(X23,1))*Q23,0)</f>
        <v>0</v>
      </c>
      <c r="Z23" s="33">
        <f>IF($Y23&gt;0,VLOOKUP($J23,Ruimtegroepen[],3,FALSE)*VLOOKUP($K23,Vloersoorten[],3,FALSE)*VLOOKUP($X23,Frequenties[],3,FALSE)*VLOOKUP(#REF!,Locaties[],3,FALSE),0)</f>
        <v>0</v>
      </c>
      <c r="AA23" s="33"/>
      <c r="AB23" s="33"/>
      <c r="AC23" s="33">
        <f>Ruimtestaat[[#This Row],[uren / jaar weekend]]*Tariefsopbouw!$D$40</f>
        <v>0</v>
      </c>
      <c r="AD23" s="88">
        <f>Ruimtestaat[[#This Row],[Prest. (m2 /jaar) weekend]]+Ruimtestaat[[#This Row],[Prest. (m2 /jaar) werkdagen]]</f>
        <v>68.64</v>
      </c>
      <c r="AE23" s="88">
        <f>Ruimtestaat[[#This Row],[uren / jaar weekend]]+Ruimtestaat[[#This Row],[uren / jaar werkdagen]]</f>
        <v>0</v>
      </c>
      <c r="AF23" s="89">
        <f>Ruimtestaat[[#This Row],[kosten / jaar weekend]]+Ruimtestaat[[#This Row],[kosten / jaar werkdagen]]</f>
        <v>0</v>
      </c>
      <c r="AG23" s="114"/>
      <c r="HK23" s="87"/>
    </row>
    <row r="24" spans="1:219" ht="15" customHeight="1">
      <c r="A24" s="129">
        <v>1</v>
      </c>
      <c r="B24" s="21" t="str">
        <f>VLOOKUP(Ruimtestaat[[#This Row],[Code]],Locaties[#All],2,FALSE)</f>
        <v>PXC Aalderinkshoek</v>
      </c>
      <c r="C24" s="21" t="str">
        <f>VLOOKUP(Ruimtestaat[[#This Row],[Code]],Locaties[#All],4,FALSE)</f>
        <v>Cesar Frankstraat 4</v>
      </c>
      <c r="D24" s="21" t="str">
        <f>VLOOKUP(Ruimtestaat[[#This Row],[Code]],Locaties[#All],5,FALSE)</f>
        <v>7604 JG</v>
      </c>
      <c r="E24" s="200" t="str">
        <f>VLOOKUP(Ruimtestaat[[#This Row],[Code]],Locaties[#All],6,FALSE)</f>
        <v>Almelo</v>
      </c>
      <c r="F24" s="244"/>
      <c r="G24" s="215" t="s">
        <v>444</v>
      </c>
      <c r="H24" s="200" t="s">
        <v>474</v>
      </c>
      <c r="I24" s="244" t="s">
        <v>447</v>
      </c>
      <c r="J24" s="200">
        <v>1</v>
      </c>
      <c r="K24" s="215" t="s">
        <v>110</v>
      </c>
      <c r="L24" s="200" t="s">
        <v>132</v>
      </c>
      <c r="M24" s="213">
        <v>9.1</v>
      </c>
      <c r="N24" s="213"/>
      <c r="O24" s="243" t="str">
        <f>VLOOKUP(Ruimtestaat[[#This Row],[Ruimte code]],Ruimtegroepen[#All],4,FALSE)</f>
        <v>V  (Verkeersruimte)</v>
      </c>
      <c r="P24" s="214"/>
      <c r="Q24" s="215">
        <v>40</v>
      </c>
      <c r="R24" s="215" t="s">
        <v>16</v>
      </c>
      <c r="S24" s="215">
        <f>IF(R24&gt;0,IF(RIGHT(Ruimtestaat[[#This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4" s="215">
        <f>IF(S24&gt;0,VLOOKUP($J24,Ruimtegroepen[],3,FALSE)*VLOOKUP($K24,Vloersoorten[],3,FALSE)*VLOOKUP($R24,Frequenties[],3,FALSE)*VLOOKUP($A24,Locaties[],3,FALSE),0)</f>
        <v>0</v>
      </c>
      <c r="U24" s="215">
        <f>Ruimtestaat[[#This Row],[Uitvoeringen werkdagen]]*Ruimtestaat[[#This Row],[Oppervlak (netto)]]</f>
        <v>109.19999999999999</v>
      </c>
      <c r="V24" s="259">
        <f>IF(T24&gt;0,Ruimtestaat[[#This Row],[Prest. (m2 /jaar) werkdagen]]/Ruimtestaat[[#This Row],[Norm (m2/uur) werkdagen]],0)</f>
        <v>0</v>
      </c>
      <c r="W24" s="260">
        <f>Ruimtestaat[[#This Row],[uren / jaar werkdagen]]*Tariefsopbouw!$D$38</f>
        <v>0</v>
      </c>
      <c r="X24" s="33"/>
      <c r="Y24" s="33">
        <f>IF(Ruimtestaat[[#This Row],[Frequentie weekend]]&gt;0,VALUE(LEFT(X24,1))*Q24,0)</f>
        <v>0</v>
      </c>
      <c r="Z24" s="33">
        <f>IF($Y24&gt;0,VLOOKUP($J24,Ruimtegroepen[],3,FALSE)*VLOOKUP($K24,Vloersoorten[],3,FALSE)*VLOOKUP($X24,Frequenties[],3,FALSE)*VLOOKUP(#REF!,Locaties[],3,FALSE),0)</f>
        <v>0</v>
      </c>
      <c r="AA24" s="33"/>
      <c r="AB24" s="33"/>
      <c r="AC24" s="33">
        <f>Ruimtestaat[[#This Row],[uren / jaar weekend]]*Tariefsopbouw!$D$40</f>
        <v>0</v>
      </c>
      <c r="AD24" s="88">
        <f>Ruimtestaat[[#This Row],[Prest. (m2 /jaar) weekend]]+Ruimtestaat[[#This Row],[Prest. (m2 /jaar) werkdagen]]</f>
        <v>109.19999999999999</v>
      </c>
      <c r="AE24" s="88">
        <f>Ruimtestaat[[#This Row],[uren / jaar weekend]]+Ruimtestaat[[#This Row],[uren / jaar werkdagen]]</f>
        <v>0</v>
      </c>
      <c r="AF24" s="89">
        <f>Ruimtestaat[[#This Row],[kosten / jaar weekend]]+Ruimtestaat[[#This Row],[kosten / jaar werkdagen]]</f>
        <v>0</v>
      </c>
      <c r="AG24" s="114"/>
      <c r="HK24" s="87"/>
    </row>
    <row r="25" spans="1:219" ht="15" customHeight="1">
      <c r="A25" s="129">
        <v>1</v>
      </c>
      <c r="B25" s="21" t="str">
        <f>VLOOKUP(Ruimtestaat[[#This Row],[Code]],Locaties[#All],2,FALSE)</f>
        <v>PXC Aalderinkshoek</v>
      </c>
      <c r="C25" s="21" t="str">
        <f>VLOOKUP(Ruimtestaat[[#This Row],[Code]],Locaties[#All],4,FALSE)</f>
        <v>Cesar Frankstraat 4</v>
      </c>
      <c r="D25" s="21" t="str">
        <f>VLOOKUP(Ruimtestaat[[#This Row],[Code]],Locaties[#All],5,FALSE)</f>
        <v>7604 JG</v>
      </c>
      <c r="E25" s="200" t="str">
        <f>VLOOKUP(Ruimtestaat[[#This Row],[Code]],Locaties[#All],6,FALSE)</f>
        <v>Almelo</v>
      </c>
      <c r="F25" s="244"/>
      <c r="G25" s="215" t="s">
        <v>444</v>
      </c>
      <c r="H25" s="200" t="s">
        <v>475</v>
      </c>
      <c r="I25" s="244" t="s">
        <v>447</v>
      </c>
      <c r="J25" s="200">
        <v>1</v>
      </c>
      <c r="K25" s="215" t="s">
        <v>110</v>
      </c>
      <c r="L25" s="200" t="s">
        <v>132</v>
      </c>
      <c r="M25" s="213">
        <v>3.67</v>
      </c>
      <c r="N25" s="213"/>
      <c r="O25" s="243" t="str">
        <f>VLOOKUP(Ruimtestaat[[#This Row],[Ruimte code]],Ruimtegroepen[#All],4,FALSE)</f>
        <v>V  (Verkeersruimte)</v>
      </c>
      <c r="P25" s="214"/>
      <c r="Q25" s="215">
        <v>40</v>
      </c>
      <c r="R25" s="215" t="s">
        <v>16</v>
      </c>
      <c r="S25" s="215">
        <f>IF(R25&gt;0,IF(RIGHT(Ruimtestaat[[#This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5" s="215">
        <f>IF(S25&gt;0,VLOOKUP($J25,Ruimtegroepen[],3,FALSE)*VLOOKUP($K25,Vloersoorten[],3,FALSE)*VLOOKUP($R25,Frequenties[],3,FALSE)*VLOOKUP($A25,Locaties[],3,FALSE),0)</f>
        <v>0</v>
      </c>
      <c r="U25" s="215">
        <f>Ruimtestaat[[#This Row],[Uitvoeringen werkdagen]]*Ruimtestaat[[#This Row],[Oppervlak (netto)]]</f>
        <v>44.04</v>
      </c>
      <c r="V25" s="259">
        <f>IF(T25&gt;0,Ruimtestaat[[#This Row],[Prest. (m2 /jaar) werkdagen]]/Ruimtestaat[[#This Row],[Norm (m2/uur) werkdagen]],0)</f>
        <v>0</v>
      </c>
      <c r="W25" s="260">
        <f>Ruimtestaat[[#This Row],[uren / jaar werkdagen]]*Tariefsopbouw!$D$38</f>
        <v>0</v>
      </c>
      <c r="X25" s="33"/>
      <c r="Y25" s="33">
        <f>IF(Ruimtestaat[[#This Row],[Frequentie weekend]]&gt;0,VALUE(LEFT(X25,1))*Q25,0)</f>
        <v>0</v>
      </c>
      <c r="Z25" s="33">
        <f>IF($Y25&gt;0,VLOOKUP($J25,Ruimtegroepen[],3,FALSE)*VLOOKUP($K25,Vloersoorten[],3,FALSE)*VLOOKUP($X25,Frequenties[],3,FALSE)*VLOOKUP(#REF!,Locaties[],3,FALSE),0)</f>
        <v>0</v>
      </c>
      <c r="AA25" s="33"/>
      <c r="AB25" s="33"/>
      <c r="AC25" s="33">
        <f>Ruimtestaat[[#This Row],[uren / jaar weekend]]*Tariefsopbouw!$D$40</f>
        <v>0</v>
      </c>
      <c r="AD25" s="88">
        <f>Ruimtestaat[[#This Row],[Prest. (m2 /jaar) weekend]]+Ruimtestaat[[#This Row],[Prest. (m2 /jaar) werkdagen]]</f>
        <v>44.04</v>
      </c>
      <c r="AE25" s="88">
        <f>Ruimtestaat[[#This Row],[uren / jaar weekend]]+Ruimtestaat[[#This Row],[uren / jaar werkdagen]]</f>
        <v>0</v>
      </c>
      <c r="AF25" s="89">
        <f>Ruimtestaat[[#This Row],[kosten / jaar weekend]]+Ruimtestaat[[#This Row],[kosten / jaar werkdagen]]</f>
        <v>0</v>
      </c>
      <c r="AG25" s="114"/>
      <c r="HK25" s="87"/>
    </row>
    <row r="26" spans="1:219" ht="15" customHeight="1">
      <c r="A26" s="129">
        <v>1</v>
      </c>
      <c r="B26" s="21" t="str">
        <f>VLOOKUP(Ruimtestaat[[#This Row],[Code]],Locaties[#All],2,FALSE)</f>
        <v>PXC Aalderinkshoek</v>
      </c>
      <c r="C26" s="21" t="str">
        <f>VLOOKUP(Ruimtestaat[[#This Row],[Code]],Locaties[#All],4,FALSE)</f>
        <v>Cesar Frankstraat 4</v>
      </c>
      <c r="D26" s="21" t="str">
        <f>VLOOKUP(Ruimtestaat[[#This Row],[Code]],Locaties[#All],5,FALSE)</f>
        <v>7604 JG</v>
      </c>
      <c r="E26" s="200" t="str">
        <f>VLOOKUP(Ruimtestaat[[#This Row],[Code]],Locaties[#All],6,FALSE)</f>
        <v>Almelo</v>
      </c>
      <c r="F26" s="244"/>
      <c r="G26" s="215" t="s">
        <v>444</v>
      </c>
      <c r="H26" s="200" t="s">
        <v>476</v>
      </c>
      <c r="I26" s="244" t="s">
        <v>459</v>
      </c>
      <c r="J26" s="200">
        <v>21</v>
      </c>
      <c r="K26" s="200"/>
      <c r="L26" s="200"/>
      <c r="M26" s="213"/>
      <c r="N26" s="213">
        <v>9.15</v>
      </c>
      <c r="O26" s="243" t="str">
        <f>VLOOKUP(Ruimtestaat[[#This Row],[Ruimte code]],Ruimtegroepen[#All],4,FALSE)</f>
        <v>Niet in onderhoud</v>
      </c>
      <c r="P26" s="214"/>
      <c r="Q26" s="215"/>
      <c r="R26" s="215"/>
      <c r="S26" s="215">
        <f>IF(R26&gt;0,IF(RIGHT(Ruimtestaat[[#This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6" s="215">
        <f>IF(S26&gt;0,VLOOKUP($J26,Ruimtegroepen[],3,FALSE)*VLOOKUP($K26,Vloersoorten[],3,FALSE)*VLOOKUP($R26,Frequenties[],3,FALSE)*VLOOKUP($A26,Locaties[],3,FALSE),0)</f>
        <v>0</v>
      </c>
      <c r="U26" s="215">
        <f>Ruimtestaat[[#This Row],[Uitvoeringen werkdagen]]*Ruimtestaat[[#This Row],[Oppervlak (netto)]]</f>
        <v>0</v>
      </c>
      <c r="V26" s="259">
        <f>IF(T26&gt;0,Ruimtestaat[[#This Row],[Prest. (m2 /jaar) werkdagen]]/Ruimtestaat[[#This Row],[Norm (m2/uur) werkdagen]],0)</f>
        <v>0</v>
      </c>
      <c r="W26" s="260">
        <f>Ruimtestaat[[#This Row],[uren / jaar werkdagen]]*Tariefsopbouw!$D$38</f>
        <v>0</v>
      </c>
      <c r="X26" s="33"/>
      <c r="Y26" s="33">
        <f>IF(Ruimtestaat[[#This Row],[Frequentie weekend]]&gt;0,VALUE(LEFT(X26,1))*Q26,0)</f>
        <v>0</v>
      </c>
      <c r="Z26" s="33">
        <f>IF($Y26&gt;0,VLOOKUP($J26,Ruimtegroepen[],3,FALSE)*VLOOKUP($K26,Vloersoorten[],3,FALSE)*VLOOKUP($X26,Frequenties[],3,FALSE)*VLOOKUP(#REF!,Locaties[],3,FALSE),0)</f>
        <v>0</v>
      </c>
      <c r="AA26" s="33"/>
      <c r="AB26" s="33"/>
      <c r="AC26" s="33">
        <f>Ruimtestaat[[#This Row],[uren / jaar weekend]]*Tariefsopbouw!$D$40</f>
        <v>0</v>
      </c>
      <c r="AD26" s="88">
        <f>Ruimtestaat[[#This Row],[Prest. (m2 /jaar) weekend]]+Ruimtestaat[[#This Row],[Prest. (m2 /jaar) werkdagen]]</f>
        <v>0</v>
      </c>
      <c r="AE26" s="88">
        <f>Ruimtestaat[[#This Row],[uren / jaar weekend]]+Ruimtestaat[[#This Row],[uren / jaar werkdagen]]</f>
        <v>0</v>
      </c>
      <c r="AF26" s="89">
        <f>Ruimtestaat[[#This Row],[kosten / jaar weekend]]+Ruimtestaat[[#This Row],[kosten / jaar werkdagen]]</f>
        <v>0</v>
      </c>
      <c r="AG26" s="114"/>
      <c r="HK26" s="87"/>
    </row>
    <row r="27" spans="1:219" ht="15" customHeight="1">
      <c r="A27" s="129">
        <v>1</v>
      </c>
      <c r="B27" s="21" t="str">
        <f>VLOOKUP(Ruimtestaat[[#This Row],[Code]],Locaties[#All],2,FALSE)</f>
        <v>PXC Aalderinkshoek</v>
      </c>
      <c r="C27" s="21" t="str">
        <f>VLOOKUP(Ruimtestaat[[#This Row],[Code]],Locaties[#All],4,FALSE)</f>
        <v>Cesar Frankstraat 4</v>
      </c>
      <c r="D27" s="21" t="str">
        <f>VLOOKUP(Ruimtestaat[[#This Row],[Code]],Locaties[#All],5,FALSE)</f>
        <v>7604 JG</v>
      </c>
      <c r="E27" s="200" t="str">
        <f>VLOOKUP(Ruimtestaat[[#This Row],[Code]],Locaties[#All],6,FALSE)</f>
        <v>Almelo</v>
      </c>
      <c r="F27" s="244"/>
      <c r="G27" s="215" t="s">
        <v>444</v>
      </c>
      <c r="H27" s="200" t="s">
        <v>477</v>
      </c>
      <c r="I27" s="244" t="s">
        <v>455</v>
      </c>
      <c r="J27" s="200">
        <v>10</v>
      </c>
      <c r="K27" s="200" t="s">
        <v>111</v>
      </c>
      <c r="L27" s="200" t="s">
        <v>128</v>
      </c>
      <c r="M27" s="213">
        <v>7.28</v>
      </c>
      <c r="N27" s="213"/>
      <c r="O27" s="243" t="str">
        <f>VLOOKUP(Ruimtestaat[[#This Row],[Ruimte code]],Ruimtegroepen[#All],4,FALSE)</f>
        <v>V  (Verkeersruimte)</v>
      </c>
      <c r="P27" s="214"/>
      <c r="Q27" s="215">
        <v>40</v>
      </c>
      <c r="R27" s="215" t="s">
        <v>2</v>
      </c>
      <c r="S27" s="215">
        <f>IF(R27&gt;0,IF(RIGHT(Ruimtestaat[[#This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" s="215">
        <f>IF(S27&gt;0,VLOOKUP($J27,Ruimtegroepen[],3,FALSE)*VLOOKUP($K27,Vloersoorten[],3,FALSE)*VLOOKUP($R27,Frequenties[],3,FALSE)*VLOOKUP($A27,Locaties[],3,FALSE),0)</f>
        <v>0</v>
      </c>
      <c r="U27" s="215">
        <f>Ruimtestaat[[#This Row],[Uitvoeringen werkdagen]]*Ruimtestaat[[#This Row],[Oppervlak (netto)]]</f>
        <v>1456</v>
      </c>
      <c r="V27" s="259">
        <f>IF(T27&gt;0,Ruimtestaat[[#This Row],[Prest. (m2 /jaar) werkdagen]]/Ruimtestaat[[#This Row],[Norm (m2/uur) werkdagen]],0)</f>
        <v>0</v>
      </c>
      <c r="W27" s="260">
        <f>Ruimtestaat[[#This Row],[uren / jaar werkdagen]]*Tariefsopbouw!$D$38</f>
        <v>0</v>
      </c>
      <c r="X27" s="33"/>
      <c r="Y27" s="33">
        <f>IF(Ruimtestaat[[#This Row],[Frequentie weekend]]&gt;0,VALUE(LEFT(X27,1))*Q27,0)</f>
        <v>0</v>
      </c>
      <c r="Z27" s="33">
        <f>IF($Y27&gt;0,VLOOKUP($J27,Ruimtegroepen[],3,FALSE)*VLOOKUP($K27,Vloersoorten[],3,FALSE)*VLOOKUP($X27,Frequenties[],3,FALSE)*VLOOKUP(#REF!,Locaties[],3,FALSE),0)</f>
        <v>0</v>
      </c>
      <c r="AA27" s="33"/>
      <c r="AB27" s="33"/>
      <c r="AC27" s="33">
        <f>Ruimtestaat[[#This Row],[uren / jaar weekend]]*Tariefsopbouw!$D$40</f>
        <v>0</v>
      </c>
      <c r="AD27" s="88">
        <f>Ruimtestaat[[#This Row],[Prest. (m2 /jaar) weekend]]+Ruimtestaat[[#This Row],[Prest. (m2 /jaar) werkdagen]]</f>
        <v>1456</v>
      </c>
      <c r="AE27" s="88">
        <f>Ruimtestaat[[#This Row],[uren / jaar weekend]]+Ruimtestaat[[#This Row],[uren / jaar werkdagen]]</f>
        <v>0</v>
      </c>
      <c r="AF27" s="89">
        <f>Ruimtestaat[[#This Row],[kosten / jaar weekend]]+Ruimtestaat[[#This Row],[kosten / jaar werkdagen]]</f>
        <v>0</v>
      </c>
      <c r="AG27" s="114"/>
      <c r="HK27" s="87"/>
    </row>
    <row r="28" spans="1:219" ht="15" customHeight="1">
      <c r="A28" s="129">
        <v>1</v>
      </c>
      <c r="B28" s="21" t="str">
        <f>VLOOKUP(Ruimtestaat[[#This Row],[Code]],Locaties[#All],2,FALSE)</f>
        <v>PXC Aalderinkshoek</v>
      </c>
      <c r="C28" s="21" t="str">
        <f>VLOOKUP(Ruimtestaat[[#This Row],[Code]],Locaties[#All],4,FALSE)</f>
        <v>Cesar Frankstraat 4</v>
      </c>
      <c r="D28" s="21" t="str">
        <f>VLOOKUP(Ruimtestaat[[#This Row],[Code]],Locaties[#All],5,FALSE)</f>
        <v>7604 JG</v>
      </c>
      <c r="E28" s="200" t="str">
        <f>VLOOKUP(Ruimtestaat[[#This Row],[Code]],Locaties[#All],6,FALSE)</f>
        <v>Almelo</v>
      </c>
      <c r="F28" s="244"/>
      <c r="G28" s="215" t="s">
        <v>444</v>
      </c>
      <c r="H28" s="200" t="s">
        <v>478</v>
      </c>
      <c r="I28" s="244" t="s">
        <v>479</v>
      </c>
      <c r="J28" s="200">
        <v>3</v>
      </c>
      <c r="K28" s="200" t="s">
        <v>110</v>
      </c>
      <c r="L28" s="200" t="s">
        <v>132</v>
      </c>
      <c r="M28" s="213">
        <v>12.38</v>
      </c>
      <c r="N28" s="213"/>
      <c r="O28" s="243" t="str">
        <f>VLOOKUP(Ruimtestaat[[#This Row],[Ruimte code]],Ruimtegroepen[#All],4,FALSE)</f>
        <v>V  (Verkeersruimte)</v>
      </c>
      <c r="P28" s="214"/>
      <c r="Q28" s="215">
        <v>40</v>
      </c>
      <c r="R28" s="215" t="s">
        <v>2</v>
      </c>
      <c r="S28" s="215">
        <f>IF(R28&gt;0,IF(RIGHT(Ruimtestaat[[#This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" s="215">
        <f>IF(S28&gt;0,VLOOKUP($J28,Ruimtegroepen[],3,FALSE)*VLOOKUP($K28,Vloersoorten[],3,FALSE)*VLOOKUP($R28,Frequenties[],3,FALSE)*VLOOKUP($A28,Locaties[],3,FALSE),0)</f>
        <v>0</v>
      </c>
      <c r="U28" s="215">
        <f>Ruimtestaat[[#This Row],[Uitvoeringen werkdagen]]*Ruimtestaat[[#This Row],[Oppervlak (netto)]]</f>
        <v>2476</v>
      </c>
      <c r="V28" s="259">
        <f>IF(T28&gt;0,Ruimtestaat[[#This Row],[Prest. (m2 /jaar) werkdagen]]/Ruimtestaat[[#This Row],[Norm (m2/uur) werkdagen]],0)</f>
        <v>0</v>
      </c>
      <c r="W28" s="260">
        <f>Ruimtestaat[[#This Row],[uren / jaar werkdagen]]*Tariefsopbouw!$D$38</f>
        <v>0</v>
      </c>
      <c r="X28" s="33"/>
      <c r="Y28" s="33">
        <f>IF(Ruimtestaat[[#This Row],[Frequentie weekend]]&gt;0,VALUE(LEFT(X28,1))*Q28,0)</f>
        <v>0</v>
      </c>
      <c r="Z28" s="33">
        <f>IF($Y28&gt;0,VLOOKUP($J28,Ruimtegroepen[],3,FALSE)*VLOOKUP($K28,Vloersoorten[],3,FALSE)*VLOOKUP($X28,Frequenties[],3,FALSE)*VLOOKUP(#REF!,Locaties[],3,FALSE),0)</f>
        <v>0</v>
      </c>
      <c r="AA28" s="33"/>
      <c r="AB28" s="33"/>
      <c r="AC28" s="33">
        <f>Ruimtestaat[[#This Row],[uren / jaar weekend]]*Tariefsopbouw!$D$40</f>
        <v>0</v>
      </c>
      <c r="AD28" s="88">
        <f>Ruimtestaat[[#This Row],[Prest. (m2 /jaar) weekend]]+Ruimtestaat[[#This Row],[Prest. (m2 /jaar) werkdagen]]</f>
        <v>2476</v>
      </c>
      <c r="AE28" s="88">
        <f>Ruimtestaat[[#This Row],[uren / jaar weekend]]+Ruimtestaat[[#This Row],[uren / jaar werkdagen]]</f>
        <v>0</v>
      </c>
      <c r="AF28" s="89">
        <f>Ruimtestaat[[#This Row],[kosten / jaar weekend]]+Ruimtestaat[[#This Row],[kosten / jaar werkdagen]]</f>
        <v>0</v>
      </c>
      <c r="AG28" s="114"/>
      <c r="HK28" s="87"/>
    </row>
    <row r="29" spans="1:219" ht="15" customHeight="1">
      <c r="A29" s="129">
        <v>1</v>
      </c>
      <c r="B29" s="21" t="str">
        <f>VLOOKUP(Ruimtestaat[[#This Row],[Code]],Locaties[#All],2,FALSE)</f>
        <v>PXC Aalderinkshoek</v>
      </c>
      <c r="C29" s="21" t="str">
        <f>VLOOKUP(Ruimtestaat[[#This Row],[Code]],Locaties[#All],4,FALSE)</f>
        <v>Cesar Frankstraat 4</v>
      </c>
      <c r="D29" s="21" t="str">
        <f>VLOOKUP(Ruimtestaat[[#This Row],[Code]],Locaties[#All],5,FALSE)</f>
        <v>7604 JG</v>
      </c>
      <c r="E29" s="200" t="str">
        <f>VLOOKUP(Ruimtestaat[[#This Row],[Code]],Locaties[#All],6,FALSE)</f>
        <v>Almelo</v>
      </c>
      <c r="F29" s="244"/>
      <c r="G29" s="215" t="s">
        <v>444</v>
      </c>
      <c r="H29" s="200" t="s">
        <v>480</v>
      </c>
      <c r="I29" s="244" t="s">
        <v>481</v>
      </c>
      <c r="J29" s="200">
        <v>1</v>
      </c>
      <c r="K29" s="215" t="s">
        <v>110</v>
      </c>
      <c r="L29" s="200" t="s">
        <v>132</v>
      </c>
      <c r="M29" s="213">
        <v>13.12</v>
      </c>
      <c r="N29" s="213"/>
      <c r="O29" s="243" t="str">
        <f>VLOOKUP(Ruimtestaat[[#This Row],[Ruimte code]],Ruimtegroepen[#All],4,FALSE)</f>
        <v>V  (Verkeersruimte)</v>
      </c>
      <c r="P29" s="214"/>
      <c r="Q29" s="215">
        <v>40</v>
      </c>
      <c r="R29" s="215" t="s">
        <v>16</v>
      </c>
      <c r="S29" s="215">
        <f>IF(R29&gt;0,IF(RIGHT(Ruimtestaat[[#This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9" s="215">
        <f>IF(S29&gt;0,VLOOKUP($J29,Ruimtegroepen[],3,FALSE)*VLOOKUP($K29,Vloersoorten[],3,FALSE)*VLOOKUP($R29,Frequenties[],3,FALSE)*VLOOKUP($A29,Locaties[],3,FALSE),0)</f>
        <v>0</v>
      </c>
      <c r="U29" s="215">
        <f>Ruimtestaat[[#This Row],[Uitvoeringen werkdagen]]*Ruimtestaat[[#This Row],[Oppervlak (netto)]]</f>
        <v>157.44</v>
      </c>
      <c r="V29" s="259">
        <f>IF(T29&gt;0,Ruimtestaat[[#This Row],[Prest. (m2 /jaar) werkdagen]]/Ruimtestaat[[#This Row],[Norm (m2/uur) werkdagen]],0)</f>
        <v>0</v>
      </c>
      <c r="W29" s="260">
        <f>Ruimtestaat[[#This Row],[uren / jaar werkdagen]]*Tariefsopbouw!$D$38</f>
        <v>0</v>
      </c>
      <c r="X29" s="33"/>
      <c r="Y29" s="33">
        <f>IF(Ruimtestaat[[#This Row],[Frequentie weekend]]&gt;0,VALUE(LEFT(X29,1))*Q29,0)</f>
        <v>0</v>
      </c>
      <c r="Z29" s="33">
        <f>IF($Y29&gt;0,VLOOKUP($J29,Ruimtegroepen[],3,FALSE)*VLOOKUP($K29,Vloersoorten[],3,FALSE)*VLOOKUP($X29,Frequenties[],3,FALSE)*VLOOKUP(#REF!,Locaties[],3,FALSE),0)</f>
        <v>0</v>
      </c>
      <c r="AA29" s="33"/>
      <c r="AB29" s="33"/>
      <c r="AC29" s="33">
        <f>Ruimtestaat[[#This Row],[uren / jaar weekend]]*Tariefsopbouw!$D$40</f>
        <v>0</v>
      </c>
      <c r="AD29" s="88">
        <f>Ruimtestaat[[#This Row],[Prest. (m2 /jaar) weekend]]+Ruimtestaat[[#This Row],[Prest. (m2 /jaar) werkdagen]]</f>
        <v>157.44</v>
      </c>
      <c r="AE29" s="88">
        <f>Ruimtestaat[[#This Row],[uren / jaar weekend]]+Ruimtestaat[[#This Row],[uren / jaar werkdagen]]</f>
        <v>0</v>
      </c>
      <c r="AF29" s="89">
        <f>Ruimtestaat[[#This Row],[kosten / jaar weekend]]+Ruimtestaat[[#This Row],[kosten / jaar werkdagen]]</f>
        <v>0</v>
      </c>
      <c r="AG29" s="114"/>
      <c r="HK29" s="87"/>
    </row>
    <row r="30" spans="1:219" ht="15" customHeight="1">
      <c r="A30" s="129">
        <v>1</v>
      </c>
      <c r="B30" s="21" t="str">
        <f>VLOOKUP(Ruimtestaat[[#This Row],[Code]],Locaties[#All],2,FALSE)</f>
        <v>PXC Aalderinkshoek</v>
      </c>
      <c r="C30" s="21" t="str">
        <f>VLOOKUP(Ruimtestaat[[#This Row],[Code]],Locaties[#All],4,FALSE)</f>
        <v>Cesar Frankstraat 4</v>
      </c>
      <c r="D30" s="21" t="str">
        <f>VLOOKUP(Ruimtestaat[[#This Row],[Code]],Locaties[#All],5,FALSE)</f>
        <v>7604 JG</v>
      </c>
      <c r="E30" s="200" t="str">
        <f>VLOOKUP(Ruimtestaat[[#This Row],[Code]],Locaties[#All],6,FALSE)</f>
        <v>Almelo</v>
      </c>
      <c r="F30" s="244"/>
      <c r="G30" s="215" t="s">
        <v>444</v>
      </c>
      <c r="H30" s="261" t="s">
        <v>482</v>
      </c>
      <c r="I30" s="244" t="s">
        <v>469</v>
      </c>
      <c r="J30" s="200">
        <v>6</v>
      </c>
      <c r="K30" s="200" t="s">
        <v>110</v>
      </c>
      <c r="L30" s="200" t="s">
        <v>132</v>
      </c>
      <c r="M30" s="213">
        <v>10.75</v>
      </c>
      <c r="N30" s="213"/>
      <c r="O30" s="243" t="str">
        <f>VLOOKUP(Ruimtestaat[[#This Row],[Ruimte code]],Ruimtegroepen[#All],4,FALSE)</f>
        <v>V  (Verkeersruimte)</v>
      </c>
      <c r="P30" s="214"/>
      <c r="Q30" s="215">
        <v>40</v>
      </c>
      <c r="R30" s="215" t="s">
        <v>2</v>
      </c>
      <c r="S30" s="215">
        <f>IF(R30&gt;0,IF(RIGHT(Ruimtestaat[[#This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" s="215">
        <f>IF(S30&gt;0,VLOOKUP($J30,Ruimtegroepen[],3,FALSE)*VLOOKUP($K30,Vloersoorten[],3,FALSE)*VLOOKUP($R30,Frequenties[],3,FALSE)*VLOOKUP($A30,Locaties[],3,FALSE),0)</f>
        <v>0</v>
      </c>
      <c r="U30" s="215">
        <f>Ruimtestaat[[#This Row],[Uitvoeringen werkdagen]]*Ruimtestaat[[#This Row],[Oppervlak (netto)]]</f>
        <v>2150</v>
      </c>
      <c r="V30" s="259">
        <f>IF(T30&gt;0,Ruimtestaat[[#This Row],[Prest. (m2 /jaar) werkdagen]]/Ruimtestaat[[#This Row],[Norm (m2/uur) werkdagen]],0)</f>
        <v>0</v>
      </c>
      <c r="W30" s="260">
        <f>Ruimtestaat[[#This Row],[uren / jaar werkdagen]]*Tariefsopbouw!$D$38</f>
        <v>0</v>
      </c>
      <c r="X30" s="33"/>
      <c r="Y30" s="33">
        <f>IF(Ruimtestaat[[#This Row],[Frequentie weekend]]&gt;0,VALUE(LEFT(X30,1))*Q30,0)</f>
        <v>0</v>
      </c>
      <c r="Z30" s="33">
        <f>IF($Y30&gt;0,VLOOKUP($J30,Ruimtegroepen[],3,FALSE)*VLOOKUP($K30,Vloersoorten[],3,FALSE)*VLOOKUP($X30,Frequenties[],3,FALSE)*VLOOKUP(#REF!,Locaties[],3,FALSE),0)</f>
        <v>0</v>
      </c>
      <c r="AA30" s="33"/>
      <c r="AB30" s="33"/>
      <c r="AC30" s="33">
        <f>Ruimtestaat[[#This Row],[uren / jaar weekend]]*Tariefsopbouw!$D$40</f>
        <v>0</v>
      </c>
      <c r="AD30" s="88">
        <f>Ruimtestaat[[#This Row],[Prest. (m2 /jaar) weekend]]+Ruimtestaat[[#This Row],[Prest. (m2 /jaar) werkdagen]]</f>
        <v>2150</v>
      </c>
      <c r="AE30" s="88">
        <f>Ruimtestaat[[#This Row],[uren / jaar weekend]]+Ruimtestaat[[#This Row],[uren / jaar werkdagen]]</f>
        <v>0</v>
      </c>
      <c r="AF30" s="89">
        <f>Ruimtestaat[[#This Row],[kosten / jaar weekend]]+Ruimtestaat[[#This Row],[kosten / jaar werkdagen]]</f>
        <v>0</v>
      </c>
      <c r="AG30" s="114"/>
      <c r="HK30" s="87"/>
    </row>
    <row r="31" spans="1:219" ht="15" customHeight="1">
      <c r="A31" s="129">
        <v>1</v>
      </c>
      <c r="B31" s="21" t="str">
        <f>VLOOKUP(Ruimtestaat[[#This Row],[Code]],Locaties[#All],2,FALSE)</f>
        <v>PXC Aalderinkshoek</v>
      </c>
      <c r="C31" s="21" t="str">
        <f>VLOOKUP(Ruimtestaat[[#This Row],[Code]],Locaties[#All],4,FALSE)</f>
        <v>Cesar Frankstraat 4</v>
      </c>
      <c r="D31" s="21" t="str">
        <f>VLOOKUP(Ruimtestaat[[#This Row],[Code]],Locaties[#All],5,FALSE)</f>
        <v>7604 JG</v>
      </c>
      <c r="E31" s="200" t="str">
        <f>VLOOKUP(Ruimtestaat[[#This Row],[Code]],Locaties[#All],6,FALSE)</f>
        <v>Almelo</v>
      </c>
      <c r="F31" s="244"/>
      <c r="G31" s="215" t="s">
        <v>444</v>
      </c>
      <c r="H31" s="200" t="s">
        <v>483</v>
      </c>
      <c r="I31" s="244" t="s">
        <v>455</v>
      </c>
      <c r="J31" s="200">
        <v>10</v>
      </c>
      <c r="K31" s="200" t="s">
        <v>111</v>
      </c>
      <c r="L31" s="200" t="s">
        <v>128</v>
      </c>
      <c r="M31" s="213">
        <v>9.58</v>
      </c>
      <c r="N31" s="213"/>
      <c r="O31" s="243" t="str">
        <f>VLOOKUP(Ruimtestaat[[#This Row],[Ruimte code]],Ruimtegroepen[#All],4,FALSE)</f>
        <v>V  (Verkeersruimte)</v>
      </c>
      <c r="P31" s="214"/>
      <c r="Q31" s="215">
        <v>40</v>
      </c>
      <c r="R31" s="215" t="s">
        <v>2</v>
      </c>
      <c r="S31" s="215">
        <f>IF(R31&gt;0,IF(RIGHT(Ruimtestaat[[#This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" s="215">
        <f>IF(S31&gt;0,VLOOKUP($J31,Ruimtegroepen[],3,FALSE)*VLOOKUP($K31,Vloersoorten[],3,FALSE)*VLOOKUP($R31,Frequenties[],3,FALSE)*VLOOKUP($A31,Locaties[],3,FALSE),0)</f>
        <v>0</v>
      </c>
      <c r="U31" s="215">
        <f>Ruimtestaat[[#This Row],[Uitvoeringen werkdagen]]*Ruimtestaat[[#This Row],[Oppervlak (netto)]]</f>
        <v>1916</v>
      </c>
      <c r="V31" s="259">
        <f>IF(T31&gt;0,Ruimtestaat[[#This Row],[Prest. (m2 /jaar) werkdagen]]/Ruimtestaat[[#This Row],[Norm (m2/uur) werkdagen]],0)</f>
        <v>0</v>
      </c>
      <c r="W31" s="260">
        <f>Ruimtestaat[[#This Row],[uren / jaar werkdagen]]*Tariefsopbouw!$D$38</f>
        <v>0</v>
      </c>
      <c r="X31" s="33"/>
      <c r="Y31" s="33">
        <f>IF(Ruimtestaat[[#This Row],[Frequentie weekend]]&gt;0,VALUE(LEFT(X31,1))*Q31,0)</f>
        <v>0</v>
      </c>
      <c r="Z31" s="33">
        <f>IF($Y31&gt;0,VLOOKUP($J31,Ruimtegroepen[],3,FALSE)*VLOOKUP($K31,Vloersoorten[],3,FALSE)*VLOOKUP($X31,Frequenties[],3,FALSE)*VLOOKUP(#REF!,Locaties[],3,FALSE),0)</f>
        <v>0</v>
      </c>
      <c r="AA31" s="33"/>
      <c r="AB31" s="33"/>
      <c r="AC31" s="33">
        <f>Ruimtestaat[[#This Row],[uren / jaar weekend]]*Tariefsopbouw!$D$40</f>
        <v>0</v>
      </c>
      <c r="AD31" s="88">
        <f>Ruimtestaat[[#This Row],[Prest. (m2 /jaar) weekend]]+Ruimtestaat[[#This Row],[Prest. (m2 /jaar) werkdagen]]</f>
        <v>1916</v>
      </c>
      <c r="AE31" s="88">
        <f>Ruimtestaat[[#This Row],[uren / jaar weekend]]+Ruimtestaat[[#This Row],[uren / jaar werkdagen]]</f>
        <v>0</v>
      </c>
      <c r="AF31" s="89">
        <f>Ruimtestaat[[#This Row],[kosten / jaar weekend]]+Ruimtestaat[[#This Row],[kosten / jaar werkdagen]]</f>
        <v>0</v>
      </c>
      <c r="AG31" s="114"/>
      <c r="HK31" s="87"/>
    </row>
    <row r="32" spans="1:219" ht="15" customHeight="1">
      <c r="A32" s="129">
        <v>1</v>
      </c>
      <c r="B32" s="21" t="str">
        <f>VLOOKUP(Ruimtestaat[[#This Row],[Code]],Locaties[#All],2,FALSE)</f>
        <v>PXC Aalderinkshoek</v>
      </c>
      <c r="C32" s="21" t="str">
        <f>VLOOKUP(Ruimtestaat[[#This Row],[Code]],Locaties[#All],4,FALSE)</f>
        <v>Cesar Frankstraat 4</v>
      </c>
      <c r="D32" s="21" t="str">
        <f>VLOOKUP(Ruimtestaat[[#This Row],[Code]],Locaties[#All],5,FALSE)</f>
        <v>7604 JG</v>
      </c>
      <c r="E32" s="200" t="str">
        <f>VLOOKUP(Ruimtestaat[[#This Row],[Code]],Locaties[#All],6,FALSE)</f>
        <v>Almelo</v>
      </c>
      <c r="F32" s="244"/>
      <c r="G32" s="215" t="s">
        <v>444</v>
      </c>
      <c r="H32" s="261" t="s">
        <v>484</v>
      </c>
      <c r="I32" s="244" t="s">
        <v>485</v>
      </c>
      <c r="J32" s="200">
        <v>1</v>
      </c>
      <c r="K32" s="215" t="s">
        <v>110</v>
      </c>
      <c r="L32" s="200" t="s">
        <v>132</v>
      </c>
      <c r="M32" s="213">
        <v>25.85</v>
      </c>
      <c r="N32" s="213"/>
      <c r="O32" s="243" t="str">
        <f>VLOOKUP(Ruimtestaat[[#This Row],[Ruimte code]],Ruimtegroepen[#All],4,FALSE)</f>
        <v>V  (Verkeersruimte)</v>
      </c>
      <c r="P32" s="214"/>
      <c r="Q32" s="215">
        <v>40</v>
      </c>
      <c r="R32" s="215" t="s">
        <v>16</v>
      </c>
      <c r="S32" s="215">
        <f>IF(R32&gt;0,IF(RIGHT(Ruimtestaat[[#This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2" s="215">
        <f>IF(S32&gt;0,VLOOKUP($J32,Ruimtegroepen[],3,FALSE)*VLOOKUP($K32,Vloersoorten[],3,FALSE)*VLOOKUP($R32,Frequenties[],3,FALSE)*VLOOKUP($A32,Locaties[],3,FALSE),0)</f>
        <v>0</v>
      </c>
      <c r="U32" s="215">
        <f>Ruimtestaat[[#This Row],[Uitvoeringen werkdagen]]*Ruimtestaat[[#This Row],[Oppervlak (netto)]]</f>
        <v>310.20000000000005</v>
      </c>
      <c r="V32" s="259">
        <f>IF(T32&gt;0,Ruimtestaat[[#This Row],[Prest. (m2 /jaar) werkdagen]]/Ruimtestaat[[#This Row],[Norm (m2/uur) werkdagen]],0)</f>
        <v>0</v>
      </c>
      <c r="W32" s="260">
        <f>Ruimtestaat[[#This Row],[uren / jaar werkdagen]]*Tariefsopbouw!$D$38</f>
        <v>0</v>
      </c>
      <c r="X32" s="33"/>
      <c r="Y32" s="33">
        <f>IF(Ruimtestaat[[#This Row],[Frequentie weekend]]&gt;0,VALUE(LEFT(X32,1))*Q32,0)</f>
        <v>0</v>
      </c>
      <c r="Z32" s="33">
        <f>IF($Y32&gt;0,VLOOKUP($J32,Ruimtegroepen[],3,FALSE)*VLOOKUP($K32,Vloersoorten[],3,FALSE)*VLOOKUP($X32,Frequenties[],3,FALSE)*VLOOKUP(#REF!,Locaties[],3,FALSE),0)</f>
        <v>0</v>
      </c>
      <c r="AA32" s="33"/>
      <c r="AB32" s="33"/>
      <c r="AC32" s="33">
        <f>Ruimtestaat[[#This Row],[uren / jaar weekend]]*Tariefsopbouw!$D$40</f>
        <v>0</v>
      </c>
      <c r="AD32" s="88">
        <f>Ruimtestaat[[#This Row],[Prest. (m2 /jaar) weekend]]+Ruimtestaat[[#This Row],[Prest. (m2 /jaar) werkdagen]]</f>
        <v>310.20000000000005</v>
      </c>
      <c r="AE32" s="88">
        <f>Ruimtestaat[[#This Row],[uren / jaar weekend]]+Ruimtestaat[[#This Row],[uren / jaar werkdagen]]</f>
        <v>0</v>
      </c>
      <c r="AF32" s="89">
        <f>Ruimtestaat[[#This Row],[kosten / jaar weekend]]+Ruimtestaat[[#This Row],[kosten / jaar werkdagen]]</f>
        <v>0</v>
      </c>
      <c r="AG32" s="114"/>
      <c r="HK32" s="87"/>
    </row>
    <row r="33" spans="1:219" ht="15" customHeight="1">
      <c r="A33" s="129">
        <v>1</v>
      </c>
      <c r="B33" s="21" t="str">
        <f>VLOOKUP(Ruimtestaat[[#This Row],[Code]],Locaties[#All],2,FALSE)</f>
        <v>PXC Aalderinkshoek</v>
      </c>
      <c r="C33" s="21" t="str">
        <f>VLOOKUP(Ruimtestaat[[#This Row],[Code]],Locaties[#All],4,FALSE)</f>
        <v>Cesar Frankstraat 4</v>
      </c>
      <c r="D33" s="21" t="str">
        <f>VLOOKUP(Ruimtestaat[[#This Row],[Code]],Locaties[#All],5,FALSE)</f>
        <v>7604 JG</v>
      </c>
      <c r="E33" s="200" t="str">
        <f>VLOOKUP(Ruimtestaat[[#This Row],[Code]],Locaties[#All],6,FALSE)</f>
        <v>Almelo</v>
      </c>
      <c r="F33" s="244"/>
      <c r="G33" s="215" t="s">
        <v>444</v>
      </c>
      <c r="H33" s="200" t="s">
        <v>486</v>
      </c>
      <c r="I33" s="244" t="s">
        <v>487</v>
      </c>
      <c r="J33" s="200">
        <v>2</v>
      </c>
      <c r="K33" s="200" t="s">
        <v>1040</v>
      </c>
      <c r="L33" s="200" t="s">
        <v>999</v>
      </c>
      <c r="M33" s="213">
        <v>13.48</v>
      </c>
      <c r="N33" s="213"/>
      <c r="O33" s="243" t="str">
        <f>VLOOKUP(Ruimtestaat[[#This Row],[Ruimte code]],Ruimtegroepen[#All],4,FALSE)</f>
        <v>B  (Bureauruimte)</v>
      </c>
      <c r="P33" s="214"/>
      <c r="Q33" s="215">
        <v>40</v>
      </c>
      <c r="R33" s="215" t="s">
        <v>17</v>
      </c>
      <c r="S33" s="215">
        <f>IF(R33&gt;0,IF(RIGHT(Ruimtestaat[[#This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33" s="215">
        <f>IF(S33&gt;0,VLOOKUP($J33,Ruimtegroepen[],3,FALSE)*VLOOKUP($K33,Vloersoorten[],3,FALSE)*VLOOKUP($R33,Frequenties[],3,FALSE)*VLOOKUP($A33,Locaties[],3,FALSE),0)</f>
        <v>0</v>
      </c>
      <c r="U33" s="215">
        <f>Ruimtestaat[[#This Row],[Uitvoeringen werkdagen]]*Ruimtestaat[[#This Row],[Oppervlak (netto)]]</f>
        <v>1078.4000000000001</v>
      </c>
      <c r="V33" s="259">
        <f>IF(T33&gt;0,Ruimtestaat[[#This Row],[Prest. (m2 /jaar) werkdagen]]/Ruimtestaat[[#This Row],[Norm (m2/uur) werkdagen]],0)</f>
        <v>0</v>
      </c>
      <c r="W33" s="260">
        <f>Ruimtestaat[[#This Row],[uren / jaar werkdagen]]*Tariefsopbouw!$D$38</f>
        <v>0</v>
      </c>
      <c r="X33" s="33"/>
      <c r="Y33" s="33">
        <f>IF(Ruimtestaat[[#This Row],[Frequentie weekend]]&gt;0,VALUE(LEFT(X33,1))*Q33,0)</f>
        <v>0</v>
      </c>
      <c r="Z33" s="33">
        <f>IF($Y33&gt;0,VLOOKUP($J33,Ruimtegroepen[],3,FALSE)*VLOOKUP($K33,Vloersoorten[],3,FALSE)*VLOOKUP($X33,Frequenties[],3,FALSE)*VLOOKUP(#REF!,Locaties[],3,FALSE),0)</f>
        <v>0</v>
      </c>
      <c r="AA33" s="33"/>
      <c r="AB33" s="33"/>
      <c r="AC33" s="33">
        <f>Ruimtestaat[[#This Row],[uren / jaar weekend]]*Tariefsopbouw!$D$40</f>
        <v>0</v>
      </c>
      <c r="AD33" s="88">
        <f>Ruimtestaat[[#This Row],[Prest. (m2 /jaar) weekend]]+Ruimtestaat[[#This Row],[Prest. (m2 /jaar) werkdagen]]</f>
        <v>1078.4000000000001</v>
      </c>
      <c r="AE33" s="88">
        <f>Ruimtestaat[[#This Row],[uren / jaar weekend]]+Ruimtestaat[[#This Row],[uren / jaar werkdagen]]</f>
        <v>0</v>
      </c>
      <c r="AF33" s="89">
        <f>Ruimtestaat[[#This Row],[kosten / jaar weekend]]+Ruimtestaat[[#This Row],[kosten / jaar werkdagen]]</f>
        <v>0</v>
      </c>
      <c r="AG33" s="114"/>
      <c r="HK33" s="87"/>
    </row>
    <row r="34" spans="1:219" ht="15" customHeight="1">
      <c r="A34" s="129">
        <v>1</v>
      </c>
      <c r="B34" s="21" t="str">
        <f>VLOOKUP(Ruimtestaat[[#This Row],[Code]],Locaties[#All],2,FALSE)</f>
        <v>PXC Aalderinkshoek</v>
      </c>
      <c r="C34" s="21" t="str">
        <f>VLOOKUP(Ruimtestaat[[#This Row],[Code]],Locaties[#All],4,FALSE)</f>
        <v>Cesar Frankstraat 4</v>
      </c>
      <c r="D34" s="21" t="str">
        <f>VLOOKUP(Ruimtestaat[[#This Row],[Code]],Locaties[#All],5,FALSE)</f>
        <v>7604 JG</v>
      </c>
      <c r="E34" s="200" t="str">
        <f>VLOOKUP(Ruimtestaat[[#This Row],[Code]],Locaties[#All],6,FALSE)</f>
        <v>Almelo</v>
      </c>
      <c r="F34" s="244"/>
      <c r="G34" s="215" t="s">
        <v>444</v>
      </c>
      <c r="H34" s="200" t="s">
        <v>488</v>
      </c>
      <c r="I34" s="244" t="s">
        <v>489</v>
      </c>
      <c r="J34" s="200">
        <v>11</v>
      </c>
      <c r="K34" s="200" t="s">
        <v>110</v>
      </c>
      <c r="L34" s="200" t="s">
        <v>132</v>
      </c>
      <c r="M34" s="213">
        <v>17.39</v>
      </c>
      <c r="N34" s="213"/>
      <c r="O34" s="243" t="str">
        <f>VLOOKUP(Ruimtestaat[[#This Row],[Ruimte code]],Ruimtegroepen[#All],4,FALSE)</f>
        <v>L  (Lesruimte)</v>
      </c>
      <c r="P34" s="214"/>
      <c r="Q34" s="215">
        <v>40</v>
      </c>
      <c r="R34" s="215" t="s">
        <v>2</v>
      </c>
      <c r="S34" s="215">
        <f>IF(R34&gt;0,IF(RIGHT(Ruimtestaat[[#This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" s="215">
        <f>IF(S34&gt;0,VLOOKUP($J34,Ruimtegroepen[],3,FALSE)*VLOOKUP($K34,Vloersoorten[],3,FALSE)*VLOOKUP($R34,Frequenties[],3,FALSE)*VLOOKUP($A34,Locaties[],3,FALSE),0)</f>
        <v>0</v>
      </c>
      <c r="U34" s="215">
        <f>Ruimtestaat[[#This Row],[Uitvoeringen werkdagen]]*Ruimtestaat[[#This Row],[Oppervlak (netto)]]</f>
        <v>3478</v>
      </c>
      <c r="V34" s="259">
        <f>IF(T34&gt;0,Ruimtestaat[[#This Row],[Prest. (m2 /jaar) werkdagen]]/Ruimtestaat[[#This Row],[Norm (m2/uur) werkdagen]],0)</f>
        <v>0</v>
      </c>
      <c r="W34" s="260">
        <f>Ruimtestaat[[#This Row],[uren / jaar werkdagen]]*Tariefsopbouw!$D$38</f>
        <v>0</v>
      </c>
      <c r="X34" s="33"/>
      <c r="Y34" s="33">
        <f>IF(Ruimtestaat[[#This Row],[Frequentie weekend]]&gt;0,VALUE(LEFT(X34,1))*Q34,0)</f>
        <v>0</v>
      </c>
      <c r="Z34" s="33">
        <f>IF($Y34&gt;0,VLOOKUP($J34,Ruimtegroepen[],3,FALSE)*VLOOKUP($K34,Vloersoorten[],3,FALSE)*VLOOKUP($X34,Frequenties[],3,FALSE)*VLOOKUP(#REF!,Locaties[],3,FALSE),0)</f>
        <v>0</v>
      </c>
      <c r="AA34" s="33"/>
      <c r="AB34" s="33"/>
      <c r="AC34" s="33">
        <f>Ruimtestaat[[#This Row],[uren / jaar weekend]]*Tariefsopbouw!$D$40</f>
        <v>0</v>
      </c>
      <c r="AD34" s="88">
        <f>Ruimtestaat[[#This Row],[Prest. (m2 /jaar) weekend]]+Ruimtestaat[[#This Row],[Prest. (m2 /jaar) werkdagen]]</f>
        <v>3478</v>
      </c>
      <c r="AE34" s="88">
        <f>Ruimtestaat[[#This Row],[uren / jaar weekend]]+Ruimtestaat[[#This Row],[uren / jaar werkdagen]]</f>
        <v>0</v>
      </c>
      <c r="AF34" s="89">
        <f>Ruimtestaat[[#This Row],[kosten / jaar weekend]]+Ruimtestaat[[#This Row],[kosten / jaar werkdagen]]</f>
        <v>0</v>
      </c>
      <c r="AG34" s="114"/>
      <c r="HK34" s="87"/>
    </row>
    <row r="35" spans="1:219" ht="15" customHeight="1">
      <c r="A35" s="129">
        <v>1</v>
      </c>
      <c r="B35" s="21" t="str">
        <f>VLOOKUP(Ruimtestaat[[#This Row],[Code]],Locaties[#All],2,FALSE)</f>
        <v>PXC Aalderinkshoek</v>
      </c>
      <c r="C35" s="21" t="str">
        <f>VLOOKUP(Ruimtestaat[[#This Row],[Code]],Locaties[#All],4,FALSE)</f>
        <v>Cesar Frankstraat 4</v>
      </c>
      <c r="D35" s="21" t="str">
        <f>VLOOKUP(Ruimtestaat[[#This Row],[Code]],Locaties[#All],5,FALSE)</f>
        <v>7604 JG</v>
      </c>
      <c r="E35" s="200" t="str">
        <f>VLOOKUP(Ruimtestaat[[#This Row],[Code]],Locaties[#All],6,FALSE)</f>
        <v>Almelo</v>
      </c>
      <c r="F35" s="262"/>
      <c r="G35" s="215" t="s">
        <v>444</v>
      </c>
      <c r="H35" s="215" t="s">
        <v>490</v>
      </c>
      <c r="I35" s="258" t="s">
        <v>396</v>
      </c>
      <c r="J35" s="200">
        <v>16</v>
      </c>
      <c r="K35" s="200" t="s">
        <v>110</v>
      </c>
      <c r="L35" s="200" t="s">
        <v>132</v>
      </c>
      <c r="M35" s="213">
        <v>138.79</v>
      </c>
      <c r="N35" s="213"/>
      <c r="O35" s="243" t="str">
        <f>VLOOKUP(Ruimtestaat[[#This Row],[Ruimte code]],Ruimtegroepen[#All],4,FALSE)</f>
        <v>L  (Lesruimte)</v>
      </c>
      <c r="P35" s="214"/>
      <c r="Q35" s="215">
        <v>40</v>
      </c>
      <c r="R35" s="215" t="s">
        <v>2</v>
      </c>
      <c r="S35" s="215">
        <f>IF(R35&gt;0,IF(RIGHT(Ruimtestaat[[#This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" s="215">
        <f>IF(S35&gt;0,VLOOKUP($J35,Ruimtegroepen[],3,FALSE)*VLOOKUP($K35,Vloersoorten[],3,FALSE)*VLOOKUP($R35,Frequenties[],3,FALSE)*VLOOKUP($A35,Locaties[],3,FALSE),0)</f>
        <v>0</v>
      </c>
      <c r="U35" s="215">
        <f>Ruimtestaat[[#This Row],[Uitvoeringen werkdagen]]*Ruimtestaat[[#This Row],[Oppervlak (netto)]]</f>
        <v>27758</v>
      </c>
      <c r="V35" s="259">
        <f>IF(T35&gt;0,Ruimtestaat[[#This Row],[Prest. (m2 /jaar) werkdagen]]/Ruimtestaat[[#This Row],[Norm (m2/uur) werkdagen]],0)</f>
        <v>0</v>
      </c>
      <c r="W35" s="260">
        <f>Ruimtestaat[[#This Row],[uren / jaar werkdagen]]*Tariefsopbouw!$D$38</f>
        <v>0</v>
      </c>
      <c r="X35" s="33"/>
      <c r="Y35" s="33">
        <f>IF(Ruimtestaat[[#This Row],[Frequentie weekend]]&gt;0,VALUE(LEFT(X35,1))*Q35,0)</f>
        <v>0</v>
      </c>
      <c r="Z35" s="33">
        <f>IF($Y35&gt;0,VLOOKUP($J35,Ruimtegroepen[],3,FALSE)*VLOOKUP($K35,Vloersoorten[],3,FALSE)*VLOOKUP($X35,Frequenties[],3,FALSE)*VLOOKUP(#REF!,Locaties[],3,FALSE),0)</f>
        <v>0</v>
      </c>
      <c r="AA35" s="33"/>
      <c r="AB35" s="33"/>
      <c r="AC35" s="33">
        <f>Ruimtestaat[[#This Row],[uren / jaar weekend]]*Tariefsopbouw!$D$40</f>
        <v>0</v>
      </c>
      <c r="AD35" s="88">
        <f>Ruimtestaat[[#This Row],[Prest. (m2 /jaar) weekend]]+Ruimtestaat[[#This Row],[Prest. (m2 /jaar) werkdagen]]</f>
        <v>27758</v>
      </c>
      <c r="AE35" s="88">
        <f>Ruimtestaat[[#This Row],[uren / jaar weekend]]+Ruimtestaat[[#This Row],[uren / jaar werkdagen]]</f>
        <v>0</v>
      </c>
      <c r="AF35" s="89">
        <f>Ruimtestaat[[#This Row],[kosten / jaar weekend]]+Ruimtestaat[[#This Row],[kosten / jaar werkdagen]]</f>
        <v>0</v>
      </c>
      <c r="AG35" s="114"/>
      <c r="HK35" s="87"/>
    </row>
    <row r="36" spans="1:219" ht="15" customHeight="1">
      <c r="A36" s="129">
        <v>1</v>
      </c>
      <c r="B36" s="21" t="str">
        <f>VLOOKUP(Ruimtestaat[[#This Row],[Code]],Locaties[#All],2,FALSE)</f>
        <v>PXC Aalderinkshoek</v>
      </c>
      <c r="C36" s="21" t="str">
        <f>VLOOKUP(Ruimtestaat[[#This Row],[Code]],Locaties[#All],4,FALSE)</f>
        <v>Cesar Frankstraat 4</v>
      </c>
      <c r="D36" s="21" t="str">
        <f>VLOOKUP(Ruimtestaat[[#This Row],[Code]],Locaties[#All],5,FALSE)</f>
        <v>7604 JG</v>
      </c>
      <c r="E36" s="200" t="str">
        <f>VLOOKUP(Ruimtestaat[[#This Row],[Code]],Locaties[#All],6,FALSE)</f>
        <v>Almelo</v>
      </c>
      <c r="F36" s="262"/>
      <c r="G36" s="215" t="s">
        <v>444</v>
      </c>
      <c r="H36" s="215" t="s">
        <v>491</v>
      </c>
      <c r="I36" s="258" t="s">
        <v>455</v>
      </c>
      <c r="J36" s="200">
        <v>10</v>
      </c>
      <c r="K36" s="200" t="s">
        <v>111</v>
      </c>
      <c r="L36" s="200" t="s">
        <v>128</v>
      </c>
      <c r="M36" s="213">
        <v>2.8</v>
      </c>
      <c r="N36" s="213"/>
      <c r="O36" s="243" t="str">
        <f>VLOOKUP(Ruimtestaat[[#This Row],[Ruimte code]],Ruimtegroepen[#All],4,FALSE)</f>
        <v>V  (Verkeersruimte)</v>
      </c>
      <c r="P36" s="214"/>
      <c r="Q36" s="215">
        <v>40</v>
      </c>
      <c r="R36" s="215" t="s">
        <v>2</v>
      </c>
      <c r="S36" s="215">
        <f>IF(R36&gt;0,IF(RIGHT(Ruimtestaat[[#This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" s="215">
        <f>IF(S36&gt;0,VLOOKUP($J36,Ruimtegroepen[],3,FALSE)*VLOOKUP($K36,Vloersoorten[],3,FALSE)*VLOOKUP($R36,Frequenties[],3,FALSE)*VLOOKUP($A36,Locaties[],3,FALSE),0)</f>
        <v>0</v>
      </c>
      <c r="U36" s="215">
        <f>Ruimtestaat[[#This Row],[Uitvoeringen werkdagen]]*Ruimtestaat[[#This Row],[Oppervlak (netto)]]</f>
        <v>560</v>
      </c>
      <c r="V36" s="259">
        <f>IF(T36&gt;0,Ruimtestaat[[#This Row],[Prest. (m2 /jaar) werkdagen]]/Ruimtestaat[[#This Row],[Norm (m2/uur) werkdagen]],0)</f>
        <v>0</v>
      </c>
      <c r="W36" s="260">
        <f>Ruimtestaat[[#This Row],[uren / jaar werkdagen]]*Tariefsopbouw!$D$38</f>
        <v>0</v>
      </c>
      <c r="X36" s="33"/>
      <c r="Y36" s="33">
        <f>IF(Ruimtestaat[[#This Row],[Frequentie weekend]]&gt;0,VALUE(LEFT(X36,1))*Q36,0)</f>
        <v>0</v>
      </c>
      <c r="Z36" s="33">
        <f>IF($Y36&gt;0,VLOOKUP($J36,Ruimtegroepen[],3,FALSE)*VLOOKUP($K36,Vloersoorten[],3,FALSE)*VLOOKUP($X36,Frequenties[],3,FALSE)*VLOOKUP(#REF!,Locaties[],3,FALSE),0)</f>
        <v>0</v>
      </c>
      <c r="AA36" s="33"/>
      <c r="AB36" s="33"/>
      <c r="AC36" s="33">
        <f>Ruimtestaat[[#This Row],[uren / jaar weekend]]*Tariefsopbouw!$D$40</f>
        <v>0</v>
      </c>
      <c r="AD36" s="88">
        <f>Ruimtestaat[[#This Row],[Prest. (m2 /jaar) weekend]]+Ruimtestaat[[#This Row],[Prest. (m2 /jaar) werkdagen]]</f>
        <v>560</v>
      </c>
      <c r="AE36" s="88">
        <f>Ruimtestaat[[#This Row],[uren / jaar weekend]]+Ruimtestaat[[#This Row],[uren / jaar werkdagen]]</f>
        <v>0</v>
      </c>
      <c r="AF36" s="89">
        <f>Ruimtestaat[[#This Row],[kosten / jaar weekend]]+Ruimtestaat[[#This Row],[kosten / jaar werkdagen]]</f>
        <v>0</v>
      </c>
      <c r="AG36" s="114"/>
      <c r="HK36" s="87"/>
    </row>
    <row r="37" spans="1:219" ht="15" customHeight="1">
      <c r="A37" s="129">
        <v>1</v>
      </c>
      <c r="B37" s="21" t="str">
        <f>VLOOKUP(Ruimtestaat[[#This Row],[Code]],Locaties[#All],2,FALSE)</f>
        <v>PXC Aalderinkshoek</v>
      </c>
      <c r="C37" s="21" t="str">
        <f>VLOOKUP(Ruimtestaat[[#This Row],[Code]],Locaties[#All],4,FALSE)</f>
        <v>Cesar Frankstraat 4</v>
      </c>
      <c r="D37" s="21" t="str">
        <f>VLOOKUP(Ruimtestaat[[#This Row],[Code]],Locaties[#All],5,FALSE)</f>
        <v>7604 JG</v>
      </c>
      <c r="E37" s="200" t="str">
        <f>VLOOKUP(Ruimtestaat[[#This Row],[Code]],Locaties[#All],6,FALSE)</f>
        <v>Almelo</v>
      </c>
      <c r="F37" s="244"/>
      <c r="G37" s="215" t="s">
        <v>444</v>
      </c>
      <c r="H37" s="200" t="s">
        <v>492</v>
      </c>
      <c r="I37" s="244" t="s">
        <v>493</v>
      </c>
      <c r="J37" s="200">
        <v>12</v>
      </c>
      <c r="K37" s="200" t="s">
        <v>110</v>
      </c>
      <c r="L37" s="200" t="s">
        <v>132</v>
      </c>
      <c r="M37" s="213">
        <v>325.63</v>
      </c>
      <c r="N37" s="213"/>
      <c r="O37" s="243" t="str">
        <f>VLOOKUP(Ruimtestaat[[#This Row],[Ruimte code]],Ruimtegroepen[#All],4,FALSE)</f>
        <v>V  (Verkeersruimte)</v>
      </c>
      <c r="P37" s="214"/>
      <c r="Q37" s="215">
        <v>40</v>
      </c>
      <c r="R37" s="215" t="s">
        <v>2</v>
      </c>
      <c r="S37" s="215">
        <f>IF(R37&gt;0,IF(RIGHT(Ruimtestaat[[#This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" s="215">
        <f>IF(S37&gt;0,VLOOKUP($J37,Ruimtegroepen[],3,FALSE)*VLOOKUP($K37,Vloersoorten[],3,FALSE)*VLOOKUP($R37,Frequenties[],3,FALSE)*VLOOKUP($A37,Locaties[],3,FALSE),0)</f>
        <v>0</v>
      </c>
      <c r="U37" s="215">
        <f>Ruimtestaat[[#This Row],[Uitvoeringen werkdagen]]*Ruimtestaat[[#This Row],[Oppervlak (netto)]]</f>
        <v>65126</v>
      </c>
      <c r="V37" s="259">
        <f>IF(T37&gt;0,Ruimtestaat[[#This Row],[Prest. (m2 /jaar) werkdagen]]/Ruimtestaat[[#This Row],[Norm (m2/uur) werkdagen]],0)</f>
        <v>0</v>
      </c>
      <c r="W37" s="260">
        <f>Ruimtestaat[[#This Row],[uren / jaar werkdagen]]*Tariefsopbouw!$D$38</f>
        <v>0</v>
      </c>
      <c r="X37" s="33"/>
      <c r="Y37" s="33">
        <f>IF(Ruimtestaat[[#This Row],[Frequentie weekend]]&gt;0,VALUE(LEFT(X37,1))*Q37,0)</f>
        <v>0</v>
      </c>
      <c r="Z37" s="33">
        <f>IF($Y37&gt;0,VLOOKUP($J37,Ruimtegroepen[],3,FALSE)*VLOOKUP($K37,Vloersoorten[],3,FALSE)*VLOOKUP($X37,Frequenties[],3,FALSE)*VLOOKUP(#REF!,Locaties[],3,FALSE),0)</f>
        <v>0</v>
      </c>
      <c r="AA37" s="33"/>
      <c r="AB37" s="33"/>
      <c r="AC37" s="33">
        <f>Ruimtestaat[[#This Row],[uren / jaar weekend]]*Tariefsopbouw!$D$40</f>
        <v>0</v>
      </c>
      <c r="AD37" s="88">
        <f>Ruimtestaat[[#This Row],[Prest. (m2 /jaar) weekend]]+Ruimtestaat[[#This Row],[Prest. (m2 /jaar) werkdagen]]</f>
        <v>65126</v>
      </c>
      <c r="AE37" s="88">
        <f>Ruimtestaat[[#This Row],[uren / jaar weekend]]+Ruimtestaat[[#This Row],[uren / jaar werkdagen]]</f>
        <v>0</v>
      </c>
      <c r="AF37" s="89">
        <f>Ruimtestaat[[#This Row],[kosten / jaar weekend]]+Ruimtestaat[[#This Row],[kosten / jaar werkdagen]]</f>
        <v>0</v>
      </c>
      <c r="AG37" s="114"/>
      <c r="HK37" s="87"/>
    </row>
    <row r="38" spans="1:219" ht="15" customHeight="1">
      <c r="A38" s="129">
        <v>1</v>
      </c>
      <c r="B38" s="21" t="str">
        <f>VLOOKUP(Ruimtestaat[[#This Row],[Code]],Locaties[#All],2,FALSE)</f>
        <v>PXC Aalderinkshoek</v>
      </c>
      <c r="C38" s="21" t="str">
        <f>VLOOKUP(Ruimtestaat[[#This Row],[Code]],Locaties[#All],4,FALSE)</f>
        <v>Cesar Frankstraat 4</v>
      </c>
      <c r="D38" s="21" t="str">
        <f>VLOOKUP(Ruimtestaat[[#This Row],[Code]],Locaties[#All],5,FALSE)</f>
        <v>7604 JG</v>
      </c>
      <c r="E38" s="200" t="str">
        <f>VLOOKUP(Ruimtestaat[[#This Row],[Code]],Locaties[#All],6,FALSE)</f>
        <v>Almelo</v>
      </c>
      <c r="F38" s="244"/>
      <c r="G38" s="215" t="s">
        <v>444</v>
      </c>
      <c r="H38" s="200" t="s">
        <v>494</v>
      </c>
      <c r="I38" s="244" t="s">
        <v>447</v>
      </c>
      <c r="J38" s="200">
        <v>1</v>
      </c>
      <c r="K38" s="215" t="s">
        <v>110</v>
      </c>
      <c r="L38" s="200" t="s">
        <v>132</v>
      </c>
      <c r="M38" s="213">
        <v>12.99</v>
      </c>
      <c r="N38" s="213"/>
      <c r="O38" s="243" t="str">
        <f>VLOOKUP(Ruimtestaat[[#This Row],[Ruimte code]],Ruimtegroepen[#All],4,FALSE)</f>
        <v>V  (Verkeersruimte)</v>
      </c>
      <c r="P38" s="214"/>
      <c r="Q38" s="215">
        <v>40</v>
      </c>
      <c r="R38" s="215" t="s">
        <v>16</v>
      </c>
      <c r="S38" s="215">
        <f>IF(R38&gt;0,IF(RIGHT(Ruimtestaat[[#This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8" s="215">
        <f>IF(S38&gt;0,VLOOKUP($J38,Ruimtegroepen[],3,FALSE)*VLOOKUP($K38,Vloersoorten[],3,FALSE)*VLOOKUP($R38,Frequenties[],3,FALSE)*VLOOKUP($A38,Locaties[],3,FALSE),0)</f>
        <v>0</v>
      </c>
      <c r="U38" s="215">
        <f>Ruimtestaat[[#This Row],[Uitvoeringen werkdagen]]*Ruimtestaat[[#This Row],[Oppervlak (netto)]]</f>
        <v>155.88</v>
      </c>
      <c r="V38" s="259">
        <f>IF(T38&gt;0,Ruimtestaat[[#This Row],[Prest. (m2 /jaar) werkdagen]]/Ruimtestaat[[#This Row],[Norm (m2/uur) werkdagen]],0)</f>
        <v>0</v>
      </c>
      <c r="W38" s="260">
        <f>Ruimtestaat[[#This Row],[uren / jaar werkdagen]]*Tariefsopbouw!$D$38</f>
        <v>0</v>
      </c>
      <c r="X38" s="33"/>
      <c r="Y38" s="33">
        <f>IF(Ruimtestaat[[#This Row],[Frequentie weekend]]&gt;0,VALUE(LEFT(X38,1))*Q38,0)</f>
        <v>0</v>
      </c>
      <c r="Z38" s="33">
        <f>IF($Y38&gt;0,VLOOKUP($J38,Ruimtegroepen[],3,FALSE)*VLOOKUP($K38,Vloersoorten[],3,FALSE)*VLOOKUP($X38,Frequenties[],3,FALSE)*VLOOKUP(#REF!,Locaties[],3,FALSE),0)</f>
        <v>0</v>
      </c>
      <c r="AA38" s="33"/>
      <c r="AB38" s="33"/>
      <c r="AC38" s="33">
        <f>Ruimtestaat[[#This Row],[uren / jaar weekend]]*Tariefsopbouw!$D$40</f>
        <v>0</v>
      </c>
      <c r="AD38" s="88">
        <f>Ruimtestaat[[#This Row],[Prest. (m2 /jaar) weekend]]+Ruimtestaat[[#This Row],[Prest. (m2 /jaar) werkdagen]]</f>
        <v>155.88</v>
      </c>
      <c r="AE38" s="88">
        <f>Ruimtestaat[[#This Row],[uren / jaar weekend]]+Ruimtestaat[[#This Row],[uren / jaar werkdagen]]</f>
        <v>0</v>
      </c>
      <c r="AF38" s="89">
        <f>Ruimtestaat[[#This Row],[kosten / jaar weekend]]+Ruimtestaat[[#This Row],[kosten / jaar werkdagen]]</f>
        <v>0</v>
      </c>
      <c r="AG38" s="114"/>
      <c r="HK38" s="87"/>
    </row>
    <row r="39" spans="1:219" ht="15" customHeight="1">
      <c r="A39" s="129">
        <v>1</v>
      </c>
      <c r="B39" s="21" t="str">
        <f>VLOOKUP(Ruimtestaat[[#This Row],[Code]],Locaties[#All],2,FALSE)</f>
        <v>PXC Aalderinkshoek</v>
      </c>
      <c r="C39" s="21" t="str">
        <f>VLOOKUP(Ruimtestaat[[#This Row],[Code]],Locaties[#All],4,FALSE)</f>
        <v>Cesar Frankstraat 4</v>
      </c>
      <c r="D39" s="21" t="str">
        <f>VLOOKUP(Ruimtestaat[[#This Row],[Code]],Locaties[#All],5,FALSE)</f>
        <v>7604 JG</v>
      </c>
      <c r="E39" s="200" t="str">
        <f>VLOOKUP(Ruimtestaat[[#This Row],[Code]],Locaties[#All],6,FALSE)</f>
        <v>Almelo</v>
      </c>
      <c r="F39" s="244"/>
      <c r="G39" s="215" t="s">
        <v>444</v>
      </c>
      <c r="H39" s="200" t="s">
        <v>495</v>
      </c>
      <c r="I39" s="244" t="s">
        <v>463</v>
      </c>
      <c r="J39" s="200">
        <v>16</v>
      </c>
      <c r="K39" s="200" t="s">
        <v>110</v>
      </c>
      <c r="L39" s="200" t="s">
        <v>132</v>
      </c>
      <c r="M39" s="213">
        <v>69.319999999999993</v>
      </c>
      <c r="N39" s="213"/>
      <c r="O39" s="243" t="str">
        <f>VLOOKUP(Ruimtestaat[[#This Row],[Ruimte code]],Ruimtegroepen[#All],4,FALSE)</f>
        <v>L  (Lesruimte)</v>
      </c>
      <c r="P39" s="214"/>
      <c r="Q39" s="215">
        <v>40</v>
      </c>
      <c r="R39" s="215" t="s">
        <v>2</v>
      </c>
      <c r="S39" s="215">
        <f>IF(R39&gt;0,IF(RIGHT(Ruimtestaat[[#This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" s="215">
        <f>IF(S39&gt;0,VLOOKUP($J39,Ruimtegroepen[],3,FALSE)*VLOOKUP($K39,Vloersoorten[],3,FALSE)*VLOOKUP($R39,Frequenties[],3,FALSE)*VLOOKUP($A39,Locaties[],3,FALSE),0)</f>
        <v>0</v>
      </c>
      <c r="U39" s="215">
        <f>Ruimtestaat[[#This Row],[Uitvoeringen werkdagen]]*Ruimtestaat[[#This Row],[Oppervlak (netto)]]</f>
        <v>13863.999999999998</v>
      </c>
      <c r="V39" s="259">
        <f>IF(T39&gt;0,Ruimtestaat[[#This Row],[Prest. (m2 /jaar) werkdagen]]/Ruimtestaat[[#This Row],[Norm (m2/uur) werkdagen]],0)</f>
        <v>0</v>
      </c>
      <c r="W39" s="260">
        <f>Ruimtestaat[[#This Row],[uren / jaar werkdagen]]*Tariefsopbouw!$D$38</f>
        <v>0</v>
      </c>
      <c r="X39" s="33"/>
      <c r="Y39" s="33">
        <f>IF(Ruimtestaat[[#This Row],[Frequentie weekend]]&gt;0,VALUE(LEFT(X39,1))*Q39,0)</f>
        <v>0</v>
      </c>
      <c r="Z39" s="33">
        <f>IF($Y39&gt;0,VLOOKUP($J39,Ruimtegroepen[],3,FALSE)*VLOOKUP($K39,Vloersoorten[],3,FALSE)*VLOOKUP($X39,Frequenties[],3,FALSE)*VLOOKUP(#REF!,Locaties[],3,FALSE),0)</f>
        <v>0</v>
      </c>
      <c r="AA39" s="33"/>
      <c r="AB39" s="33"/>
      <c r="AC39" s="33">
        <f>Ruimtestaat[[#This Row],[uren / jaar weekend]]*Tariefsopbouw!$D$40</f>
        <v>0</v>
      </c>
      <c r="AD39" s="88">
        <f>Ruimtestaat[[#This Row],[Prest. (m2 /jaar) weekend]]+Ruimtestaat[[#This Row],[Prest. (m2 /jaar) werkdagen]]</f>
        <v>13863.999999999998</v>
      </c>
      <c r="AE39" s="88">
        <f>Ruimtestaat[[#This Row],[uren / jaar weekend]]+Ruimtestaat[[#This Row],[uren / jaar werkdagen]]</f>
        <v>0</v>
      </c>
      <c r="AF39" s="89">
        <f>Ruimtestaat[[#This Row],[kosten / jaar weekend]]+Ruimtestaat[[#This Row],[kosten / jaar werkdagen]]</f>
        <v>0</v>
      </c>
      <c r="AG39" s="114"/>
      <c r="HK39" s="87"/>
    </row>
    <row r="40" spans="1:219" ht="15" customHeight="1">
      <c r="A40" s="129">
        <v>1</v>
      </c>
      <c r="B40" s="21" t="str">
        <f>VLOOKUP(Ruimtestaat[[#This Row],[Code]],Locaties[#All],2,FALSE)</f>
        <v>PXC Aalderinkshoek</v>
      </c>
      <c r="C40" s="21" t="str">
        <f>VLOOKUP(Ruimtestaat[[#This Row],[Code]],Locaties[#All],4,FALSE)</f>
        <v>Cesar Frankstraat 4</v>
      </c>
      <c r="D40" s="21" t="str">
        <f>VLOOKUP(Ruimtestaat[[#This Row],[Code]],Locaties[#All],5,FALSE)</f>
        <v>7604 JG</v>
      </c>
      <c r="E40" s="200" t="str">
        <f>VLOOKUP(Ruimtestaat[[#This Row],[Code]],Locaties[#All],6,FALSE)</f>
        <v>Almelo</v>
      </c>
      <c r="F40" s="244"/>
      <c r="G40" s="215" t="s">
        <v>444</v>
      </c>
      <c r="H40" s="200" t="s">
        <v>496</v>
      </c>
      <c r="I40" s="244" t="s">
        <v>497</v>
      </c>
      <c r="J40" s="200">
        <v>21</v>
      </c>
      <c r="K40" s="200"/>
      <c r="L40" s="200"/>
      <c r="M40" s="213"/>
      <c r="N40" s="213">
        <v>6.6</v>
      </c>
      <c r="O40" s="243" t="str">
        <f>VLOOKUP(Ruimtestaat[[#This Row],[Ruimte code]],Ruimtegroepen[#All],4,FALSE)</f>
        <v>Niet in onderhoud</v>
      </c>
      <c r="P40" s="214"/>
      <c r="Q40" s="215"/>
      <c r="R40" s="215"/>
      <c r="S40" s="215">
        <f>IF(R40&gt;0,IF(RIGHT(Ruimtestaat[[#This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" s="215">
        <f>IF(S40&gt;0,VLOOKUP($J40,Ruimtegroepen[],3,FALSE)*VLOOKUP($K40,Vloersoorten[],3,FALSE)*VLOOKUP($R40,Frequenties[],3,FALSE)*VLOOKUP($A40,Locaties[],3,FALSE),0)</f>
        <v>0</v>
      </c>
      <c r="U40" s="215">
        <f>Ruimtestaat[[#This Row],[Uitvoeringen werkdagen]]*Ruimtestaat[[#This Row],[Oppervlak (netto)]]</f>
        <v>0</v>
      </c>
      <c r="V40" s="259">
        <f>IF(T40&gt;0,Ruimtestaat[[#This Row],[Prest. (m2 /jaar) werkdagen]]/Ruimtestaat[[#This Row],[Norm (m2/uur) werkdagen]],0)</f>
        <v>0</v>
      </c>
      <c r="W40" s="260">
        <f>Ruimtestaat[[#This Row],[uren / jaar werkdagen]]*Tariefsopbouw!$D$38</f>
        <v>0</v>
      </c>
      <c r="X40" s="33"/>
      <c r="Y40" s="33">
        <f>IF(Ruimtestaat[[#This Row],[Frequentie weekend]]&gt;0,VALUE(LEFT(X40,1))*Q40,0)</f>
        <v>0</v>
      </c>
      <c r="Z40" s="33">
        <f>IF($Y40&gt;0,VLOOKUP($J40,Ruimtegroepen[],3,FALSE)*VLOOKUP($K40,Vloersoorten[],3,FALSE)*VLOOKUP($X40,Frequenties[],3,FALSE)*VLOOKUP(#REF!,Locaties[],3,FALSE),0)</f>
        <v>0</v>
      </c>
      <c r="AA40" s="33"/>
      <c r="AB40" s="33"/>
      <c r="AC40" s="33">
        <f>Ruimtestaat[[#This Row],[uren / jaar weekend]]*Tariefsopbouw!$D$40</f>
        <v>0</v>
      </c>
      <c r="AD40" s="88">
        <f>Ruimtestaat[[#This Row],[Prest. (m2 /jaar) weekend]]+Ruimtestaat[[#This Row],[Prest. (m2 /jaar) werkdagen]]</f>
        <v>0</v>
      </c>
      <c r="AE40" s="88">
        <f>Ruimtestaat[[#This Row],[uren / jaar weekend]]+Ruimtestaat[[#This Row],[uren / jaar werkdagen]]</f>
        <v>0</v>
      </c>
      <c r="AF40" s="89">
        <f>Ruimtestaat[[#This Row],[kosten / jaar weekend]]+Ruimtestaat[[#This Row],[kosten / jaar werkdagen]]</f>
        <v>0</v>
      </c>
      <c r="AG40" s="114"/>
      <c r="HK40" s="87"/>
    </row>
    <row r="41" spans="1:219" ht="15" customHeight="1">
      <c r="A41" s="129">
        <v>1</v>
      </c>
      <c r="B41" s="21" t="str">
        <f>VLOOKUP(Ruimtestaat[[#This Row],[Code]],Locaties[#All],2,FALSE)</f>
        <v>PXC Aalderinkshoek</v>
      </c>
      <c r="C41" s="21" t="str">
        <f>VLOOKUP(Ruimtestaat[[#This Row],[Code]],Locaties[#All],4,FALSE)</f>
        <v>Cesar Frankstraat 4</v>
      </c>
      <c r="D41" s="21" t="str">
        <f>VLOOKUP(Ruimtestaat[[#This Row],[Code]],Locaties[#All],5,FALSE)</f>
        <v>7604 JG</v>
      </c>
      <c r="E41" s="200" t="str">
        <f>VLOOKUP(Ruimtestaat[[#This Row],[Code]],Locaties[#All],6,FALSE)</f>
        <v>Almelo</v>
      </c>
      <c r="F41" s="244"/>
      <c r="G41" s="215" t="s">
        <v>444</v>
      </c>
      <c r="H41" s="200" t="s">
        <v>498</v>
      </c>
      <c r="I41" s="244" t="s">
        <v>450</v>
      </c>
      <c r="J41" s="200">
        <v>21</v>
      </c>
      <c r="K41" s="200"/>
      <c r="L41" s="200"/>
      <c r="M41" s="213"/>
      <c r="N41" s="213">
        <v>16.399999999999999</v>
      </c>
      <c r="O41" s="243" t="str">
        <f>VLOOKUP(Ruimtestaat[[#This Row],[Ruimte code]],Ruimtegroepen[#All],4,FALSE)</f>
        <v>Niet in onderhoud</v>
      </c>
      <c r="P41" s="214"/>
      <c r="Q41" s="215"/>
      <c r="R41" s="215"/>
      <c r="S41" s="215">
        <f>IF(R41&gt;0,IF(RIGHT(Ruimtestaat[[#This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1" s="215">
        <f>IF(S41&gt;0,VLOOKUP($J41,Ruimtegroepen[],3,FALSE)*VLOOKUP($K41,Vloersoorten[],3,FALSE)*VLOOKUP($R41,Frequenties[],3,FALSE)*VLOOKUP($A41,Locaties[],3,FALSE),0)</f>
        <v>0</v>
      </c>
      <c r="U41" s="215">
        <f>Ruimtestaat[[#This Row],[Uitvoeringen werkdagen]]*Ruimtestaat[[#This Row],[Oppervlak (netto)]]</f>
        <v>0</v>
      </c>
      <c r="V41" s="259">
        <f>IF(T41&gt;0,Ruimtestaat[[#This Row],[Prest. (m2 /jaar) werkdagen]]/Ruimtestaat[[#This Row],[Norm (m2/uur) werkdagen]],0)</f>
        <v>0</v>
      </c>
      <c r="W41" s="260">
        <f>Ruimtestaat[[#This Row],[uren / jaar werkdagen]]*Tariefsopbouw!$D$38</f>
        <v>0</v>
      </c>
      <c r="X41" s="33"/>
      <c r="Y41" s="33">
        <f>IF(Ruimtestaat[[#This Row],[Frequentie weekend]]&gt;0,VALUE(LEFT(X41,1))*Q41,0)</f>
        <v>0</v>
      </c>
      <c r="Z41" s="33">
        <f>IF($Y41&gt;0,VLOOKUP($J41,Ruimtegroepen[],3,FALSE)*VLOOKUP($K41,Vloersoorten[],3,FALSE)*VLOOKUP($X41,Frequenties[],3,FALSE)*VLOOKUP(#REF!,Locaties[],3,FALSE),0)</f>
        <v>0</v>
      </c>
      <c r="AA41" s="33"/>
      <c r="AB41" s="33"/>
      <c r="AC41" s="33">
        <f>Ruimtestaat[[#This Row],[uren / jaar weekend]]*Tariefsopbouw!$D$40</f>
        <v>0</v>
      </c>
      <c r="AD41" s="88">
        <f>Ruimtestaat[[#This Row],[Prest. (m2 /jaar) weekend]]+Ruimtestaat[[#This Row],[Prest. (m2 /jaar) werkdagen]]</f>
        <v>0</v>
      </c>
      <c r="AE41" s="88">
        <f>Ruimtestaat[[#This Row],[uren / jaar weekend]]+Ruimtestaat[[#This Row],[uren / jaar werkdagen]]</f>
        <v>0</v>
      </c>
      <c r="AF41" s="89">
        <f>Ruimtestaat[[#This Row],[kosten / jaar weekend]]+Ruimtestaat[[#This Row],[kosten / jaar werkdagen]]</f>
        <v>0</v>
      </c>
      <c r="AG41" s="114"/>
      <c r="HK41" s="87"/>
    </row>
    <row r="42" spans="1:219" ht="15" customHeight="1">
      <c r="A42" s="129">
        <v>1</v>
      </c>
      <c r="B42" s="21" t="str">
        <f>VLOOKUP(Ruimtestaat[[#This Row],[Code]],Locaties[#All],2,FALSE)</f>
        <v>PXC Aalderinkshoek</v>
      </c>
      <c r="C42" s="21" t="str">
        <f>VLOOKUP(Ruimtestaat[[#This Row],[Code]],Locaties[#All],4,FALSE)</f>
        <v>Cesar Frankstraat 4</v>
      </c>
      <c r="D42" s="21" t="str">
        <f>VLOOKUP(Ruimtestaat[[#This Row],[Code]],Locaties[#All],5,FALSE)</f>
        <v>7604 JG</v>
      </c>
      <c r="E42" s="200" t="str">
        <f>VLOOKUP(Ruimtestaat[[#This Row],[Code]],Locaties[#All],6,FALSE)</f>
        <v>Almelo</v>
      </c>
      <c r="F42" s="244"/>
      <c r="G42" s="215" t="s">
        <v>444</v>
      </c>
      <c r="H42" s="200" t="s">
        <v>499</v>
      </c>
      <c r="I42" s="244" t="s">
        <v>459</v>
      </c>
      <c r="J42" s="200">
        <v>21</v>
      </c>
      <c r="K42" s="200"/>
      <c r="L42" s="200"/>
      <c r="M42" s="213"/>
      <c r="N42" s="213">
        <v>3.59</v>
      </c>
      <c r="O42" s="243" t="str">
        <f>VLOOKUP(Ruimtestaat[[#This Row],[Ruimte code]],Ruimtegroepen[#All],4,FALSE)</f>
        <v>Niet in onderhoud</v>
      </c>
      <c r="P42" s="214"/>
      <c r="Q42" s="215"/>
      <c r="R42" s="215"/>
      <c r="S42" s="215">
        <f>IF(R42&gt;0,IF(RIGHT(Ruimtestaat[[#This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2" s="215">
        <f>IF(S42&gt;0,VLOOKUP($J42,Ruimtegroepen[],3,FALSE)*VLOOKUP($K42,Vloersoorten[],3,FALSE)*VLOOKUP($R42,Frequenties[],3,FALSE)*VLOOKUP($A42,Locaties[],3,FALSE),0)</f>
        <v>0</v>
      </c>
      <c r="U42" s="215">
        <f>Ruimtestaat[[#This Row],[Uitvoeringen werkdagen]]*Ruimtestaat[[#This Row],[Oppervlak (netto)]]</f>
        <v>0</v>
      </c>
      <c r="V42" s="259">
        <f>IF(T42&gt;0,Ruimtestaat[[#This Row],[Prest. (m2 /jaar) werkdagen]]/Ruimtestaat[[#This Row],[Norm (m2/uur) werkdagen]],0)</f>
        <v>0</v>
      </c>
      <c r="W42" s="260">
        <f>Ruimtestaat[[#This Row],[uren / jaar werkdagen]]*Tariefsopbouw!$D$38</f>
        <v>0</v>
      </c>
      <c r="X42" s="33"/>
      <c r="Y42" s="33">
        <f>IF(Ruimtestaat[[#This Row],[Frequentie weekend]]&gt;0,VALUE(LEFT(X42,1))*Q42,0)</f>
        <v>0</v>
      </c>
      <c r="Z42" s="33">
        <f>IF($Y42&gt;0,VLOOKUP($J42,Ruimtegroepen[],3,FALSE)*VLOOKUP($K42,Vloersoorten[],3,FALSE)*VLOOKUP($X42,Frequenties[],3,FALSE)*VLOOKUP(#REF!,Locaties[],3,FALSE),0)</f>
        <v>0</v>
      </c>
      <c r="AA42" s="33"/>
      <c r="AB42" s="33"/>
      <c r="AC42" s="33">
        <f>Ruimtestaat[[#This Row],[uren / jaar weekend]]*Tariefsopbouw!$D$40</f>
        <v>0</v>
      </c>
      <c r="AD42" s="88">
        <f>Ruimtestaat[[#This Row],[Prest. (m2 /jaar) weekend]]+Ruimtestaat[[#This Row],[Prest. (m2 /jaar) werkdagen]]</f>
        <v>0</v>
      </c>
      <c r="AE42" s="88">
        <f>Ruimtestaat[[#This Row],[uren / jaar weekend]]+Ruimtestaat[[#This Row],[uren / jaar werkdagen]]</f>
        <v>0</v>
      </c>
      <c r="AF42" s="89">
        <f>Ruimtestaat[[#This Row],[kosten / jaar weekend]]+Ruimtestaat[[#This Row],[kosten / jaar werkdagen]]</f>
        <v>0</v>
      </c>
      <c r="AG42" s="114"/>
      <c r="HK42" s="87"/>
    </row>
    <row r="43" spans="1:219" ht="15" customHeight="1">
      <c r="A43" s="129">
        <v>1</v>
      </c>
      <c r="B43" s="21" t="str">
        <f>VLOOKUP(Ruimtestaat[[#This Row],[Code]],Locaties[#All],2,FALSE)</f>
        <v>PXC Aalderinkshoek</v>
      </c>
      <c r="C43" s="21" t="str">
        <f>VLOOKUP(Ruimtestaat[[#This Row],[Code]],Locaties[#All],4,FALSE)</f>
        <v>Cesar Frankstraat 4</v>
      </c>
      <c r="D43" s="21" t="str">
        <f>VLOOKUP(Ruimtestaat[[#This Row],[Code]],Locaties[#All],5,FALSE)</f>
        <v>7604 JG</v>
      </c>
      <c r="E43" s="200" t="str">
        <f>VLOOKUP(Ruimtestaat[[#This Row],[Code]],Locaties[#All],6,FALSE)</f>
        <v>Almelo</v>
      </c>
      <c r="F43" s="244"/>
      <c r="G43" s="215" t="s">
        <v>444</v>
      </c>
      <c r="H43" s="200" t="s">
        <v>500</v>
      </c>
      <c r="I43" s="244" t="s">
        <v>501</v>
      </c>
      <c r="J43" s="200">
        <v>18</v>
      </c>
      <c r="K43" s="200" t="s">
        <v>112</v>
      </c>
      <c r="L43" s="200" t="s">
        <v>1347</v>
      </c>
      <c r="M43" s="213">
        <v>252.82</v>
      </c>
      <c r="N43" s="213"/>
      <c r="O43" s="243" t="str">
        <f>VLOOKUP(Ruimtestaat[[#This Row],[Ruimte code]],Ruimtegroepen[#All],4,FALSE)</f>
        <v>Sp  (Sportruimte)</v>
      </c>
      <c r="P43" s="214"/>
      <c r="Q43" s="215">
        <v>40</v>
      </c>
      <c r="R43" s="215" t="s">
        <v>2</v>
      </c>
      <c r="S43" s="215">
        <f>IF(R43&gt;0,IF(RIGHT(Ruimtestaat[[#This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" s="215">
        <f>IF(S43&gt;0,VLOOKUP($J43,Ruimtegroepen[],3,FALSE)*VLOOKUP($K43,Vloersoorten[],3,FALSE)*VLOOKUP($R43,Frequenties[],3,FALSE)*VLOOKUP($A43,Locaties[],3,FALSE),0)</f>
        <v>0</v>
      </c>
      <c r="U43" s="215">
        <f>Ruimtestaat[[#This Row],[Uitvoeringen werkdagen]]*Ruimtestaat[[#This Row],[Oppervlak (netto)]]</f>
        <v>50564</v>
      </c>
      <c r="V43" s="259">
        <f>IF(T43&gt;0,Ruimtestaat[[#This Row],[Prest. (m2 /jaar) werkdagen]]/Ruimtestaat[[#This Row],[Norm (m2/uur) werkdagen]],0)</f>
        <v>0</v>
      </c>
      <c r="W43" s="260">
        <f>Ruimtestaat[[#This Row],[uren / jaar werkdagen]]*Tariefsopbouw!$D$38</f>
        <v>0</v>
      </c>
      <c r="X43" s="33"/>
      <c r="Y43" s="33">
        <f>IF(Ruimtestaat[[#This Row],[Frequentie weekend]]&gt;0,VALUE(LEFT(X43,1))*Q43,0)</f>
        <v>0</v>
      </c>
      <c r="Z43" s="33">
        <f>IF($Y43&gt;0,VLOOKUP($J43,Ruimtegroepen[],3,FALSE)*VLOOKUP($K43,Vloersoorten[],3,FALSE)*VLOOKUP($X43,Frequenties[],3,FALSE)*VLOOKUP(#REF!,Locaties[],3,FALSE),0)</f>
        <v>0</v>
      </c>
      <c r="AA43" s="33"/>
      <c r="AB43" s="33"/>
      <c r="AC43" s="33">
        <f>Ruimtestaat[[#This Row],[uren / jaar weekend]]*Tariefsopbouw!$D$40</f>
        <v>0</v>
      </c>
      <c r="AD43" s="88">
        <f>Ruimtestaat[[#This Row],[Prest. (m2 /jaar) weekend]]+Ruimtestaat[[#This Row],[Prest. (m2 /jaar) werkdagen]]</f>
        <v>50564</v>
      </c>
      <c r="AE43" s="88">
        <f>Ruimtestaat[[#This Row],[uren / jaar weekend]]+Ruimtestaat[[#This Row],[uren / jaar werkdagen]]</f>
        <v>0</v>
      </c>
      <c r="AF43" s="89">
        <f>Ruimtestaat[[#This Row],[kosten / jaar weekend]]+Ruimtestaat[[#This Row],[kosten / jaar werkdagen]]</f>
        <v>0</v>
      </c>
      <c r="AG43" s="114"/>
      <c r="HK43" s="87"/>
    </row>
    <row r="44" spans="1:219" ht="15" customHeight="1">
      <c r="A44" s="129">
        <v>1</v>
      </c>
      <c r="B44" s="21" t="str">
        <f>VLOOKUP(Ruimtestaat[[#This Row],[Code]],Locaties[#All],2,FALSE)</f>
        <v>PXC Aalderinkshoek</v>
      </c>
      <c r="C44" s="21" t="str">
        <f>VLOOKUP(Ruimtestaat[[#This Row],[Code]],Locaties[#All],4,FALSE)</f>
        <v>Cesar Frankstraat 4</v>
      </c>
      <c r="D44" s="21" t="str">
        <f>VLOOKUP(Ruimtestaat[[#This Row],[Code]],Locaties[#All],5,FALSE)</f>
        <v>7604 JG</v>
      </c>
      <c r="E44" s="200" t="str">
        <f>VLOOKUP(Ruimtestaat[[#This Row],[Code]],Locaties[#All],6,FALSE)</f>
        <v>Almelo</v>
      </c>
      <c r="F44" s="244"/>
      <c r="G44" s="215" t="s">
        <v>444</v>
      </c>
      <c r="H44" s="200" t="s">
        <v>502</v>
      </c>
      <c r="I44" s="244" t="s">
        <v>503</v>
      </c>
      <c r="J44" s="200">
        <v>19</v>
      </c>
      <c r="K44" s="200" t="s">
        <v>111</v>
      </c>
      <c r="L44" s="200" t="s">
        <v>128</v>
      </c>
      <c r="M44" s="213">
        <v>73.12</v>
      </c>
      <c r="N44" s="213"/>
      <c r="O44" s="243" t="str">
        <f>VLOOKUP(Ruimtestaat[[#This Row],[Ruimte code]],Ruimtegroepen[#All],4,FALSE)</f>
        <v>V  (Verkeersruimte)</v>
      </c>
      <c r="P44" s="214"/>
      <c r="Q44" s="215">
        <v>40</v>
      </c>
      <c r="R44" s="215" t="s">
        <v>2</v>
      </c>
      <c r="S44" s="215">
        <f>IF(R44&gt;0,IF(RIGHT(Ruimtestaat[[#This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" s="215">
        <f>IF(S44&gt;0,VLOOKUP($J44,Ruimtegroepen[],3,FALSE)*VLOOKUP($K44,Vloersoorten[],3,FALSE)*VLOOKUP($R44,Frequenties[],3,FALSE)*VLOOKUP($A44,Locaties[],3,FALSE),0)</f>
        <v>0</v>
      </c>
      <c r="U44" s="215">
        <f>Ruimtestaat[[#This Row],[Uitvoeringen werkdagen]]*Ruimtestaat[[#This Row],[Oppervlak (netto)]]</f>
        <v>14624</v>
      </c>
      <c r="V44" s="259">
        <f>IF(T44&gt;0,Ruimtestaat[[#This Row],[Prest. (m2 /jaar) werkdagen]]/Ruimtestaat[[#This Row],[Norm (m2/uur) werkdagen]],0)</f>
        <v>0</v>
      </c>
      <c r="W44" s="260">
        <f>Ruimtestaat[[#This Row],[uren / jaar werkdagen]]*Tariefsopbouw!$D$38</f>
        <v>0</v>
      </c>
      <c r="X44" s="33"/>
      <c r="Y44" s="33">
        <f>IF(Ruimtestaat[[#This Row],[Frequentie weekend]]&gt;0,VALUE(LEFT(X44,1))*Q44,0)</f>
        <v>0</v>
      </c>
      <c r="Z44" s="33">
        <f>IF($Y44&gt;0,VLOOKUP($J44,Ruimtegroepen[],3,FALSE)*VLOOKUP($K44,Vloersoorten[],3,FALSE)*VLOOKUP($X44,Frequenties[],3,FALSE)*VLOOKUP(#REF!,Locaties[],3,FALSE),0)</f>
        <v>0</v>
      </c>
      <c r="AA44" s="33"/>
      <c r="AB44" s="33"/>
      <c r="AC44" s="33">
        <f>Ruimtestaat[[#This Row],[uren / jaar weekend]]*Tariefsopbouw!$D$40</f>
        <v>0</v>
      </c>
      <c r="AD44" s="88">
        <f>Ruimtestaat[[#This Row],[Prest. (m2 /jaar) weekend]]+Ruimtestaat[[#This Row],[Prest. (m2 /jaar) werkdagen]]</f>
        <v>14624</v>
      </c>
      <c r="AE44" s="88">
        <f>Ruimtestaat[[#This Row],[uren / jaar weekend]]+Ruimtestaat[[#This Row],[uren / jaar werkdagen]]</f>
        <v>0</v>
      </c>
      <c r="AF44" s="89">
        <f>Ruimtestaat[[#This Row],[kosten / jaar weekend]]+Ruimtestaat[[#This Row],[kosten / jaar werkdagen]]</f>
        <v>0</v>
      </c>
      <c r="AG44" s="114"/>
      <c r="HK44" s="87"/>
    </row>
    <row r="45" spans="1:219" ht="15" customHeight="1">
      <c r="A45" s="129">
        <v>1</v>
      </c>
      <c r="B45" s="21" t="str">
        <f>VLOOKUP(Ruimtestaat[[#This Row],[Code]],Locaties[#All],2,FALSE)</f>
        <v>PXC Aalderinkshoek</v>
      </c>
      <c r="C45" s="21" t="str">
        <f>VLOOKUP(Ruimtestaat[[#This Row],[Code]],Locaties[#All],4,FALSE)</f>
        <v>Cesar Frankstraat 4</v>
      </c>
      <c r="D45" s="21" t="str">
        <f>VLOOKUP(Ruimtestaat[[#This Row],[Code]],Locaties[#All],5,FALSE)</f>
        <v>7604 JG</v>
      </c>
      <c r="E45" s="200" t="str">
        <f>VLOOKUP(Ruimtestaat[[#This Row],[Code]],Locaties[#All],6,FALSE)</f>
        <v>Almelo</v>
      </c>
      <c r="F45" s="244"/>
      <c r="G45" s="215" t="s">
        <v>444</v>
      </c>
      <c r="H45" s="200" t="s">
        <v>504</v>
      </c>
      <c r="I45" s="244" t="s">
        <v>447</v>
      </c>
      <c r="J45" s="200">
        <v>1</v>
      </c>
      <c r="K45" s="215" t="s">
        <v>110</v>
      </c>
      <c r="L45" s="200" t="s">
        <v>132</v>
      </c>
      <c r="M45" s="213">
        <v>30.05</v>
      </c>
      <c r="N45" s="213"/>
      <c r="O45" s="243" t="str">
        <f>VLOOKUP(Ruimtestaat[[#This Row],[Ruimte code]],Ruimtegroepen[#All],4,FALSE)</f>
        <v>V  (Verkeersruimte)</v>
      </c>
      <c r="P45" s="214"/>
      <c r="Q45" s="215">
        <v>40</v>
      </c>
      <c r="R45" s="215" t="s">
        <v>16</v>
      </c>
      <c r="S45" s="215">
        <f>IF(R45&gt;0,IF(RIGHT(Ruimtestaat[[#This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5" s="215">
        <f>IF(S45&gt;0,VLOOKUP($J45,Ruimtegroepen[],3,FALSE)*VLOOKUP($K45,Vloersoorten[],3,FALSE)*VLOOKUP($R45,Frequenties[],3,FALSE)*VLOOKUP($A45,Locaties[],3,FALSE),0)</f>
        <v>0</v>
      </c>
      <c r="U45" s="215">
        <f>Ruimtestaat[[#This Row],[Uitvoeringen werkdagen]]*Ruimtestaat[[#This Row],[Oppervlak (netto)]]</f>
        <v>360.6</v>
      </c>
      <c r="V45" s="259">
        <f>IF(T45&gt;0,Ruimtestaat[[#This Row],[Prest. (m2 /jaar) werkdagen]]/Ruimtestaat[[#This Row],[Norm (m2/uur) werkdagen]],0)</f>
        <v>0</v>
      </c>
      <c r="W45" s="260">
        <f>Ruimtestaat[[#This Row],[uren / jaar werkdagen]]*Tariefsopbouw!$D$38</f>
        <v>0</v>
      </c>
      <c r="X45" s="33"/>
      <c r="Y45" s="33">
        <f>IF(Ruimtestaat[[#This Row],[Frequentie weekend]]&gt;0,VALUE(LEFT(X45,1))*Q45,0)</f>
        <v>0</v>
      </c>
      <c r="Z45" s="33">
        <f>IF($Y45&gt;0,VLOOKUP($J45,Ruimtegroepen[],3,FALSE)*VLOOKUP($K45,Vloersoorten[],3,FALSE)*VLOOKUP($X45,Frequenties[],3,FALSE)*VLOOKUP(#REF!,Locaties[],3,FALSE),0)</f>
        <v>0</v>
      </c>
      <c r="AA45" s="33"/>
      <c r="AB45" s="33"/>
      <c r="AC45" s="33">
        <f>Ruimtestaat[[#This Row],[uren / jaar weekend]]*Tariefsopbouw!$D$40</f>
        <v>0</v>
      </c>
      <c r="AD45" s="88">
        <f>Ruimtestaat[[#This Row],[Prest. (m2 /jaar) weekend]]+Ruimtestaat[[#This Row],[Prest. (m2 /jaar) werkdagen]]</f>
        <v>360.6</v>
      </c>
      <c r="AE45" s="88">
        <f>Ruimtestaat[[#This Row],[uren / jaar weekend]]+Ruimtestaat[[#This Row],[uren / jaar werkdagen]]</f>
        <v>0</v>
      </c>
      <c r="AF45" s="89">
        <f>Ruimtestaat[[#This Row],[kosten / jaar weekend]]+Ruimtestaat[[#This Row],[kosten / jaar werkdagen]]</f>
        <v>0</v>
      </c>
      <c r="AG45" s="114"/>
      <c r="HK45" s="87"/>
    </row>
    <row r="46" spans="1:219" ht="15" customHeight="1">
      <c r="A46" s="129">
        <v>1</v>
      </c>
      <c r="B46" s="21" t="str">
        <f>VLOOKUP(Ruimtestaat[[#This Row],[Code]],Locaties[#All],2,FALSE)</f>
        <v>PXC Aalderinkshoek</v>
      </c>
      <c r="C46" s="21" t="str">
        <f>VLOOKUP(Ruimtestaat[[#This Row],[Code]],Locaties[#All],4,FALSE)</f>
        <v>Cesar Frankstraat 4</v>
      </c>
      <c r="D46" s="21" t="str">
        <f>VLOOKUP(Ruimtestaat[[#This Row],[Code]],Locaties[#All],5,FALSE)</f>
        <v>7604 JG</v>
      </c>
      <c r="E46" s="200" t="str">
        <f>VLOOKUP(Ruimtestaat[[#This Row],[Code]],Locaties[#All],6,FALSE)</f>
        <v>Almelo</v>
      </c>
      <c r="F46" s="244"/>
      <c r="G46" s="215" t="s">
        <v>444</v>
      </c>
      <c r="H46" s="200" t="s">
        <v>505</v>
      </c>
      <c r="I46" s="244" t="s">
        <v>447</v>
      </c>
      <c r="J46" s="200">
        <v>1</v>
      </c>
      <c r="K46" s="215" t="s">
        <v>110</v>
      </c>
      <c r="L46" s="200" t="s">
        <v>132</v>
      </c>
      <c r="M46" s="213">
        <v>36.99</v>
      </c>
      <c r="N46" s="213"/>
      <c r="O46" s="243" t="str">
        <f>VLOOKUP(Ruimtestaat[[#This Row],[Ruimte code]],Ruimtegroepen[#All],4,FALSE)</f>
        <v>V  (Verkeersruimte)</v>
      </c>
      <c r="P46" s="214"/>
      <c r="Q46" s="215">
        <v>40</v>
      </c>
      <c r="R46" s="215" t="s">
        <v>16</v>
      </c>
      <c r="S46" s="215">
        <f>IF(R46&gt;0,IF(RIGHT(Ruimtestaat[[#This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6" s="215">
        <f>IF(S46&gt;0,VLOOKUP($J46,Ruimtegroepen[],3,FALSE)*VLOOKUP($K46,Vloersoorten[],3,FALSE)*VLOOKUP($R46,Frequenties[],3,FALSE)*VLOOKUP($A46,Locaties[],3,FALSE),0)</f>
        <v>0</v>
      </c>
      <c r="U46" s="215">
        <f>Ruimtestaat[[#This Row],[Uitvoeringen werkdagen]]*Ruimtestaat[[#This Row],[Oppervlak (netto)]]</f>
        <v>443.88</v>
      </c>
      <c r="V46" s="259">
        <f>IF(T46&gt;0,Ruimtestaat[[#This Row],[Prest. (m2 /jaar) werkdagen]]/Ruimtestaat[[#This Row],[Norm (m2/uur) werkdagen]],0)</f>
        <v>0</v>
      </c>
      <c r="W46" s="260">
        <f>Ruimtestaat[[#This Row],[uren / jaar werkdagen]]*Tariefsopbouw!$D$38</f>
        <v>0</v>
      </c>
      <c r="X46" s="33"/>
      <c r="Y46" s="33">
        <f>IF(Ruimtestaat[[#This Row],[Frequentie weekend]]&gt;0,VALUE(LEFT(X46,1))*Q46,0)</f>
        <v>0</v>
      </c>
      <c r="Z46" s="33">
        <f>IF($Y46&gt;0,VLOOKUP($J46,Ruimtegroepen[],3,FALSE)*VLOOKUP($K46,Vloersoorten[],3,FALSE)*VLOOKUP($X46,Frequenties[],3,FALSE)*VLOOKUP(#REF!,Locaties[],3,FALSE),0)</f>
        <v>0</v>
      </c>
      <c r="AA46" s="33"/>
      <c r="AB46" s="33"/>
      <c r="AC46" s="33">
        <f>Ruimtestaat[[#This Row],[uren / jaar weekend]]*Tariefsopbouw!$D$40</f>
        <v>0</v>
      </c>
      <c r="AD46" s="88">
        <f>Ruimtestaat[[#This Row],[Prest. (m2 /jaar) weekend]]+Ruimtestaat[[#This Row],[Prest. (m2 /jaar) werkdagen]]</f>
        <v>443.88</v>
      </c>
      <c r="AE46" s="88">
        <f>Ruimtestaat[[#This Row],[uren / jaar weekend]]+Ruimtestaat[[#This Row],[uren / jaar werkdagen]]</f>
        <v>0</v>
      </c>
      <c r="AF46" s="89">
        <f>Ruimtestaat[[#This Row],[kosten / jaar weekend]]+Ruimtestaat[[#This Row],[kosten / jaar werkdagen]]</f>
        <v>0</v>
      </c>
      <c r="AG46" s="114"/>
      <c r="HK46" s="87"/>
    </row>
    <row r="47" spans="1:219" ht="15" customHeight="1">
      <c r="A47" s="129">
        <v>1</v>
      </c>
      <c r="B47" s="21" t="str">
        <f>VLOOKUP(Ruimtestaat[[#This Row],[Code]],Locaties[#All],2,FALSE)</f>
        <v>PXC Aalderinkshoek</v>
      </c>
      <c r="C47" s="21" t="str">
        <f>VLOOKUP(Ruimtestaat[[#This Row],[Code]],Locaties[#All],4,FALSE)</f>
        <v>Cesar Frankstraat 4</v>
      </c>
      <c r="D47" s="21" t="str">
        <f>VLOOKUP(Ruimtestaat[[#This Row],[Code]],Locaties[#All],5,FALSE)</f>
        <v>7604 JG</v>
      </c>
      <c r="E47" s="200" t="str">
        <f>VLOOKUP(Ruimtestaat[[#This Row],[Code]],Locaties[#All],6,FALSE)</f>
        <v>Almelo</v>
      </c>
      <c r="F47" s="244"/>
      <c r="G47" s="215" t="s">
        <v>444</v>
      </c>
      <c r="H47" s="200" t="s">
        <v>506</v>
      </c>
      <c r="I47" s="244" t="s">
        <v>469</v>
      </c>
      <c r="J47" s="200">
        <v>6</v>
      </c>
      <c r="K47" s="200" t="s">
        <v>110</v>
      </c>
      <c r="L47" s="200" t="s">
        <v>132</v>
      </c>
      <c r="M47" s="213">
        <v>36.729999999999997</v>
      </c>
      <c r="N47" s="213"/>
      <c r="O47" s="243" t="str">
        <f>VLOOKUP(Ruimtestaat[[#This Row],[Ruimte code]],Ruimtegroepen[#All],4,FALSE)</f>
        <v>V  (Verkeersruimte)</v>
      </c>
      <c r="P47" s="214"/>
      <c r="Q47" s="215">
        <v>40</v>
      </c>
      <c r="R47" s="215" t="s">
        <v>15</v>
      </c>
      <c r="S47" s="215">
        <f>IF(R47&gt;0,IF(RIGHT(Ruimtestaat[[#This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47" s="215">
        <f>IF(S47&gt;0,VLOOKUP($J47,Ruimtegroepen[],3,FALSE)*VLOOKUP($K47,Vloersoorten[],3,FALSE)*VLOOKUP($R47,Frequenties[],3,FALSE)*VLOOKUP($A47,Locaties[],3,FALSE),0)</f>
        <v>0</v>
      </c>
      <c r="U47" s="215">
        <f>Ruimtestaat[[#This Row],[Uitvoeringen werkdagen]]*Ruimtestaat[[#This Row],[Oppervlak (netto)]]</f>
        <v>1469.1999999999998</v>
      </c>
      <c r="V47" s="259">
        <f>IF(T47&gt;0,Ruimtestaat[[#This Row],[Prest. (m2 /jaar) werkdagen]]/Ruimtestaat[[#This Row],[Norm (m2/uur) werkdagen]],0)</f>
        <v>0</v>
      </c>
      <c r="W47" s="260">
        <f>Ruimtestaat[[#This Row],[uren / jaar werkdagen]]*Tariefsopbouw!$D$38</f>
        <v>0</v>
      </c>
      <c r="X47" s="33"/>
      <c r="Y47" s="33">
        <f>IF(Ruimtestaat[[#This Row],[Frequentie weekend]]&gt;0,VALUE(LEFT(X47,1))*Q47,0)</f>
        <v>0</v>
      </c>
      <c r="Z47" s="33">
        <f>IF($Y47&gt;0,VLOOKUP($J47,Ruimtegroepen[],3,FALSE)*VLOOKUP($K47,Vloersoorten[],3,FALSE)*VLOOKUP($X47,Frequenties[],3,FALSE)*VLOOKUP(#REF!,Locaties[],3,FALSE),0)</f>
        <v>0</v>
      </c>
      <c r="AA47" s="33"/>
      <c r="AB47" s="33"/>
      <c r="AC47" s="33">
        <f>Ruimtestaat[[#This Row],[uren / jaar weekend]]*Tariefsopbouw!$D$40</f>
        <v>0</v>
      </c>
      <c r="AD47" s="88">
        <f>Ruimtestaat[[#This Row],[Prest. (m2 /jaar) weekend]]+Ruimtestaat[[#This Row],[Prest. (m2 /jaar) werkdagen]]</f>
        <v>1469.1999999999998</v>
      </c>
      <c r="AE47" s="88">
        <f>Ruimtestaat[[#This Row],[uren / jaar weekend]]+Ruimtestaat[[#This Row],[uren / jaar werkdagen]]</f>
        <v>0</v>
      </c>
      <c r="AF47" s="89">
        <f>Ruimtestaat[[#This Row],[kosten / jaar weekend]]+Ruimtestaat[[#This Row],[kosten / jaar werkdagen]]</f>
        <v>0</v>
      </c>
      <c r="AG47" s="114"/>
      <c r="HK47" s="87"/>
    </row>
    <row r="48" spans="1:219" ht="15" customHeight="1">
      <c r="A48" s="129">
        <v>1</v>
      </c>
      <c r="B48" s="21" t="str">
        <f>VLOOKUP(Ruimtestaat[[#This Row],[Code]],Locaties[#All],2,FALSE)</f>
        <v>PXC Aalderinkshoek</v>
      </c>
      <c r="C48" s="21" t="str">
        <f>VLOOKUP(Ruimtestaat[[#This Row],[Code]],Locaties[#All],4,FALSE)</f>
        <v>Cesar Frankstraat 4</v>
      </c>
      <c r="D48" s="21" t="str">
        <f>VLOOKUP(Ruimtestaat[[#This Row],[Code]],Locaties[#All],5,FALSE)</f>
        <v>7604 JG</v>
      </c>
      <c r="E48" s="200" t="str">
        <f>VLOOKUP(Ruimtestaat[[#This Row],[Code]],Locaties[#All],6,FALSE)</f>
        <v>Almelo</v>
      </c>
      <c r="F48" s="244"/>
      <c r="G48" s="200" t="s">
        <v>444</v>
      </c>
      <c r="H48" s="200" t="s">
        <v>507</v>
      </c>
      <c r="I48" s="244" t="s">
        <v>508</v>
      </c>
      <c r="J48" s="200">
        <v>19</v>
      </c>
      <c r="K48" s="200" t="s">
        <v>111</v>
      </c>
      <c r="L48" s="200" t="s">
        <v>128</v>
      </c>
      <c r="M48" s="213">
        <v>26.53</v>
      </c>
      <c r="N48" s="213"/>
      <c r="O48" s="243" t="str">
        <f>VLOOKUP(Ruimtestaat[[#This Row],[Ruimte code]],Ruimtegroepen[#All],4,FALSE)</f>
        <v>V  (Verkeersruimte)</v>
      </c>
      <c r="P48" s="214"/>
      <c r="Q48" s="215">
        <v>40</v>
      </c>
      <c r="R48" s="215" t="s">
        <v>2</v>
      </c>
      <c r="S48" s="215">
        <f>IF(R48&gt;0,IF(RIGHT(Ruimtestaat[[#This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" s="215">
        <f>IF(S48&gt;0,VLOOKUP($J48,Ruimtegroepen[],3,FALSE)*VLOOKUP($K48,Vloersoorten[],3,FALSE)*VLOOKUP($R48,Frequenties[],3,FALSE)*VLOOKUP($A48,Locaties[],3,FALSE),0)</f>
        <v>0</v>
      </c>
      <c r="U48" s="215">
        <f>Ruimtestaat[[#This Row],[Uitvoeringen werkdagen]]*Ruimtestaat[[#This Row],[Oppervlak (netto)]]</f>
        <v>5306</v>
      </c>
      <c r="V48" s="259">
        <f>IF(T48&gt;0,Ruimtestaat[[#This Row],[Prest. (m2 /jaar) werkdagen]]/Ruimtestaat[[#This Row],[Norm (m2/uur) werkdagen]],0)</f>
        <v>0</v>
      </c>
      <c r="W48" s="260">
        <f>Ruimtestaat[[#This Row],[uren / jaar werkdagen]]*Tariefsopbouw!$D$38</f>
        <v>0</v>
      </c>
      <c r="X48" s="33"/>
      <c r="Y48" s="33">
        <f>IF(Ruimtestaat[[#This Row],[Frequentie weekend]]&gt;0,VALUE(LEFT(X48,1))*Q48,0)</f>
        <v>0</v>
      </c>
      <c r="Z48" s="33">
        <f>IF($Y48&gt;0,VLOOKUP($J48,Ruimtegroepen[],3,FALSE)*VLOOKUP($K48,Vloersoorten[],3,FALSE)*VLOOKUP($X48,Frequenties[],3,FALSE)*VLOOKUP(#REF!,Locaties[],3,FALSE),0)</f>
        <v>0</v>
      </c>
      <c r="AA48" s="33"/>
      <c r="AB48" s="33"/>
      <c r="AC48" s="33">
        <f>Ruimtestaat[[#This Row],[uren / jaar weekend]]*Tariefsopbouw!$D$40</f>
        <v>0</v>
      </c>
      <c r="AD48" s="88">
        <f>Ruimtestaat[[#This Row],[Prest. (m2 /jaar) weekend]]+Ruimtestaat[[#This Row],[Prest. (m2 /jaar) werkdagen]]</f>
        <v>5306</v>
      </c>
      <c r="AE48" s="88">
        <f>Ruimtestaat[[#This Row],[uren / jaar weekend]]+Ruimtestaat[[#This Row],[uren / jaar werkdagen]]</f>
        <v>0</v>
      </c>
      <c r="AF48" s="89">
        <f>Ruimtestaat[[#This Row],[kosten / jaar weekend]]+Ruimtestaat[[#This Row],[kosten / jaar werkdagen]]</f>
        <v>0</v>
      </c>
      <c r="AG48" s="114"/>
      <c r="HK48" s="87"/>
    </row>
    <row r="49" spans="1:219" ht="15" customHeight="1">
      <c r="A49" s="129">
        <v>1</v>
      </c>
      <c r="B49" s="21" t="str">
        <f>VLOOKUP(Ruimtestaat[[#This Row],[Code]],Locaties[#All],2,FALSE)</f>
        <v>PXC Aalderinkshoek</v>
      </c>
      <c r="C49" s="21" t="str">
        <f>VLOOKUP(Ruimtestaat[[#This Row],[Code]],Locaties[#All],4,FALSE)</f>
        <v>Cesar Frankstraat 4</v>
      </c>
      <c r="D49" s="21" t="str">
        <f>VLOOKUP(Ruimtestaat[[#This Row],[Code]],Locaties[#All],5,FALSE)</f>
        <v>7604 JG</v>
      </c>
      <c r="E49" s="200" t="str">
        <f>VLOOKUP(Ruimtestaat[[#This Row],[Code]],Locaties[#All],6,FALSE)</f>
        <v>Almelo</v>
      </c>
      <c r="F49" s="244"/>
      <c r="G49" s="200" t="s">
        <v>444</v>
      </c>
      <c r="H49" s="200" t="s">
        <v>509</v>
      </c>
      <c r="I49" s="244" t="s">
        <v>510</v>
      </c>
      <c r="J49" s="200">
        <v>7</v>
      </c>
      <c r="K49" s="215" t="s">
        <v>1040</v>
      </c>
      <c r="L49" s="200" t="s">
        <v>999</v>
      </c>
      <c r="M49" s="213">
        <v>6.39</v>
      </c>
      <c r="N49" s="213"/>
      <c r="O49" s="243" t="str">
        <f>VLOOKUP(Ruimtestaat[[#This Row],[Ruimte code]],Ruimtegroepen[#All],4,FALSE)</f>
        <v>V  (Verkeersruimte)</v>
      </c>
      <c r="P49" s="214"/>
      <c r="Q49" s="215">
        <v>40</v>
      </c>
      <c r="R49" s="215" t="s">
        <v>2</v>
      </c>
      <c r="S49" s="215">
        <f>IF(R49&gt;0,IF(RIGHT(Ruimtestaat[[#This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" s="215">
        <f>IF(S49&gt;0,VLOOKUP($J49,Ruimtegroepen[],3,FALSE)*VLOOKUP($K49,Vloersoorten[],3,FALSE)*VLOOKUP($R49,Frequenties[],3,FALSE)*VLOOKUP($A49,Locaties[],3,FALSE),0)</f>
        <v>0</v>
      </c>
      <c r="U49" s="215">
        <f>Ruimtestaat[[#This Row],[Uitvoeringen werkdagen]]*Ruimtestaat[[#This Row],[Oppervlak (netto)]]</f>
        <v>1278</v>
      </c>
      <c r="V49" s="259">
        <f>IF(T49&gt;0,Ruimtestaat[[#This Row],[Prest. (m2 /jaar) werkdagen]]/Ruimtestaat[[#This Row],[Norm (m2/uur) werkdagen]],0)</f>
        <v>0</v>
      </c>
      <c r="W49" s="260">
        <f>Ruimtestaat[[#This Row],[uren / jaar werkdagen]]*Tariefsopbouw!$D$38</f>
        <v>0</v>
      </c>
      <c r="X49" s="33"/>
      <c r="Y49" s="33">
        <f>IF(Ruimtestaat[[#This Row],[Frequentie weekend]]&gt;0,VALUE(LEFT(X49,1))*Q49,0)</f>
        <v>0</v>
      </c>
      <c r="Z49" s="33">
        <f>IF($Y49&gt;0,VLOOKUP($J49,Ruimtegroepen[],3,FALSE)*VLOOKUP($K49,Vloersoorten[],3,FALSE)*VLOOKUP($X49,Frequenties[],3,FALSE)*VLOOKUP(#REF!,Locaties[],3,FALSE),0)</f>
        <v>0</v>
      </c>
      <c r="AA49" s="33"/>
      <c r="AB49" s="33"/>
      <c r="AC49" s="33">
        <f>Ruimtestaat[[#This Row],[uren / jaar weekend]]*Tariefsopbouw!$D$40</f>
        <v>0</v>
      </c>
      <c r="AD49" s="88">
        <f>Ruimtestaat[[#This Row],[Prest. (m2 /jaar) weekend]]+Ruimtestaat[[#This Row],[Prest. (m2 /jaar) werkdagen]]</f>
        <v>1278</v>
      </c>
      <c r="AE49" s="88">
        <f>Ruimtestaat[[#This Row],[uren / jaar weekend]]+Ruimtestaat[[#This Row],[uren / jaar werkdagen]]</f>
        <v>0</v>
      </c>
      <c r="AF49" s="89">
        <f>Ruimtestaat[[#This Row],[kosten / jaar weekend]]+Ruimtestaat[[#This Row],[kosten / jaar werkdagen]]</f>
        <v>0</v>
      </c>
      <c r="AG49" s="114"/>
      <c r="HK49" s="87"/>
    </row>
    <row r="50" spans="1:219" s="198" customFormat="1" ht="14.25" customHeight="1">
      <c r="A50" s="129">
        <v>1</v>
      </c>
      <c r="B50" s="21" t="str">
        <f>VLOOKUP(Ruimtestaat[[#This Row],[Code]],Locaties[#All],2,FALSE)</f>
        <v>PXC Aalderinkshoek</v>
      </c>
      <c r="C50" s="21" t="str">
        <f>VLOOKUP(Ruimtestaat[[#This Row],[Code]],Locaties[#All],4,FALSE)</f>
        <v>Cesar Frankstraat 4</v>
      </c>
      <c r="D50" s="21" t="str">
        <f>VLOOKUP(Ruimtestaat[[#This Row],[Code]],Locaties[#All],5,FALSE)</f>
        <v>7604 JG</v>
      </c>
      <c r="E50" s="200" t="str">
        <f>VLOOKUP(Ruimtestaat[[#This Row],[Code]],Locaties[#All],6,FALSE)</f>
        <v>Almelo</v>
      </c>
      <c r="F50" s="244"/>
      <c r="G50" s="200" t="s">
        <v>444</v>
      </c>
      <c r="H50" s="200" t="s">
        <v>511</v>
      </c>
      <c r="I50" s="244" t="s">
        <v>512</v>
      </c>
      <c r="J50" s="200">
        <v>5</v>
      </c>
      <c r="K50" s="215" t="s">
        <v>111</v>
      </c>
      <c r="L50" s="200" t="s">
        <v>1346</v>
      </c>
      <c r="M50" s="213">
        <v>77.42</v>
      </c>
      <c r="N50" s="213"/>
      <c r="O50" s="243" t="str">
        <f>VLOOKUP(Ruimtestaat[[#This Row],[Ruimte code]],Ruimtegroepen[#All],4,FALSE)</f>
        <v>S  (Sanitair)</v>
      </c>
      <c r="P50" s="214"/>
      <c r="Q50" s="215">
        <v>40</v>
      </c>
      <c r="R50" s="215" t="s">
        <v>2</v>
      </c>
      <c r="S50" s="215">
        <f>IF(R50&gt;0,IF(RIGHT(Ruimtestaat[[#This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" s="215">
        <f>IF(S50&gt;0,VLOOKUP($J50,Ruimtegroepen[],3,FALSE)*VLOOKUP($K50,Vloersoorten[],3,FALSE)*VLOOKUP($R50,Frequenties[],3,FALSE)*VLOOKUP($A50,Locaties[],3,FALSE),0)</f>
        <v>0</v>
      </c>
      <c r="U50" s="215">
        <f>Ruimtestaat[[#This Row],[Uitvoeringen werkdagen]]*Ruimtestaat[[#This Row],[Oppervlak (netto)]]</f>
        <v>15484</v>
      </c>
      <c r="V50" s="259">
        <f>IF(T50&gt;0,Ruimtestaat[[#This Row],[Prest. (m2 /jaar) werkdagen]]/Ruimtestaat[[#This Row],[Norm (m2/uur) werkdagen]],0)</f>
        <v>0</v>
      </c>
      <c r="W50" s="260">
        <f>Ruimtestaat[[#This Row],[uren / jaar werkdagen]]*Tariefsopbouw!$D$38</f>
        <v>0</v>
      </c>
      <c r="X50" s="33"/>
      <c r="Y50" s="33">
        <f>IF(Ruimtestaat[[#This Row],[Frequentie weekend]]&gt;0,VALUE(LEFT(X50,1))*Q50,0)</f>
        <v>0</v>
      </c>
      <c r="Z50" s="33">
        <f>IF($Y50&gt;0,VLOOKUP($J50,Ruimtegroepen[],3,FALSE)*VLOOKUP($K50,Vloersoorten[],3,FALSE)*VLOOKUP($X50,Frequenties[],3,FALSE)*VLOOKUP(#REF!,Locaties[],3,FALSE),0)</f>
        <v>0</v>
      </c>
      <c r="AA50" s="33"/>
      <c r="AB50" s="33"/>
      <c r="AC50" s="33">
        <f>Ruimtestaat[[#This Row],[uren / jaar weekend]]*Tariefsopbouw!$D$40</f>
        <v>0</v>
      </c>
      <c r="AD50" s="88">
        <f>Ruimtestaat[[#This Row],[Prest. (m2 /jaar) weekend]]+Ruimtestaat[[#This Row],[Prest. (m2 /jaar) werkdagen]]</f>
        <v>15484</v>
      </c>
      <c r="AE50" s="88">
        <f>Ruimtestaat[[#This Row],[uren / jaar weekend]]+Ruimtestaat[[#This Row],[uren / jaar werkdagen]]</f>
        <v>0</v>
      </c>
      <c r="AF50" s="89">
        <f>Ruimtestaat[[#This Row],[kosten / jaar weekend]]+Ruimtestaat[[#This Row],[kosten / jaar werkdagen]]</f>
        <v>0</v>
      </c>
      <c r="AG50" s="197"/>
    </row>
    <row r="51" spans="1:219" s="198" customFormat="1" ht="15" customHeight="1">
      <c r="A51" s="129">
        <v>1</v>
      </c>
      <c r="B51" s="21" t="str">
        <f>VLOOKUP(Ruimtestaat[[#This Row],[Code]],Locaties[#All],2,FALSE)</f>
        <v>PXC Aalderinkshoek</v>
      </c>
      <c r="C51" s="21" t="str">
        <f>VLOOKUP(Ruimtestaat[[#This Row],[Code]],Locaties[#All],4,FALSE)</f>
        <v>Cesar Frankstraat 4</v>
      </c>
      <c r="D51" s="21" t="str">
        <f>VLOOKUP(Ruimtestaat[[#This Row],[Code]],Locaties[#All],5,FALSE)</f>
        <v>7604 JG</v>
      </c>
      <c r="E51" s="200" t="str">
        <f>VLOOKUP(Ruimtestaat[[#This Row],[Code]],Locaties[#All],6,FALSE)</f>
        <v>Almelo</v>
      </c>
      <c r="F51" s="244"/>
      <c r="G51" s="200" t="s">
        <v>444</v>
      </c>
      <c r="H51" s="261" t="s">
        <v>513</v>
      </c>
      <c r="I51" s="244" t="s">
        <v>501</v>
      </c>
      <c r="J51" s="200">
        <v>18</v>
      </c>
      <c r="K51" s="200" t="s">
        <v>112</v>
      </c>
      <c r="L51" s="200" t="s">
        <v>1347</v>
      </c>
      <c r="M51" s="213">
        <v>252.89</v>
      </c>
      <c r="N51" s="213"/>
      <c r="O51" s="243" t="str">
        <f>VLOOKUP(Ruimtestaat[[#This Row],[Ruimte code]],Ruimtegroepen[#All],4,FALSE)</f>
        <v>Sp  (Sportruimte)</v>
      </c>
      <c r="P51" s="214"/>
      <c r="Q51" s="215">
        <v>40</v>
      </c>
      <c r="R51" s="215" t="s">
        <v>2</v>
      </c>
      <c r="S51" s="215">
        <f>IF(R51&gt;0,IF(RIGHT(Ruimtestaat[[#This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" s="215">
        <f>IF(S51&gt;0,VLOOKUP($J51,Ruimtegroepen[],3,FALSE)*VLOOKUP($K51,Vloersoorten[],3,FALSE)*VLOOKUP($R51,Frequenties[],3,FALSE)*VLOOKUP($A51,Locaties[],3,FALSE),0)</f>
        <v>0</v>
      </c>
      <c r="U51" s="215">
        <f>Ruimtestaat[[#This Row],[Uitvoeringen werkdagen]]*Ruimtestaat[[#This Row],[Oppervlak (netto)]]</f>
        <v>50578</v>
      </c>
      <c r="V51" s="259">
        <f>IF(T51&gt;0,Ruimtestaat[[#This Row],[Prest. (m2 /jaar) werkdagen]]/Ruimtestaat[[#This Row],[Norm (m2/uur) werkdagen]],0)</f>
        <v>0</v>
      </c>
      <c r="W51" s="260">
        <f>Ruimtestaat[[#This Row],[uren / jaar werkdagen]]*Tariefsopbouw!$D$38</f>
        <v>0</v>
      </c>
      <c r="X51" s="33"/>
      <c r="Y51" s="33">
        <f>IF(Ruimtestaat[[#This Row],[Frequentie weekend]]&gt;0,VALUE(LEFT(X51,1))*Q51,0)</f>
        <v>0</v>
      </c>
      <c r="Z51" s="33">
        <f>IF($Y51&gt;0,VLOOKUP($J51,Ruimtegroepen[],3,FALSE)*VLOOKUP($K51,Vloersoorten[],3,FALSE)*VLOOKUP($X51,Frequenties[],3,FALSE)*VLOOKUP(#REF!,Locaties[],3,FALSE),0)</f>
        <v>0</v>
      </c>
      <c r="AA51" s="33"/>
      <c r="AB51" s="33"/>
      <c r="AC51" s="33">
        <f>Ruimtestaat[[#This Row],[uren / jaar weekend]]*Tariefsopbouw!$D$40</f>
        <v>0</v>
      </c>
      <c r="AD51" s="88">
        <f>Ruimtestaat[[#This Row],[Prest. (m2 /jaar) weekend]]+Ruimtestaat[[#This Row],[Prest. (m2 /jaar) werkdagen]]</f>
        <v>50578</v>
      </c>
      <c r="AE51" s="88">
        <f>Ruimtestaat[[#This Row],[uren / jaar weekend]]+Ruimtestaat[[#This Row],[uren / jaar werkdagen]]</f>
        <v>0</v>
      </c>
      <c r="AF51" s="89">
        <f>Ruimtestaat[[#This Row],[kosten / jaar weekend]]+Ruimtestaat[[#This Row],[kosten / jaar werkdagen]]</f>
        <v>0</v>
      </c>
      <c r="AG51" s="197"/>
    </row>
    <row r="52" spans="1:219" ht="15" customHeight="1">
      <c r="A52" s="129">
        <v>1</v>
      </c>
      <c r="B52" s="21" t="str">
        <f>VLOOKUP(Ruimtestaat[[#This Row],[Code]],Locaties[#All],2,FALSE)</f>
        <v>PXC Aalderinkshoek</v>
      </c>
      <c r="C52" s="21" t="str">
        <f>VLOOKUP(Ruimtestaat[[#This Row],[Code]],Locaties[#All],4,FALSE)</f>
        <v>Cesar Frankstraat 4</v>
      </c>
      <c r="D52" s="21" t="str">
        <f>VLOOKUP(Ruimtestaat[[#This Row],[Code]],Locaties[#All],5,FALSE)</f>
        <v>7604 JG</v>
      </c>
      <c r="E52" s="200" t="str">
        <f>VLOOKUP(Ruimtestaat[[#This Row],[Code]],Locaties[#All],6,FALSE)</f>
        <v>Almelo</v>
      </c>
      <c r="F52" s="244"/>
      <c r="G52" s="200" t="s">
        <v>444</v>
      </c>
      <c r="H52" s="200" t="s">
        <v>514</v>
      </c>
      <c r="I52" s="244" t="s">
        <v>515</v>
      </c>
      <c r="J52" s="215">
        <v>21</v>
      </c>
      <c r="K52" s="200"/>
      <c r="L52" s="200"/>
      <c r="M52" s="213"/>
      <c r="N52" s="213">
        <v>29.23</v>
      </c>
      <c r="O52" s="243" t="str">
        <f>VLOOKUP(Ruimtestaat[[#This Row],[Ruimte code]],Ruimtegroepen[#All],4,FALSE)</f>
        <v>Niet in onderhoud</v>
      </c>
      <c r="P52" s="214"/>
      <c r="Q52" s="215"/>
      <c r="R52" s="215"/>
      <c r="S52" s="215">
        <f>IF(R52&gt;0,IF(RIGHT(Ruimtestaat[[#This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2" s="215">
        <f>IF(S52&gt;0,VLOOKUP($J52,Ruimtegroepen[],3,FALSE)*VLOOKUP($K52,Vloersoorten[],3,FALSE)*VLOOKUP($R52,Frequenties[],3,FALSE)*VLOOKUP($A52,Locaties[],3,FALSE),0)</f>
        <v>0</v>
      </c>
      <c r="U52" s="215">
        <f>Ruimtestaat[[#This Row],[Uitvoeringen werkdagen]]*Ruimtestaat[[#This Row],[Oppervlak (netto)]]</f>
        <v>0</v>
      </c>
      <c r="V52" s="259">
        <f>IF(T52&gt;0,Ruimtestaat[[#This Row],[Prest. (m2 /jaar) werkdagen]]/Ruimtestaat[[#This Row],[Norm (m2/uur) werkdagen]],0)</f>
        <v>0</v>
      </c>
      <c r="W52" s="260">
        <f>Ruimtestaat[[#This Row],[uren / jaar werkdagen]]*Tariefsopbouw!$D$38</f>
        <v>0</v>
      </c>
      <c r="X52" s="33"/>
      <c r="Y52" s="33">
        <f>IF(Ruimtestaat[[#This Row],[Frequentie weekend]]&gt;0,VALUE(LEFT(X52,1))*Q52,0)</f>
        <v>0</v>
      </c>
      <c r="Z52" s="33">
        <f>IF($Y52&gt;0,VLOOKUP($J52,Ruimtegroepen[],3,FALSE)*VLOOKUP($K52,Vloersoorten[],3,FALSE)*VLOOKUP($X52,Frequenties[],3,FALSE)*VLOOKUP(#REF!,Locaties[],3,FALSE),0)</f>
        <v>0</v>
      </c>
      <c r="AA52" s="33"/>
      <c r="AB52" s="33"/>
      <c r="AC52" s="33">
        <f>Ruimtestaat[[#This Row],[uren / jaar weekend]]*Tariefsopbouw!$D$40</f>
        <v>0</v>
      </c>
      <c r="AD52" s="88">
        <f>Ruimtestaat[[#This Row],[Prest. (m2 /jaar) weekend]]+Ruimtestaat[[#This Row],[Prest. (m2 /jaar) werkdagen]]</f>
        <v>0</v>
      </c>
      <c r="AE52" s="88">
        <f>Ruimtestaat[[#This Row],[uren / jaar weekend]]+Ruimtestaat[[#This Row],[uren / jaar werkdagen]]</f>
        <v>0</v>
      </c>
      <c r="AF52" s="89">
        <f>Ruimtestaat[[#This Row],[kosten / jaar weekend]]+Ruimtestaat[[#This Row],[kosten / jaar werkdagen]]</f>
        <v>0</v>
      </c>
      <c r="AG52" s="114"/>
      <c r="HK52" s="87"/>
    </row>
    <row r="53" spans="1:219" ht="15" customHeight="1">
      <c r="A53" s="129">
        <v>1</v>
      </c>
      <c r="B53" s="21" t="str">
        <f>VLOOKUP(Ruimtestaat[[#This Row],[Code]],Locaties[#All],2,FALSE)</f>
        <v>PXC Aalderinkshoek</v>
      </c>
      <c r="C53" s="21" t="str">
        <f>VLOOKUP(Ruimtestaat[[#This Row],[Code]],Locaties[#All],4,FALSE)</f>
        <v>Cesar Frankstraat 4</v>
      </c>
      <c r="D53" s="21" t="str">
        <f>VLOOKUP(Ruimtestaat[[#This Row],[Code]],Locaties[#All],5,FALSE)</f>
        <v>7604 JG</v>
      </c>
      <c r="E53" s="200" t="str">
        <f>VLOOKUP(Ruimtestaat[[#This Row],[Code]],Locaties[#All],6,FALSE)</f>
        <v>Almelo</v>
      </c>
      <c r="F53" s="244"/>
      <c r="G53" s="200" t="s">
        <v>444</v>
      </c>
      <c r="H53" s="200" t="s">
        <v>516</v>
      </c>
      <c r="I53" s="244" t="s">
        <v>447</v>
      </c>
      <c r="J53" s="200">
        <v>1</v>
      </c>
      <c r="K53" s="215" t="s">
        <v>110</v>
      </c>
      <c r="L53" s="200" t="s">
        <v>132</v>
      </c>
      <c r="M53" s="213">
        <v>36.99</v>
      </c>
      <c r="N53" s="213"/>
      <c r="O53" s="243" t="str">
        <f>VLOOKUP(Ruimtestaat[[#This Row],[Ruimte code]],Ruimtegroepen[#All],4,FALSE)</f>
        <v>V  (Verkeersruimte)</v>
      </c>
      <c r="P53" s="214"/>
      <c r="Q53" s="215">
        <v>40</v>
      </c>
      <c r="R53" s="215" t="s">
        <v>16</v>
      </c>
      <c r="S53" s="215">
        <f>IF(R53&gt;0,IF(RIGHT(Ruimtestaat[[#This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3" s="215">
        <f>IF(S53&gt;0,VLOOKUP($J53,Ruimtegroepen[],3,FALSE)*VLOOKUP($K53,Vloersoorten[],3,FALSE)*VLOOKUP($R53,Frequenties[],3,FALSE)*VLOOKUP($A53,Locaties[],3,FALSE),0)</f>
        <v>0</v>
      </c>
      <c r="U53" s="215">
        <f>Ruimtestaat[[#This Row],[Uitvoeringen werkdagen]]*Ruimtestaat[[#This Row],[Oppervlak (netto)]]</f>
        <v>443.88</v>
      </c>
      <c r="V53" s="259">
        <f>IF(T53&gt;0,Ruimtestaat[[#This Row],[Prest. (m2 /jaar) werkdagen]]/Ruimtestaat[[#This Row],[Norm (m2/uur) werkdagen]],0)</f>
        <v>0</v>
      </c>
      <c r="W53" s="260">
        <f>Ruimtestaat[[#This Row],[uren / jaar werkdagen]]*Tariefsopbouw!$D$38</f>
        <v>0</v>
      </c>
      <c r="X53" s="33"/>
      <c r="Y53" s="33">
        <f>IF(Ruimtestaat[[#This Row],[Frequentie weekend]]&gt;0,VALUE(LEFT(X53,1))*Q53,0)</f>
        <v>0</v>
      </c>
      <c r="Z53" s="33">
        <f>IF($Y53&gt;0,VLOOKUP($J53,Ruimtegroepen[],3,FALSE)*VLOOKUP($K53,Vloersoorten[],3,FALSE)*VLOOKUP($X53,Frequenties[],3,FALSE)*VLOOKUP(#REF!,Locaties[],3,FALSE),0)</f>
        <v>0</v>
      </c>
      <c r="AA53" s="33"/>
      <c r="AB53" s="33"/>
      <c r="AC53" s="33">
        <f>Ruimtestaat[[#This Row],[uren / jaar weekend]]*Tariefsopbouw!$D$40</f>
        <v>0</v>
      </c>
      <c r="AD53" s="88">
        <f>Ruimtestaat[[#This Row],[Prest. (m2 /jaar) weekend]]+Ruimtestaat[[#This Row],[Prest. (m2 /jaar) werkdagen]]</f>
        <v>443.88</v>
      </c>
      <c r="AE53" s="88">
        <f>Ruimtestaat[[#This Row],[uren / jaar weekend]]+Ruimtestaat[[#This Row],[uren / jaar werkdagen]]</f>
        <v>0</v>
      </c>
      <c r="AF53" s="89">
        <f>Ruimtestaat[[#This Row],[kosten / jaar weekend]]+Ruimtestaat[[#This Row],[kosten / jaar werkdagen]]</f>
        <v>0</v>
      </c>
      <c r="AG53" s="114"/>
      <c r="HK53" s="87"/>
    </row>
    <row r="54" spans="1:219" ht="15" customHeight="1">
      <c r="A54" s="129">
        <v>1</v>
      </c>
      <c r="B54" s="21" t="str">
        <f>VLOOKUP(Ruimtestaat[[#This Row],[Code]],Locaties[#All],2,FALSE)</f>
        <v>PXC Aalderinkshoek</v>
      </c>
      <c r="C54" s="21" t="str">
        <f>VLOOKUP(Ruimtestaat[[#This Row],[Code]],Locaties[#All],4,FALSE)</f>
        <v>Cesar Frankstraat 4</v>
      </c>
      <c r="D54" s="21" t="str">
        <f>VLOOKUP(Ruimtestaat[[#This Row],[Code]],Locaties[#All],5,FALSE)</f>
        <v>7604 JG</v>
      </c>
      <c r="E54" s="200" t="str">
        <f>VLOOKUP(Ruimtestaat[[#This Row],[Code]],Locaties[#All],6,FALSE)</f>
        <v>Almelo</v>
      </c>
      <c r="F54" s="244"/>
      <c r="G54" s="200" t="s">
        <v>444</v>
      </c>
      <c r="H54" s="200" t="s">
        <v>517</v>
      </c>
      <c r="I54" s="244" t="s">
        <v>501</v>
      </c>
      <c r="J54" s="200">
        <v>18</v>
      </c>
      <c r="K54" s="200" t="s">
        <v>112</v>
      </c>
      <c r="L54" s="200" t="s">
        <v>1347</v>
      </c>
      <c r="M54" s="213">
        <v>252.89</v>
      </c>
      <c r="N54" s="213"/>
      <c r="O54" s="243" t="str">
        <f>VLOOKUP(Ruimtestaat[[#This Row],[Ruimte code]],Ruimtegroepen[#All],4,FALSE)</f>
        <v>Sp  (Sportruimte)</v>
      </c>
      <c r="P54" s="214"/>
      <c r="Q54" s="215">
        <v>40</v>
      </c>
      <c r="R54" s="215" t="s">
        <v>2</v>
      </c>
      <c r="S54" s="215">
        <f>IF(R54&gt;0,IF(RIGHT(Ruimtestaat[[#This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" s="215">
        <f>IF(S54&gt;0,VLOOKUP($J54,Ruimtegroepen[],3,FALSE)*VLOOKUP($K54,Vloersoorten[],3,FALSE)*VLOOKUP($R54,Frequenties[],3,FALSE)*VLOOKUP($A54,Locaties[],3,FALSE),0)</f>
        <v>0</v>
      </c>
      <c r="U54" s="215">
        <f>Ruimtestaat[[#This Row],[Uitvoeringen werkdagen]]*Ruimtestaat[[#This Row],[Oppervlak (netto)]]</f>
        <v>50578</v>
      </c>
      <c r="V54" s="259">
        <f>IF(T54&gt;0,Ruimtestaat[[#This Row],[Prest. (m2 /jaar) werkdagen]]/Ruimtestaat[[#This Row],[Norm (m2/uur) werkdagen]],0)</f>
        <v>0</v>
      </c>
      <c r="W54" s="260">
        <f>Ruimtestaat[[#This Row],[uren / jaar werkdagen]]*Tariefsopbouw!$D$38</f>
        <v>0</v>
      </c>
      <c r="X54" s="33"/>
      <c r="Y54" s="33">
        <f>IF(Ruimtestaat[[#This Row],[Frequentie weekend]]&gt;0,VALUE(LEFT(X54,1))*Q54,0)</f>
        <v>0</v>
      </c>
      <c r="Z54" s="33">
        <f>IF($Y54&gt;0,VLOOKUP($J54,Ruimtegroepen[],3,FALSE)*VLOOKUP($K54,Vloersoorten[],3,FALSE)*VLOOKUP($X54,Frequenties[],3,FALSE)*VLOOKUP(#REF!,Locaties[],3,FALSE),0)</f>
        <v>0</v>
      </c>
      <c r="AA54" s="33"/>
      <c r="AB54" s="33"/>
      <c r="AC54" s="33">
        <f>Ruimtestaat[[#This Row],[uren / jaar weekend]]*Tariefsopbouw!$D$40</f>
        <v>0</v>
      </c>
      <c r="AD54" s="88">
        <f>Ruimtestaat[[#This Row],[Prest. (m2 /jaar) weekend]]+Ruimtestaat[[#This Row],[Prest. (m2 /jaar) werkdagen]]</f>
        <v>50578</v>
      </c>
      <c r="AE54" s="88">
        <f>Ruimtestaat[[#This Row],[uren / jaar weekend]]+Ruimtestaat[[#This Row],[uren / jaar werkdagen]]</f>
        <v>0</v>
      </c>
      <c r="AF54" s="89">
        <f>Ruimtestaat[[#This Row],[kosten / jaar weekend]]+Ruimtestaat[[#This Row],[kosten / jaar werkdagen]]</f>
        <v>0</v>
      </c>
      <c r="AG54" s="114"/>
      <c r="HK54" s="87"/>
    </row>
    <row r="55" spans="1:219" ht="15" customHeight="1">
      <c r="A55" s="129">
        <v>1</v>
      </c>
      <c r="B55" s="21" t="str">
        <f>VLOOKUP(Ruimtestaat[[#This Row],[Code]],Locaties[#All],2,FALSE)</f>
        <v>PXC Aalderinkshoek</v>
      </c>
      <c r="C55" s="21" t="str">
        <f>VLOOKUP(Ruimtestaat[[#This Row],[Code]],Locaties[#All],4,FALSE)</f>
        <v>Cesar Frankstraat 4</v>
      </c>
      <c r="D55" s="21" t="str">
        <f>VLOOKUP(Ruimtestaat[[#This Row],[Code]],Locaties[#All],5,FALSE)</f>
        <v>7604 JG</v>
      </c>
      <c r="E55" s="200" t="str">
        <f>VLOOKUP(Ruimtestaat[[#This Row],[Code]],Locaties[#All],6,FALSE)</f>
        <v>Almelo</v>
      </c>
      <c r="F55" s="244"/>
      <c r="G55" s="200" t="s">
        <v>444</v>
      </c>
      <c r="H55" s="200" t="s">
        <v>518</v>
      </c>
      <c r="I55" s="244" t="s">
        <v>508</v>
      </c>
      <c r="J55" s="200">
        <v>19</v>
      </c>
      <c r="K55" s="200" t="s">
        <v>111</v>
      </c>
      <c r="L55" s="200" t="s">
        <v>128</v>
      </c>
      <c r="M55" s="213">
        <v>35.380000000000003</v>
      </c>
      <c r="N55" s="213"/>
      <c r="O55" s="243" t="str">
        <f>VLOOKUP(Ruimtestaat[[#This Row],[Ruimte code]],Ruimtegroepen[#All],4,FALSE)</f>
        <v>V  (Verkeersruimte)</v>
      </c>
      <c r="P55" s="214"/>
      <c r="Q55" s="215">
        <v>40</v>
      </c>
      <c r="R55" s="215" t="s">
        <v>2</v>
      </c>
      <c r="S55" s="215">
        <f>IF(R55&gt;0,IF(RIGHT(Ruimtestaat[[#This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" s="215">
        <f>IF(S55&gt;0,VLOOKUP($J55,Ruimtegroepen[],3,FALSE)*VLOOKUP($K55,Vloersoorten[],3,FALSE)*VLOOKUP($R55,Frequenties[],3,FALSE)*VLOOKUP($A55,Locaties[],3,FALSE),0)</f>
        <v>0</v>
      </c>
      <c r="U55" s="215">
        <f>Ruimtestaat[[#This Row],[Uitvoeringen werkdagen]]*Ruimtestaat[[#This Row],[Oppervlak (netto)]]</f>
        <v>7076.0000000000009</v>
      </c>
      <c r="V55" s="259">
        <f>IF(T55&gt;0,Ruimtestaat[[#This Row],[Prest. (m2 /jaar) werkdagen]]/Ruimtestaat[[#This Row],[Norm (m2/uur) werkdagen]],0)</f>
        <v>0</v>
      </c>
      <c r="W55" s="260">
        <f>Ruimtestaat[[#This Row],[uren / jaar werkdagen]]*Tariefsopbouw!$D$38</f>
        <v>0</v>
      </c>
      <c r="X55" s="33"/>
      <c r="Y55" s="33">
        <f>IF(Ruimtestaat[[#This Row],[Frequentie weekend]]&gt;0,VALUE(LEFT(X55,1))*Q55,0)</f>
        <v>0</v>
      </c>
      <c r="Z55" s="33">
        <f>IF($Y55&gt;0,VLOOKUP($J55,Ruimtegroepen[],3,FALSE)*VLOOKUP($K55,Vloersoorten[],3,FALSE)*VLOOKUP($X55,Frequenties[],3,FALSE)*VLOOKUP(#REF!,Locaties[],3,FALSE),0)</f>
        <v>0</v>
      </c>
      <c r="AA55" s="33"/>
      <c r="AB55" s="33"/>
      <c r="AC55" s="33">
        <f>Ruimtestaat[[#This Row],[uren / jaar weekend]]*Tariefsopbouw!$D$40</f>
        <v>0</v>
      </c>
      <c r="AD55" s="88">
        <f>Ruimtestaat[[#This Row],[Prest. (m2 /jaar) weekend]]+Ruimtestaat[[#This Row],[Prest. (m2 /jaar) werkdagen]]</f>
        <v>7076.0000000000009</v>
      </c>
      <c r="AE55" s="88">
        <f>Ruimtestaat[[#This Row],[uren / jaar weekend]]+Ruimtestaat[[#This Row],[uren / jaar werkdagen]]</f>
        <v>0</v>
      </c>
      <c r="AF55" s="89">
        <f>Ruimtestaat[[#This Row],[kosten / jaar weekend]]+Ruimtestaat[[#This Row],[kosten / jaar werkdagen]]</f>
        <v>0</v>
      </c>
      <c r="AG55" s="114"/>
      <c r="HK55" s="87"/>
    </row>
    <row r="56" spans="1:219" ht="15" customHeight="1">
      <c r="A56" s="129">
        <v>1</v>
      </c>
      <c r="B56" s="21" t="str">
        <f>VLOOKUP(Ruimtestaat[[#This Row],[Code]],Locaties[#All],2,FALSE)</f>
        <v>PXC Aalderinkshoek</v>
      </c>
      <c r="C56" s="21" t="str">
        <f>VLOOKUP(Ruimtestaat[[#This Row],[Code]],Locaties[#All],4,FALSE)</f>
        <v>Cesar Frankstraat 4</v>
      </c>
      <c r="D56" s="21" t="str">
        <f>VLOOKUP(Ruimtestaat[[#This Row],[Code]],Locaties[#All],5,FALSE)</f>
        <v>7604 JG</v>
      </c>
      <c r="E56" s="200" t="str">
        <f>VLOOKUP(Ruimtestaat[[#This Row],[Code]],Locaties[#All],6,FALSE)</f>
        <v>Almelo</v>
      </c>
      <c r="F56" s="244"/>
      <c r="G56" s="200" t="s">
        <v>444</v>
      </c>
      <c r="H56" s="200" t="s">
        <v>519</v>
      </c>
      <c r="I56" s="244" t="s">
        <v>469</v>
      </c>
      <c r="J56" s="200">
        <v>6</v>
      </c>
      <c r="K56" s="200" t="s">
        <v>110</v>
      </c>
      <c r="L56" s="200" t="s">
        <v>132</v>
      </c>
      <c r="M56" s="213">
        <v>164.98</v>
      </c>
      <c r="N56" s="213"/>
      <c r="O56" s="243" t="str">
        <f>VLOOKUP(Ruimtestaat[[#This Row],[Ruimte code]],Ruimtegroepen[#All],4,FALSE)</f>
        <v>V  (Verkeersruimte)</v>
      </c>
      <c r="P56" s="214"/>
      <c r="Q56" s="215">
        <v>40</v>
      </c>
      <c r="R56" s="215" t="s">
        <v>2</v>
      </c>
      <c r="S56" s="215">
        <f>IF(R56&gt;0,IF(RIGHT(Ruimtestaat[[#This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" s="215">
        <f>IF(S56&gt;0,VLOOKUP($J56,Ruimtegroepen[],3,FALSE)*VLOOKUP($K56,Vloersoorten[],3,FALSE)*VLOOKUP($R56,Frequenties[],3,FALSE)*VLOOKUP($A56,Locaties[],3,FALSE),0)</f>
        <v>0</v>
      </c>
      <c r="U56" s="215">
        <f>Ruimtestaat[[#This Row],[Uitvoeringen werkdagen]]*Ruimtestaat[[#This Row],[Oppervlak (netto)]]</f>
        <v>32996</v>
      </c>
      <c r="V56" s="259">
        <f>IF(T56&gt;0,Ruimtestaat[[#This Row],[Prest. (m2 /jaar) werkdagen]]/Ruimtestaat[[#This Row],[Norm (m2/uur) werkdagen]],0)</f>
        <v>0</v>
      </c>
      <c r="W56" s="260">
        <f>Ruimtestaat[[#This Row],[uren / jaar werkdagen]]*Tariefsopbouw!$D$38</f>
        <v>0</v>
      </c>
      <c r="X56" s="33"/>
      <c r="Y56" s="33">
        <f>IF(Ruimtestaat[[#This Row],[Frequentie weekend]]&gt;0,VALUE(LEFT(X56,1))*Q56,0)</f>
        <v>0</v>
      </c>
      <c r="Z56" s="33">
        <f>IF($Y56&gt;0,VLOOKUP($J56,Ruimtegroepen[],3,FALSE)*VLOOKUP($K56,Vloersoorten[],3,FALSE)*VLOOKUP($X56,Frequenties[],3,FALSE)*VLOOKUP(#REF!,Locaties[],3,FALSE),0)</f>
        <v>0</v>
      </c>
      <c r="AA56" s="33"/>
      <c r="AB56" s="33"/>
      <c r="AC56" s="33">
        <f>Ruimtestaat[[#This Row],[uren / jaar weekend]]*Tariefsopbouw!$D$40</f>
        <v>0</v>
      </c>
      <c r="AD56" s="88">
        <f>Ruimtestaat[[#This Row],[Prest. (m2 /jaar) weekend]]+Ruimtestaat[[#This Row],[Prest. (m2 /jaar) werkdagen]]</f>
        <v>32996</v>
      </c>
      <c r="AE56" s="88">
        <f>Ruimtestaat[[#This Row],[uren / jaar weekend]]+Ruimtestaat[[#This Row],[uren / jaar werkdagen]]</f>
        <v>0</v>
      </c>
      <c r="AF56" s="89">
        <f>Ruimtestaat[[#This Row],[kosten / jaar weekend]]+Ruimtestaat[[#This Row],[kosten / jaar werkdagen]]</f>
        <v>0</v>
      </c>
      <c r="AG56" s="114"/>
      <c r="HK56" s="87"/>
    </row>
    <row r="57" spans="1:219" ht="15" customHeight="1">
      <c r="A57" s="129">
        <v>1</v>
      </c>
      <c r="B57" s="21" t="str">
        <f>VLOOKUP(Ruimtestaat[[#This Row],[Code]],Locaties[#All],2,FALSE)</f>
        <v>PXC Aalderinkshoek</v>
      </c>
      <c r="C57" s="21" t="str">
        <f>VLOOKUP(Ruimtestaat[[#This Row],[Code]],Locaties[#All],4,FALSE)</f>
        <v>Cesar Frankstraat 4</v>
      </c>
      <c r="D57" s="21" t="str">
        <f>VLOOKUP(Ruimtestaat[[#This Row],[Code]],Locaties[#All],5,FALSE)</f>
        <v>7604 JG</v>
      </c>
      <c r="E57" s="200" t="str">
        <f>VLOOKUP(Ruimtestaat[[#This Row],[Code]],Locaties[#All],6,FALSE)</f>
        <v>Almelo</v>
      </c>
      <c r="F57" s="244"/>
      <c r="G57" s="200" t="s">
        <v>444</v>
      </c>
      <c r="H57" s="200" t="s">
        <v>520</v>
      </c>
      <c r="I57" s="244" t="s">
        <v>508</v>
      </c>
      <c r="J57" s="200">
        <v>19</v>
      </c>
      <c r="K57" s="200" t="s">
        <v>111</v>
      </c>
      <c r="L57" s="200" t="s">
        <v>128</v>
      </c>
      <c r="M57" s="213">
        <v>4</v>
      </c>
      <c r="N57" s="213"/>
      <c r="O57" s="243" t="str">
        <f>VLOOKUP(Ruimtestaat[[#This Row],[Ruimte code]],Ruimtegroepen[#All],4,FALSE)</f>
        <v>V  (Verkeersruimte)</v>
      </c>
      <c r="P57" s="214"/>
      <c r="Q57" s="215">
        <v>40</v>
      </c>
      <c r="R57" s="215" t="s">
        <v>2</v>
      </c>
      <c r="S57" s="215">
        <f>IF(R57&gt;0,IF(RIGHT(Ruimtestaat[[#This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" s="215">
        <f>IF(S57&gt;0,VLOOKUP($J57,Ruimtegroepen[],3,FALSE)*VLOOKUP($K57,Vloersoorten[],3,FALSE)*VLOOKUP($R57,Frequenties[],3,FALSE)*VLOOKUP($A57,Locaties[],3,FALSE),0)</f>
        <v>0</v>
      </c>
      <c r="U57" s="215">
        <f>Ruimtestaat[[#This Row],[Uitvoeringen werkdagen]]*Ruimtestaat[[#This Row],[Oppervlak (netto)]]</f>
        <v>800</v>
      </c>
      <c r="V57" s="259">
        <f>IF(T57&gt;0,Ruimtestaat[[#This Row],[Prest. (m2 /jaar) werkdagen]]/Ruimtestaat[[#This Row],[Norm (m2/uur) werkdagen]],0)</f>
        <v>0</v>
      </c>
      <c r="W57" s="260">
        <f>Ruimtestaat[[#This Row],[uren / jaar werkdagen]]*Tariefsopbouw!$D$38</f>
        <v>0</v>
      </c>
      <c r="X57" s="33"/>
      <c r="Y57" s="33">
        <f>IF(Ruimtestaat[[#This Row],[Frequentie weekend]]&gt;0,VALUE(LEFT(X57,1))*Q57,0)</f>
        <v>0</v>
      </c>
      <c r="Z57" s="33">
        <f>IF($Y57&gt;0,VLOOKUP($J57,Ruimtegroepen[],3,FALSE)*VLOOKUP($K57,Vloersoorten[],3,FALSE)*VLOOKUP($X57,Frequenties[],3,FALSE)*VLOOKUP(#REF!,Locaties[],3,FALSE),0)</f>
        <v>0</v>
      </c>
      <c r="AA57" s="33"/>
      <c r="AB57" s="33"/>
      <c r="AC57" s="33">
        <f>Ruimtestaat[[#This Row],[uren / jaar weekend]]*Tariefsopbouw!$D$40</f>
        <v>0</v>
      </c>
      <c r="AD57" s="88">
        <f>Ruimtestaat[[#This Row],[Prest. (m2 /jaar) weekend]]+Ruimtestaat[[#This Row],[Prest. (m2 /jaar) werkdagen]]</f>
        <v>800</v>
      </c>
      <c r="AE57" s="88">
        <f>Ruimtestaat[[#This Row],[uren / jaar weekend]]+Ruimtestaat[[#This Row],[uren / jaar werkdagen]]</f>
        <v>0</v>
      </c>
      <c r="AF57" s="89">
        <f>Ruimtestaat[[#This Row],[kosten / jaar weekend]]+Ruimtestaat[[#This Row],[kosten / jaar werkdagen]]</f>
        <v>0</v>
      </c>
      <c r="AG57" s="114"/>
      <c r="HK57" s="87"/>
    </row>
    <row r="58" spans="1:219" ht="15" customHeight="1">
      <c r="A58" s="129">
        <v>1</v>
      </c>
      <c r="B58" s="21" t="str">
        <f>VLOOKUP(Ruimtestaat[[#This Row],[Code]],Locaties[#All],2,FALSE)</f>
        <v>PXC Aalderinkshoek</v>
      </c>
      <c r="C58" s="21" t="str">
        <f>VLOOKUP(Ruimtestaat[[#This Row],[Code]],Locaties[#All],4,FALSE)</f>
        <v>Cesar Frankstraat 4</v>
      </c>
      <c r="D58" s="21" t="str">
        <f>VLOOKUP(Ruimtestaat[[#This Row],[Code]],Locaties[#All],5,FALSE)</f>
        <v>7604 JG</v>
      </c>
      <c r="E58" s="200" t="str">
        <f>VLOOKUP(Ruimtestaat[[#This Row],[Code]],Locaties[#All],6,FALSE)</f>
        <v>Almelo</v>
      </c>
      <c r="F58" s="244"/>
      <c r="G58" s="200" t="s">
        <v>444</v>
      </c>
      <c r="H58" s="200" t="s">
        <v>521</v>
      </c>
      <c r="I58" s="244" t="s">
        <v>508</v>
      </c>
      <c r="J58" s="200">
        <v>19</v>
      </c>
      <c r="K58" s="200" t="s">
        <v>111</v>
      </c>
      <c r="L58" s="200" t="s">
        <v>128</v>
      </c>
      <c r="M58" s="213">
        <v>35.479999999999997</v>
      </c>
      <c r="N58" s="213"/>
      <c r="O58" s="243" t="str">
        <f>VLOOKUP(Ruimtestaat[[#This Row],[Ruimte code]],Ruimtegroepen[#All],4,FALSE)</f>
        <v>V  (Verkeersruimte)</v>
      </c>
      <c r="P58" s="214"/>
      <c r="Q58" s="215">
        <v>40</v>
      </c>
      <c r="R58" s="215" t="s">
        <v>2</v>
      </c>
      <c r="S58" s="215">
        <f>IF(R58&gt;0,IF(RIGHT(Ruimtestaat[[#This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" s="215">
        <f>IF(S58&gt;0,VLOOKUP($J58,Ruimtegroepen[],3,FALSE)*VLOOKUP($K58,Vloersoorten[],3,FALSE)*VLOOKUP($R58,Frequenties[],3,FALSE)*VLOOKUP($A58,Locaties[],3,FALSE),0)</f>
        <v>0</v>
      </c>
      <c r="U58" s="215">
        <f>Ruimtestaat[[#This Row],[Uitvoeringen werkdagen]]*Ruimtestaat[[#This Row],[Oppervlak (netto)]]</f>
        <v>7095.9999999999991</v>
      </c>
      <c r="V58" s="259">
        <f>IF(T58&gt;0,Ruimtestaat[[#This Row],[Prest. (m2 /jaar) werkdagen]]/Ruimtestaat[[#This Row],[Norm (m2/uur) werkdagen]],0)</f>
        <v>0</v>
      </c>
      <c r="W58" s="260">
        <f>Ruimtestaat[[#This Row],[uren / jaar werkdagen]]*Tariefsopbouw!$D$38</f>
        <v>0</v>
      </c>
      <c r="X58" s="33"/>
      <c r="Y58" s="33">
        <f>IF(Ruimtestaat[[#This Row],[Frequentie weekend]]&gt;0,VALUE(LEFT(X58,1))*Q58,0)</f>
        <v>0</v>
      </c>
      <c r="Z58" s="33">
        <f>IF($Y58&gt;0,VLOOKUP($J58,Ruimtegroepen[],3,FALSE)*VLOOKUP($K58,Vloersoorten[],3,FALSE)*VLOOKUP($X58,Frequenties[],3,FALSE)*VLOOKUP(#REF!,Locaties[],3,FALSE),0)</f>
        <v>0</v>
      </c>
      <c r="AA58" s="33"/>
      <c r="AB58" s="33"/>
      <c r="AC58" s="33">
        <f>Ruimtestaat[[#This Row],[uren / jaar weekend]]*Tariefsopbouw!$D$40</f>
        <v>0</v>
      </c>
      <c r="AD58" s="88">
        <f>Ruimtestaat[[#This Row],[Prest. (m2 /jaar) weekend]]+Ruimtestaat[[#This Row],[Prest. (m2 /jaar) werkdagen]]</f>
        <v>7095.9999999999991</v>
      </c>
      <c r="AE58" s="88">
        <f>Ruimtestaat[[#This Row],[uren / jaar weekend]]+Ruimtestaat[[#This Row],[uren / jaar werkdagen]]</f>
        <v>0</v>
      </c>
      <c r="AF58" s="89">
        <f>Ruimtestaat[[#This Row],[kosten / jaar weekend]]+Ruimtestaat[[#This Row],[kosten / jaar werkdagen]]</f>
        <v>0</v>
      </c>
      <c r="AG58" s="114"/>
      <c r="HK58" s="87"/>
    </row>
    <row r="59" spans="1:219" ht="15" customHeight="1">
      <c r="A59" s="129">
        <v>1</v>
      </c>
      <c r="B59" s="21" t="str">
        <f>VLOOKUP(Ruimtestaat[[#This Row],[Code]],Locaties[#All],2,FALSE)</f>
        <v>PXC Aalderinkshoek</v>
      </c>
      <c r="C59" s="21" t="str">
        <f>VLOOKUP(Ruimtestaat[[#This Row],[Code]],Locaties[#All],4,FALSE)</f>
        <v>Cesar Frankstraat 4</v>
      </c>
      <c r="D59" s="21" t="str">
        <f>VLOOKUP(Ruimtestaat[[#This Row],[Code]],Locaties[#All],5,FALSE)</f>
        <v>7604 JG</v>
      </c>
      <c r="E59" s="200" t="str">
        <f>VLOOKUP(Ruimtestaat[[#This Row],[Code]],Locaties[#All],6,FALSE)</f>
        <v>Almelo</v>
      </c>
      <c r="F59" s="244"/>
      <c r="G59" s="200" t="s">
        <v>444</v>
      </c>
      <c r="H59" s="200" t="s">
        <v>522</v>
      </c>
      <c r="I59" s="244" t="s">
        <v>508</v>
      </c>
      <c r="J59" s="200">
        <v>19</v>
      </c>
      <c r="K59" s="200" t="s">
        <v>111</v>
      </c>
      <c r="L59" s="200" t="s">
        <v>128</v>
      </c>
      <c r="M59" s="213">
        <v>35.479999999999997</v>
      </c>
      <c r="N59" s="213"/>
      <c r="O59" s="243" t="str">
        <f>VLOOKUP(Ruimtestaat[[#This Row],[Ruimte code]],Ruimtegroepen[#All],4,FALSE)</f>
        <v>V  (Verkeersruimte)</v>
      </c>
      <c r="P59" s="214"/>
      <c r="Q59" s="215">
        <v>40</v>
      </c>
      <c r="R59" s="215" t="s">
        <v>2</v>
      </c>
      <c r="S59" s="215">
        <f>IF(R59&gt;0,IF(RIGHT(Ruimtestaat[[#This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" s="215">
        <f>IF(S59&gt;0,VLOOKUP($J59,Ruimtegroepen[],3,FALSE)*VLOOKUP($K59,Vloersoorten[],3,FALSE)*VLOOKUP($R59,Frequenties[],3,FALSE)*VLOOKUP($A59,Locaties[],3,FALSE),0)</f>
        <v>0</v>
      </c>
      <c r="U59" s="215">
        <f>Ruimtestaat[[#This Row],[Uitvoeringen werkdagen]]*Ruimtestaat[[#This Row],[Oppervlak (netto)]]</f>
        <v>7095.9999999999991</v>
      </c>
      <c r="V59" s="259">
        <f>IF(T59&gt;0,Ruimtestaat[[#This Row],[Prest. (m2 /jaar) werkdagen]]/Ruimtestaat[[#This Row],[Norm (m2/uur) werkdagen]],0)</f>
        <v>0</v>
      </c>
      <c r="W59" s="260">
        <f>Ruimtestaat[[#This Row],[uren / jaar werkdagen]]*Tariefsopbouw!$D$38</f>
        <v>0</v>
      </c>
      <c r="X59" s="33"/>
      <c r="Y59" s="33">
        <f>IF(Ruimtestaat[[#This Row],[Frequentie weekend]]&gt;0,VALUE(LEFT(X59,1))*Q59,0)</f>
        <v>0</v>
      </c>
      <c r="Z59" s="33">
        <f>IF($Y59&gt;0,VLOOKUP($J59,Ruimtegroepen[],3,FALSE)*VLOOKUP($K59,Vloersoorten[],3,FALSE)*VLOOKUP($X59,Frequenties[],3,FALSE)*VLOOKUP(#REF!,Locaties[],3,FALSE),0)</f>
        <v>0</v>
      </c>
      <c r="AA59" s="33"/>
      <c r="AB59" s="33"/>
      <c r="AC59" s="33">
        <f>Ruimtestaat[[#This Row],[uren / jaar weekend]]*Tariefsopbouw!$D$40</f>
        <v>0</v>
      </c>
      <c r="AD59" s="88">
        <f>Ruimtestaat[[#This Row],[Prest. (m2 /jaar) weekend]]+Ruimtestaat[[#This Row],[Prest. (m2 /jaar) werkdagen]]</f>
        <v>7095.9999999999991</v>
      </c>
      <c r="AE59" s="88">
        <f>Ruimtestaat[[#This Row],[uren / jaar weekend]]+Ruimtestaat[[#This Row],[uren / jaar werkdagen]]</f>
        <v>0</v>
      </c>
      <c r="AF59" s="89">
        <f>Ruimtestaat[[#This Row],[kosten / jaar weekend]]+Ruimtestaat[[#This Row],[kosten / jaar werkdagen]]</f>
        <v>0</v>
      </c>
      <c r="AG59" s="114"/>
      <c r="HK59" s="87"/>
    </row>
    <row r="60" spans="1:219" ht="15" customHeight="1">
      <c r="A60" s="129">
        <v>1</v>
      </c>
      <c r="B60" s="21" t="str">
        <f>VLOOKUP(Ruimtestaat[[#This Row],[Code]],Locaties[#All],2,FALSE)</f>
        <v>PXC Aalderinkshoek</v>
      </c>
      <c r="C60" s="21" t="str">
        <f>VLOOKUP(Ruimtestaat[[#This Row],[Code]],Locaties[#All],4,FALSE)</f>
        <v>Cesar Frankstraat 4</v>
      </c>
      <c r="D60" s="21" t="str">
        <f>VLOOKUP(Ruimtestaat[[#This Row],[Code]],Locaties[#All],5,FALSE)</f>
        <v>7604 JG</v>
      </c>
      <c r="E60" s="200" t="str">
        <f>VLOOKUP(Ruimtestaat[[#This Row],[Code]],Locaties[#All],6,FALSE)</f>
        <v>Almelo</v>
      </c>
      <c r="F60" s="244"/>
      <c r="G60" s="200" t="s">
        <v>444</v>
      </c>
      <c r="H60" s="200" t="s">
        <v>523</v>
      </c>
      <c r="I60" s="244" t="s">
        <v>447</v>
      </c>
      <c r="J60" s="200">
        <v>1</v>
      </c>
      <c r="K60" s="215" t="s">
        <v>110</v>
      </c>
      <c r="L60" s="200" t="s">
        <v>132</v>
      </c>
      <c r="M60" s="213">
        <v>12.6</v>
      </c>
      <c r="N60" s="213"/>
      <c r="O60" s="243" t="str">
        <f>VLOOKUP(Ruimtestaat[[#This Row],[Ruimte code]],Ruimtegroepen[#All],4,FALSE)</f>
        <v>V  (Verkeersruimte)</v>
      </c>
      <c r="P60" s="214"/>
      <c r="Q60" s="215">
        <v>40</v>
      </c>
      <c r="R60" s="215" t="s">
        <v>16</v>
      </c>
      <c r="S60" s="215">
        <f>IF(R60&gt;0,IF(RIGHT(Ruimtestaat[[#This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0" s="215">
        <f>IF(S60&gt;0,VLOOKUP($J60,Ruimtegroepen[],3,FALSE)*VLOOKUP($K60,Vloersoorten[],3,FALSE)*VLOOKUP($R60,Frequenties[],3,FALSE)*VLOOKUP($A60,Locaties[],3,FALSE),0)</f>
        <v>0</v>
      </c>
      <c r="U60" s="215">
        <f>Ruimtestaat[[#This Row],[Uitvoeringen werkdagen]]*Ruimtestaat[[#This Row],[Oppervlak (netto)]]</f>
        <v>151.19999999999999</v>
      </c>
      <c r="V60" s="259">
        <f>IF(T60&gt;0,Ruimtestaat[[#This Row],[Prest. (m2 /jaar) werkdagen]]/Ruimtestaat[[#This Row],[Norm (m2/uur) werkdagen]],0)</f>
        <v>0</v>
      </c>
      <c r="W60" s="260">
        <f>Ruimtestaat[[#This Row],[uren / jaar werkdagen]]*Tariefsopbouw!$D$38</f>
        <v>0</v>
      </c>
      <c r="X60" s="33"/>
      <c r="Y60" s="33">
        <f>IF(Ruimtestaat[[#This Row],[Frequentie weekend]]&gt;0,VALUE(LEFT(X60,1))*Q60,0)</f>
        <v>0</v>
      </c>
      <c r="Z60" s="33">
        <f>IF($Y60&gt;0,VLOOKUP($J60,Ruimtegroepen[],3,FALSE)*VLOOKUP($K60,Vloersoorten[],3,FALSE)*VLOOKUP($X60,Frequenties[],3,FALSE)*VLOOKUP(#REF!,Locaties[],3,FALSE),0)</f>
        <v>0</v>
      </c>
      <c r="AA60" s="33"/>
      <c r="AB60" s="33"/>
      <c r="AC60" s="33">
        <f>Ruimtestaat[[#This Row],[uren / jaar weekend]]*Tariefsopbouw!$D$40</f>
        <v>0</v>
      </c>
      <c r="AD60" s="88">
        <f>Ruimtestaat[[#This Row],[Prest. (m2 /jaar) weekend]]+Ruimtestaat[[#This Row],[Prest. (m2 /jaar) werkdagen]]</f>
        <v>151.19999999999999</v>
      </c>
      <c r="AE60" s="88">
        <f>Ruimtestaat[[#This Row],[uren / jaar weekend]]+Ruimtestaat[[#This Row],[uren / jaar werkdagen]]</f>
        <v>0</v>
      </c>
      <c r="AF60" s="89">
        <f>Ruimtestaat[[#This Row],[kosten / jaar weekend]]+Ruimtestaat[[#This Row],[kosten / jaar werkdagen]]</f>
        <v>0</v>
      </c>
      <c r="AG60" s="114"/>
      <c r="HK60" s="87"/>
    </row>
    <row r="61" spans="1:219" ht="15" customHeight="1">
      <c r="A61" s="129">
        <v>1</v>
      </c>
      <c r="B61" s="21" t="str">
        <f>VLOOKUP(Ruimtestaat[[#This Row],[Code]],Locaties[#All],2,FALSE)</f>
        <v>PXC Aalderinkshoek</v>
      </c>
      <c r="C61" s="21" t="str">
        <f>VLOOKUP(Ruimtestaat[[#This Row],[Code]],Locaties[#All],4,FALSE)</f>
        <v>Cesar Frankstraat 4</v>
      </c>
      <c r="D61" s="21" t="str">
        <f>VLOOKUP(Ruimtestaat[[#This Row],[Code]],Locaties[#All],5,FALSE)</f>
        <v>7604 JG</v>
      </c>
      <c r="E61" s="200" t="str">
        <f>VLOOKUP(Ruimtestaat[[#This Row],[Code]],Locaties[#All],6,FALSE)</f>
        <v>Almelo</v>
      </c>
      <c r="F61" s="244"/>
      <c r="G61" s="200" t="s">
        <v>444</v>
      </c>
      <c r="H61" s="200" t="s">
        <v>524</v>
      </c>
      <c r="I61" s="244" t="s">
        <v>447</v>
      </c>
      <c r="J61" s="200">
        <v>1</v>
      </c>
      <c r="K61" s="215" t="s">
        <v>110</v>
      </c>
      <c r="L61" s="200" t="s">
        <v>132</v>
      </c>
      <c r="M61" s="213">
        <v>25.88</v>
      </c>
      <c r="N61" s="213"/>
      <c r="O61" s="243" t="str">
        <f>VLOOKUP(Ruimtestaat[[#This Row],[Ruimte code]],Ruimtegroepen[#All],4,FALSE)</f>
        <v>V  (Verkeersruimte)</v>
      </c>
      <c r="P61" s="214"/>
      <c r="Q61" s="215">
        <v>40</v>
      </c>
      <c r="R61" s="215" t="s">
        <v>16</v>
      </c>
      <c r="S61" s="215">
        <f>IF(R61&gt;0,IF(RIGHT(Ruimtestaat[[#This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1" s="215">
        <f>IF(S61&gt;0,VLOOKUP($J61,Ruimtegroepen[],3,FALSE)*VLOOKUP($K61,Vloersoorten[],3,FALSE)*VLOOKUP($R61,Frequenties[],3,FALSE)*VLOOKUP($A61,Locaties[],3,FALSE),0)</f>
        <v>0</v>
      </c>
      <c r="U61" s="215">
        <f>Ruimtestaat[[#This Row],[Uitvoeringen werkdagen]]*Ruimtestaat[[#This Row],[Oppervlak (netto)]]</f>
        <v>310.56</v>
      </c>
      <c r="V61" s="259">
        <f>IF(T61&gt;0,Ruimtestaat[[#This Row],[Prest. (m2 /jaar) werkdagen]]/Ruimtestaat[[#This Row],[Norm (m2/uur) werkdagen]],0)</f>
        <v>0</v>
      </c>
      <c r="W61" s="260">
        <f>Ruimtestaat[[#This Row],[uren / jaar werkdagen]]*Tariefsopbouw!$D$38</f>
        <v>0</v>
      </c>
      <c r="X61" s="33"/>
      <c r="Y61" s="33">
        <f>IF(Ruimtestaat[[#This Row],[Frequentie weekend]]&gt;0,VALUE(LEFT(X61,1))*Q61,0)</f>
        <v>0</v>
      </c>
      <c r="Z61" s="33">
        <f>IF($Y61&gt;0,VLOOKUP($J61,Ruimtegroepen[],3,FALSE)*VLOOKUP($K61,Vloersoorten[],3,FALSE)*VLOOKUP($X61,Frequenties[],3,FALSE)*VLOOKUP(#REF!,Locaties[],3,FALSE),0)</f>
        <v>0</v>
      </c>
      <c r="AA61" s="33"/>
      <c r="AB61" s="33"/>
      <c r="AC61" s="33">
        <f>Ruimtestaat[[#This Row],[uren / jaar weekend]]*Tariefsopbouw!$D$40</f>
        <v>0</v>
      </c>
      <c r="AD61" s="88">
        <f>Ruimtestaat[[#This Row],[Prest. (m2 /jaar) weekend]]+Ruimtestaat[[#This Row],[Prest. (m2 /jaar) werkdagen]]</f>
        <v>310.56</v>
      </c>
      <c r="AE61" s="88">
        <f>Ruimtestaat[[#This Row],[uren / jaar weekend]]+Ruimtestaat[[#This Row],[uren / jaar werkdagen]]</f>
        <v>0</v>
      </c>
      <c r="AF61" s="89">
        <f>Ruimtestaat[[#This Row],[kosten / jaar weekend]]+Ruimtestaat[[#This Row],[kosten / jaar werkdagen]]</f>
        <v>0</v>
      </c>
      <c r="AG61" s="114"/>
      <c r="HK61" s="87"/>
    </row>
    <row r="62" spans="1:219" ht="15" customHeight="1">
      <c r="A62" s="129">
        <v>1</v>
      </c>
      <c r="B62" s="21" t="str">
        <f>VLOOKUP(Ruimtestaat[[#This Row],[Code]],Locaties[#All],2,FALSE)</f>
        <v>PXC Aalderinkshoek</v>
      </c>
      <c r="C62" s="21" t="str">
        <f>VLOOKUP(Ruimtestaat[[#This Row],[Code]],Locaties[#All],4,FALSE)</f>
        <v>Cesar Frankstraat 4</v>
      </c>
      <c r="D62" s="21" t="str">
        <f>VLOOKUP(Ruimtestaat[[#This Row],[Code]],Locaties[#All],5,FALSE)</f>
        <v>7604 JG</v>
      </c>
      <c r="E62" s="200" t="str">
        <f>VLOOKUP(Ruimtestaat[[#This Row],[Code]],Locaties[#All],6,FALSE)</f>
        <v>Almelo</v>
      </c>
      <c r="F62" s="244"/>
      <c r="G62" s="200" t="s">
        <v>444</v>
      </c>
      <c r="H62" s="200" t="s">
        <v>525</v>
      </c>
      <c r="I62" s="244" t="s">
        <v>510</v>
      </c>
      <c r="J62" s="200">
        <v>7</v>
      </c>
      <c r="K62" s="215" t="s">
        <v>1040</v>
      </c>
      <c r="L62" s="200" t="s">
        <v>999</v>
      </c>
      <c r="M62" s="213">
        <v>5.96</v>
      </c>
      <c r="N62" s="213"/>
      <c r="O62" s="243" t="str">
        <f>VLOOKUP(Ruimtestaat[[#This Row],[Ruimte code]],Ruimtegroepen[#All],4,FALSE)</f>
        <v>V  (Verkeersruimte)</v>
      </c>
      <c r="P62" s="214"/>
      <c r="Q62" s="215">
        <v>40</v>
      </c>
      <c r="R62" s="215" t="s">
        <v>2</v>
      </c>
      <c r="S62" s="215">
        <f>IF(R62&gt;0,IF(RIGHT(Ruimtestaat[[#This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" s="215">
        <f>IF(S62&gt;0,VLOOKUP($J62,Ruimtegroepen[],3,FALSE)*VLOOKUP($K62,Vloersoorten[],3,FALSE)*VLOOKUP($R62,Frequenties[],3,FALSE)*VLOOKUP($A62,Locaties[],3,FALSE),0)</f>
        <v>0</v>
      </c>
      <c r="U62" s="215">
        <f>Ruimtestaat[[#This Row],[Uitvoeringen werkdagen]]*Ruimtestaat[[#This Row],[Oppervlak (netto)]]</f>
        <v>1192</v>
      </c>
      <c r="V62" s="259">
        <f>IF(T62&gt;0,Ruimtestaat[[#This Row],[Prest. (m2 /jaar) werkdagen]]/Ruimtestaat[[#This Row],[Norm (m2/uur) werkdagen]],0)</f>
        <v>0</v>
      </c>
      <c r="W62" s="260">
        <f>Ruimtestaat[[#This Row],[uren / jaar werkdagen]]*Tariefsopbouw!$D$38</f>
        <v>0</v>
      </c>
      <c r="X62" s="33"/>
      <c r="Y62" s="33">
        <f>IF(Ruimtestaat[[#This Row],[Frequentie weekend]]&gt;0,VALUE(LEFT(X62,1))*Q62,0)</f>
        <v>0</v>
      </c>
      <c r="Z62" s="33">
        <f>IF($Y62&gt;0,VLOOKUP($J62,Ruimtegroepen[],3,FALSE)*VLOOKUP($K62,Vloersoorten[],3,FALSE)*VLOOKUP($X62,Frequenties[],3,FALSE)*VLOOKUP(#REF!,Locaties[],3,FALSE),0)</f>
        <v>0</v>
      </c>
      <c r="AA62" s="33"/>
      <c r="AB62" s="33"/>
      <c r="AC62" s="33">
        <f>Ruimtestaat[[#This Row],[uren / jaar weekend]]*Tariefsopbouw!$D$40</f>
        <v>0</v>
      </c>
      <c r="AD62" s="88">
        <f>Ruimtestaat[[#This Row],[Prest. (m2 /jaar) weekend]]+Ruimtestaat[[#This Row],[Prest. (m2 /jaar) werkdagen]]</f>
        <v>1192</v>
      </c>
      <c r="AE62" s="88">
        <f>Ruimtestaat[[#This Row],[uren / jaar weekend]]+Ruimtestaat[[#This Row],[uren / jaar werkdagen]]</f>
        <v>0</v>
      </c>
      <c r="AF62" s="89">
        <f>Ruimtestaat[[#This Row],[kosten / jaar weekend]]+Ruimtestaat[[#This Row],[kosten / jaar werkdagen]]</f>
        <v>0</v>
      </c>
      <c r="AG62" s="114"/>
      <c r="HK62" s="87"/>
    </row>
    <row r="63" spans="1:219" ht="15" customHeight="1">
      <c r="A63" s="129">
        <v>1</v>
      </c>
      <c r="B63" s="21" t="str">
        <f>VLOOKUP(Ruimtestaat[[#This Row],[Code]],Locaties[#All],2,FALSE)</f>
        <v>PXC Aalderinkshoek</v>
      </c>
      <c r="C63" s="21" t="str">
        <f>VLOOKUP(Ruimtestaat[[#This Row],[Code]],Locaties[#All],4,FALSE)</f>
        <v>Cesar Frankstraat 4</v>
      </c>
      <c r="D63" s="21" t="str">
        <f>VLOOKUP(Ruimtestaat[[#This Row],[Code]],Locaties[#All],5,FALSE)</f>
        <v>7604 JG</v>
      </c>
      <c r="E63" s="200" t="str">
        <f>VLOOKUP(Ruimtestaat[[#This Row],[Code]],Locaties[#All],6,FALSE)</f>
        <v>Almelo</v>
      </c>
      <c r="F63" s="244"/>
      <c r="G63" s="200" t="s">
        <v>444</v>
      </c>
      <c r="H63" s="200" t="s">
        <v>526</v>
      </c>
      <c r="I63" s="244" t="s">
        <v>447</v>
      </c>
      <c r="J63" s="200">
        <v>1</v>
      </c>
      <c r="K63" s="215" t="s">
        <v>110</v>
      </c>
      <c r="L63" s="200" t="s">
        <v>132</v>
      </c>
      <c r="M63" s="213">
        <v>11.93</v>
      </c>
      <c r="N63" s="213"/>
      <c r="O63" s="243" t="str">
        <f>VLOOKUP(Ruimtestaat[[#This Row],[Ruimte code]],Ruimtegroepen[#All],4,FALSE)</f>
        <v>V  (Verkeersruimte)</v>
      </c>
      <c r="P63" s="214"/>
      <c r="Q63" s="215">
        <v>40</v>
      </c>
      <c r="R63" s="215" t="s">
        <v>16</v>
      </c>
      <c r="S63" s="215">
        <f>IF(R63&gt;0,IF(RIGHT(Ruimtestaat[[#This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3" s="215">
        <f>IF(S63&gt;0,VLOOKUP($J63,Ruimtegroepen[],3,FALSE)*VLOOKUP($K63,Vloersoorten[],3,FALSE)*VLOOKUP($R63,Frequenties[],3,FALSE)*VLOOKUP($A63,Locaties[],3,FALSE),0)</f>
        <v>0</v>
      </c>
      <c r="U63" s="215">
        <f>Ruimtestaat[[#This Row],[Uitvoeringen werkdagen]]*Ruimtestaat[[#This Row],[Oppervlak (netto)]]</f>
        <v>143.16</v>
      </c>
      <c r="V63" s="259">
        <f>IF(T63&gt;0,Ruimtestaat[[#This Row],[Prest. (m2 /jaar) werkdagen]]/Ruimtestaat[[#This Row],[Norm (m2/uur) werkdagen]],0)</f>
        <v>0</v>
      </c>
      <c r="W63" s="260">
        <f>Ruimtestaat[[#This Row],[uren / jaar werkdagen]]*Tariefsopbouw!$D$38</f>
        <v>0</v>
      </c>
      <c r="X63" s="33"/>
      <c r="Y63" s="33">
        <f>IF(Ruimtestaat[[#This Row],[Frequentie weekend]]&gt;0,VALUE(LEFT(X63,1))*Q63,0)</f>
        <v>0</v>
      </c>
      <c r="Z63" s="33">
        <f>IF($Y63&gt;0,VLOOKUP($J63,Ruimtegroepen[],3,FALSE)*VLOOKUP($K63,Vloersoorten[],3,FALSE)*VLOOKUP($X63,Frequenties[],3,FALSE)*VLOOKUP(#REF!,Locaties[],3,FALSE),0)</f>
        <v>0</v>
      </c>
      <c r="AA63" s="33"/>
      <c r="AB63" s="33"/>
      <c r="AC63" s="33">
        <f>Ruimtestaat[[#This Row],[uren / jaar weekend]]*Tariefsopbouw!$D$40</f>
        <v>0</v>
      </c>
      <c r="AD63" s="88">
        <f>Ruimtestaat[[#This Row],[Prest. (m2 /jaar) weekend]]+Ruimtestaat[[#This Row],[Prest. (m2 /jaar) werkdagen]]</f>
        <v>143.16</v>
      </c>
      <c r="AE63" s="88">
        <f>Ruimtestaat[[#This Row],[uren / jaar weekend]]+Ruimtestaat[[#This Row],[uren / jaar werkdagen]]</f>
        <v>0</v>
      </c>
      <c r="AF63" s="89">
        <f>Ruimtestaat[[#This Row],[kosten / jaar weekend]]+Ruimtestaat[[#This Row],[kosten / jaar werkdagen]]</f>
        <v>0</v>
      </c>
      <c r="AG63" s="114"/>
      <c r="HK63" s="87"/>
    </row>
    <row r="64" spans="1:219" ht="15" customHeight="1">
      <c r="A64" s="129">
        <v>1</v>
      </c>
      <c r="B64" s="21" t="str">
        <f>VLOOKUP(Ruimtestaat[[#This Row],[Code]],Locaties[#All],2,FALSE)</f>
        <v>PXC Aalderinkshoek</v>
      </c>
      <c r="C64" s="21" t="str">
        <f>VLOOKUP(Ruimtestaat[[#This Row],[Code]],Locaties[#All],4,FALSE)</f>
        <v>Cesar Frankstraat 4</v>
      </c>
      <c r="D64" s="21" t="str">
        <f>VLOOKUP(Ruimtestaat[[#This Row],[Code]],Locaties[#All],5,FALSE)</f>
        <v>7604 JG</v>
      </c>
      <c r="E64" s="200" t="str">
        <f>VLOOKUP(Ruimtestaat[[#This Row],[Code]],Locaties[#All],6,FALSE)</f>
        <v>Almelo</v>
      </c>
      <c r="F64" s="244"/>
      <c r="G64" s="200" t="s">
        <v>444</v>
      </c>
      <c r="H64" s="200" t="s">
        <v>527</v>
      </c>
      <c r="I64" s="244" t="s">
        <v>469</v>
      </c>
      <c r="J64" s="200">
        <v>6</v>
      </c>
      <c r="K64" s="200" t="s">
        <v>110</v>
      </c>
      <c r="L64" s="200" t="s">
        <v>132</v>
      </c>
      <c r="M64" s="213">
        <v>6.03</v>
      </c>
      <c r="N64" s="213"/>
      <c r="O64" s="243" t="str">
        <f>VLOOKUP(Ruimtestaat[[#This Row],[Ruimte code]],Ruimtegroepen[#All],4,FALSE)</f>
        <v>V  (Verkeersruimte)</v>
      </c>
      <c r="P64" s="214"/>
      <c r="Q64" s="215">
        <v>40</v>
      </c>
      <c r="R64" s="215" t="s">
        <v>2</v>
      </c>
      <c r="S64" s="215">
        <f>IF(R64&gt;0,IF(RIGHT(Ruimtestaat[[#This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" s="215">
        <f>IF(S64&gt;0,VLOOKUP($J64,Ruimtegroepen[],3,FALSE)*VLOOKUP($K64,Vloersoorten[],3,FALSE)*VLOOKUP($R64,Frequenties[],3,FALSE)*VLOOKUP($A64,Locaties[],3,FALSE),0)</f>
        <v>0</v>
      </c>
      <c r="U64" s="215">
        <f>Ruimtestaat[[#This Row],[Uitvoeringen werkdagen]]*Ruimtestaat[[#This Row],[Oppervlak (netto)]]</f>
        <v>1206</v>
      </c>
      <c r="V64" s="259">
        <f>IF(T64&gt;0,Ruimtestaat[[#This Row],[Prest. (m2 /jaar) werkdagen]]/Ruimtestaat[[#This Row],[Norm (m2/uur) werkdagen]],0)</f>
        <v>0</v>
      </c>
      <c r="W64" s="260">
        <f>Ruimtestaat[[#This Row],[uren / jaar werkdagen]]*Tariefsopbouw!$D$38</f>
        <v>0</v>
      </c>
      <c r="X64" s="33"/>
      <c r="Y64" s="33">
        <f>IF(Ruimtestaat[[#This Row],[Frequentie weekend]]&gt;0,VALUE(LEFT(X64,1))*Q64,0)</f>
        <v>0</v>
      </c>
      <c r="Z64" s="33">
        <f>IF($Y64&gt;0,VLOOKUP($J64,Ruimtegroepen[],3,FALSE)*VLOOKUP($K64,Vloersoorten[],3,FALSE)*VLOOKUP($X64,Frequenties[],3,FALSE)*VLOOKUP(#REF!,Locaties[],3,FALSE),0)</f>
        <v>0</v>
      </c>
      <c r="AA64" s="33"/>
      <c r="AB64" s="33"/>
      <c r="AC64" s="33">
        <f>Ruimtestaat[[#This Row],[uren / jaar weekend]]*Tariefsopbouw!$D$40</f>
        <v>0</v>
      </c>
      <c r="AD64" s="88">
        <f>Ruimtestaat[[#This Row],[Prest. (m2 /jaar) weekend]]+Ruimtestaat[[#This Row],[Prest. (m2 /jaar) werkdagen]]</f>
        <v>1206</v>
      </c>
      <c r="AE64" s="88">
        <f>Ruimtestaat[[#This Row],[uren / jaar weekend]]+Ruimtestaat[[#This Row],[uren / jaar werkdagen]]</f>
        <v>0</v>
      </c>
      <c r="AF64" s="89">
        <f>Ruimtestaat[[#This Row],[kosten / jaar weekend]]+Ruimtestaat[[#This Row],[kosten / jaar werkdagen]]</f>
        <v>0</v>
      </c>
      <c r="AG64" s="114"/>
      <c r="HK64" s="87"/>
    </row>
    <row r="65" spans="1:219" ht="15" customHeight="1">
      <c r="A65" s="129">
        <v>1</v>
      </c>
      <c r="B65" s="21" t="str">
        <f>VLOOKUP(Ruimtestaat[[#This Row],[Code]],Locaties[#All],2,FALSE)</f>
        <v>PXC Aalderinkshoek</v>
      </c>
      <c r="C65" s="21" t="str">
        <f>VLOOKUP(Ruimtestaat[[#This Row],[Code]],Locaties[#All],4,FALSE)</f>
        <v>Cesar Frankstraat 4</v>
      </c>
      <c r="D65" s="21" t="str">
        <f>VLOOKUP(Ruimtestaat[[#This Row],[Code]],Locaties[#All],5,FALSE)</f>
        <v>7604 JG</v>
      </c>
      <c r="E65" s="200" t="str">
        <f>VLOOKUP(Ruimtestaat[[#This Row],[Code]],Locaties[#All],6,FALSE)</f>
        <v>Almelo</v>
      </c>
      <c r="F65" s="244"/>
      <c r="G65" s="200" t="s">
        <v>444</v>
      </c>
      <c r="H65" s="200" t="s">
        <v>528</v>
      </c>
      <c r="I65" s="244" t="s">
        <v>529</v>
      </c>
      <c r="J65" s="200">
        <v>5</v>
      </c>
      <c r="K65" s="215" t="s">
        <v>111</v>
      </c>
      <c r="L65" s="200" t="s">
        <v>1346</v>
      </c>
      <c r="M65" s="213">
        <v>21.15</v>
      </c>
      <c r="N65" s="213"/>
      <c r="O65" s="243" t="str">
        <f>VLOOKUP(Ruimtestaat[[#This Row],[Ruimte code]],Ruimtegroepen[#All],4,FALSE)</f>
        <v>S  (Sanitair)</v>
      </c>
      <c r="P65" s="214"/>
      <c r="Q65" s="215">
        <v>40</v>
      </c>
      <c r="R65" s="215" t="s">
        <v>2</v>
      </c>
      <c r="S65" s="215">
        <f>IF(R65&gt;0,IF(RIGHT(Ruimtestaat[[#This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" s="215">
        <f>IF(S65&gt;0,VLOOKUP($J65,Ruimtegroepen[],3,FALSE)*VLOOKUP($K65,Vloersoorten[],3,FALSE)*VLOOKUP($R65,Frequenties[],3,FALSE)*VLOOKUP($A65,Locaties[],3,FALSE),0)</f>
        <v>0</v>
      </c>
      <c r="U65" s="215">
        <f>Ruimtestaat[[#This Row],[Uitvoeringen werkdagen]]*Ruimtestaat[[#This Row],[Oppervlak (netto)]]</f>
        <v>4230</v>
      </c>
      <c r="V65" s="259">
        <f>IF(T65&gt;0,Ruimtestaat[[#This Row],[Prest. (m2 /jaar) werkdagen]]/Ruimtestaat[[#This Row],[Norm (m2/uur) werkdagen]],0)</f>
        <v>0</v>
      </c>
      <c r="W65" s="260">
        <f>Ruimtestaat[[#This Row],[uren / jaar werkdagen]]*Tariefsopbouw!$D$38</f>
        <v>0</v>
      </c>
      <c r="X65" s="33"/>
      <c r="Y65" s="33">
        <f>IF(Ruimtestaat[[#This Row],[Frequentie weekend]]&gt;0,VALUE(LEFT(X65,1))*Q65,0)</f>
        <v>0</v>
      </c>
      <c r="Z65" s="33">
        <f>IF($Y65&gt;0,VLOOKUP($J65,Ruimtegroepen[],3,FALSE)*VLOOKUP($K65,Vloersoorten[],3,FALSE)*VLOOKUP($X65,Frequenties[],3,FALSE)*VLOOKUP(#REF!,Locaties[],3,FALSE),0)</f>
        <v>0</v>
      </c>
      <c r="AA65" s="33"/>
      <c r="AB65" s="33"/>
      <c r="AC65" s="33">
        <f>Ruimtestaat[[#This Row],[uren / jaar weekend]]*Tariefsopbouw!$D$40</f>
        <v>0</v>
      </c>
      <c r="AD65" s="88">
        <f>Ruimtestaat[[#This Row],[Prest. (m2 /jaar) weekend]]+Ruimtestaat[[#This Row],[Prest. (m2 /jaar) werkdagen]]</f>
        <v>4230</v>
      </c>
      <c r="AE65" s="88">
        <f>Ruimtestaat[[#This Row],[uren / jaar weekend]]+Ruimtestaat[[#This Row],[uren / jaar werkdagen]]</f>
        <v>0</v>
      </c>
      <c r="AF65" s="89">
        <f>Ruimtestaat[[#This Row],[kosten / jaar weekend]]+Ruimtestaat[[#This Row],[kosten / jaar werkdagen]]</f>
        <v>0</v>
      </c>
      <c r="AG65" s="114"/>
      <c r="HK65" s="87"/>
    </row>
    <row r="66" spans="1:219" ht="15" customHeight="1">
      <c r="A66" s="129">
        <v>1</v>
      </c>
      <c r="B66" s="21" t="str">
        <f>VLOOKUP(Ruimtestaat[[#This Row],[Code]],Locaties[#All],2,FALSE)</f>
        <v>PXC Aalderinkshoek</v>
      </c>
      <c r="C66" s="21" t="str">
        <f>VLOOKUP(Ruimtestaat[[#This Row],[Code]],Locaties[#All],4,FALSE)</f>
        <v>Cesar Frankstraat 4</v>
      </c>
      <c r="D66" s="21" t="str">
        <f>VLOOKUP(Ruimtestaat[[#This Row],[Code]],Locaties[#All],5,FALSE)</f>
        <v>7604 JG</v>
      </c>
      <c r="E66" s="200" t="str">
        <f>VLOOKUP(Ruimtestaat[[#This Row],[Code]],Locaties[#All],6,FALSE)</f>
        <v>Almelo</v>
      </c>
      <c r="F66" s="244"/>
      <c r="G66" s="200" t="s">
        <v>444</v>
      </c>
      <c r="H66" s="200" t="s">
        <v>530</v>
      </c>
      <c r="I66" s="244" t="s">
        <v>459</v>
      </c>
      <c r="J66" s="200">
        <v>21</v>
      </c>
      <c r="K66" s="215"/>
      <c r="L66" s="200"/>
      <c r="M66" s="213"/>
      <c r="N66" s="213">
        <v>3.59</v>
      </c>
      <c r="O66" s="243" t="str">
        <f>VLOOKUP(Ruimtestaat[[#This Row],[Ruimte code]],Ruimtegroepen[#All],4,FALSE)</f>
        <v>Niet in onderhoud</v>
      </c>
      <c r="P66" s="214"/>
      <c r="Q66" s="215"/>
      <c r="R66" s="215"/>
      <c r="S66" s="215">
        <f>IF(R66&gt;0,IF(RIGHT(Ruimtestaat[[#This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" s="215">
        <f>IF(S66&gt;0,VLOOKUP($J66,Ruimtegroepen[],3,FALSE)*VLOOKUP($K66,Vloersoorten[],3,FALSE)*VLOOKUP($R66,Frequenties[],3,FALSE)*VLOOKUP($A66,Locaties[],3,FALSE),0)</f>
        <v>0</v>
      </c>
      <c r="U66" s="215">
        <f>Ruimtestaat[[#This Row],[Uitvoeringen werkdagen]]*Ruimtestaat[[#This Row],[Oppervlak (netto)]]</f>
        <v>0</v>
      </c>
      <c r="V66" s="259">
        <f>IF(T66&gt;0,Ruimtestaat[[#This Row],[Prest. (m2 /jaar) werkdagen]]/Ruimtestaat[[#This Row],[Norm (m2/uur) werkdagen]],0)</f>
        <v>0</v>
      </c>
      <c r="W66" s="260">
        <f>Ruimtestaat[[#This Row],[uren / jaar werkdagen]]*Tariefsopbouw!$D$38</f>
        <v>0</v>
      </c>
      <c r="X66" s="33"/>
      <c r="Y66" s="33">
        <f>IF(Ruimtestaat[[#This Row],[Frequentie weekend]]&gt;0,VALUE(LEFT(X66,1))*Q66,0)</f>
        <v>0</v>
      </c>
      <c r="Z66" s="33">
        <f>IF($Y66&gt;0,VLOOKUP($J66,Ruimtegroepen[],3,FALSE)*VLOOKUP($K66,Vloersoorten[],3,FALSE)*VLOOKUP($X66,Frequenties[],3,FALSE)*VLOOKUP(#REF!,Locaties[],3,FALSE),0)</f>
        <v>0</v>
      </c>
      <c r="AA66" s="33"/>
      <c r="AB66" s="33"/>
      <c r="AC66" s="33">
        <f>Ruimtestaat[[#This Row],[uren / jaar weekend]]*Tariefsopbouw!$D$40</f>
        <v>0</v>
      </c>
      <c r="AD66" s="88">
        <f>Ruimtestaat[[#This Row],[Prest. (m2 /jaar) weekend]]+Ruimtestaat[[#This Row],[Prest. (m2 /jaar) werkdagen]]</f>
        <v>0</v>
      </c>
      <c r="AE66" s="88">
        <f>Ruimtestaat[[#This Row],[uren / jaar weekend]]+Ruimtestaat[[#This Row],[uren / jaar werkdagen]]</f>
        <v>0</v>
      </c>
      <c r="AF66" s="89">
        <f>Ruimtestaat[[#This Row],[kosten / jaar weekend]]+Ruimtestaat[[#This Row],[kosten / jaar werkdagen]]</f>
        <v>0</v>
      </c>
      <c r="AG66" s="114"/>
      <c r="HK66" s="87"/>
    </row>
    <row r="67" spans="1:219" ht="15" customHeight="1">
      <c r="A67" s="129">
        <v>1</v>
      </c>
      <c r="B67" s="21" t="str">
        <f>VLOOKUP(Ruimtestaat[[#This Row],[Code]],Locaties[#All],2,FALSE)</f>
        <v>PXC Aalderinkshoek</v>
      </c>
      <c r="C67" s="21" t="str">
        <f>VLOOKUP(Ruimtestaat[[#This Row],[Code]],Locaties[#All],4,FALSE)</f>
        <v>Cesar Frankstraat 4</v>
      </c>
      <c r="D67" s="21" t="str">
        <f>VLOOKUP(Ruimtestaat[[#This Row],[Code]],Locaties[#All],5,FALSE)</f>
        <v>7604 JG</v>
      </c>
      <c r="E67" s="200" t="str">
        <f>VLOOKUP(Ruimtestaat[[#This Row],[Code]],Locaties[#All],6,FALSE)</f>
        <v>Almelo</v>
      </c>
      <c r="F67" s="244"/>
      <c r="G67" s="200" t="s">
        <v>444</v>
      </c>
      <c r="H67" s="200" t="s">
        <v>531</v>
      </c>
      <c r="I67" s="244" t="s">
        <v>532</v>
      </c>
      <c r="J67" s="200">
        <v>11</v>
      </c>
      <c r="K67" s="200" t="s">
        <v>110</v>
      </c>
      <c r="L67" s="200" t="s">
        <v>132</v>
      </c>
      <c r="M67" s="213">
        <v>147.11000000000001</v>
      </c>
      <c r="N67" s="213"/>
      <c r="O67" s="243" t="str">
        <f>VLOOKUP(Ruimtestaat[[#This Row],[Ruimte code]],Ruimtegroepen[#All],4,FALSE)</f>
        <v>L  (Lesruimte)</v>
      </c>
      <c r="P67" s="214"/>
      <c r="Q67" s="215">
        <v>40</v>
      </c>
      <c r="R67" s="215" t="s">
        <v>1344</v>
      </c>
      <c r="S67" s="215">
        <f>IF(R67&gt;0,IF(RIGHT(Ruimtestaat[[#This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67" s="215">
        <f>IF(S67&gt;0,VLOOKUP($J67,Ruimtegroepen[],3,FALSE)*VLOOKUP($K67,Vloersoorten[],3,FALSE)*VLOOKUP($R67,Frequenties[],3,FALSE)*VLOOKUP($A67,Locaties[],3,FALSE),0)</f>
        <v>0</v>
      </c>
      <c r="U67" s="215">
        <f>Ruimtestaat[[#This Row],[Uitvoeringen werkdagen]]*Ruimtestaat[[#This Row],[Oppervlak (netto)]]</f>
        <v>3530.6400000000003</v>
      </c>
      <c r="V67" s="259">
        <f>IF(T67&gt;0,Ruimtestaat[[#This Row],[Prest. (m2 /jaar) werkdagen]]/Ruimtestaat[[#This Row],[Norm (m2/uur) werkdagen]],0)</f>
        <v>0</v>
      </c>
      <c r="W67" s="260">
        <f>Ruimtestaat[[#This Row],[uren / jaar werkdagen]]*Tariefsopbouw!$D$38</f>
        <v>0</v>
      </c>
      <c r="X67" s="33"/>
      <c r="Y67" s="33">
        <f>IF(Ruimtestaat[[#This Row],[Frequentie weekend]]&gt;0,VALUE(LEFT(X67,1))*Q67,0)</f>
        <v>0</v>
      </c>
      <c r="Z67" s="33">
        <f>IF($Y67&gt;0,VLOOKUP($J67,Ruimtegroepen[],3,FALSE)*VLOOKUP($K67,Vloersoorten[],3,FALSE)*VLOOKUP($X67,Frequenties[],3,FALSE)*VLOOKUP(#REF!,Locaties[],3,FALSE),0)</f>
        <v>0</v>
      </c>
      <c r="AA67" s="33"/>
      <c r="AB67" s="33"/>
      <c r="AC67" s="33">
        <f>Ruimtestaat[[#This Row],[uren / jaar weekend]]*Tariefsopbouw!$D$40</f>
        <v>0</v>
      </c>
      <c r="AD67" s="88">
        <f>Ruimtestaat[[#This Row],[Prest. (m2 /jaar) weekend]]+Ruimtestaat[[#This Row],[Prest. (m2 /jaar) werkdagen]]</f>
        <v>3530.6400000000003</v>
      </c>
      <c r="AE67" s="88">
        <f>Ruimtestaat[[#This Row],[uren / jaar weekend]]+Ruimtestaat[[#This Row],[uren / jaar werkdagen]]</f>
        <v>0</v>
      </c>
      <c r="AF67" s="89">
        <f>Ruimtestaat[[#This Row],[kosten / jaar weekend]]+Ruimtestaat[[#This Row],[kosten / jaar werkdagen]]</f>
        <v>0</v>
      </c>
      <c r="AG67" s="114"/>
      <c r="HK67" s="87"/>
    </row>
    <row r="68" spans="1:219" ht="15" customHeight="1">
      <c r="A68" s="129">
        <v>1</v>
      </c>
      <c r="B68" s="21" t="str">
        <f>VLOOKUP(Ruimtestaat[[#This Row],[Code]],Locaties[#All],2,FALSE)</f>
        <v>PXC Aalderinkshoek</v>
      </c>
      <c r="C68" s="21" t="str">
        <f>VLOOKUP(Ruimtestaat[[#This Row],[Code]],Locaties[#All],4,FALSE)</f>
        <v>Cesar Frankstraat 4</v>
      </c>
      <c r="D68" s="21" t="str">
        <f>VLOOKUP(Ruimtestaat[[#This Row],[Code]],Locaties[#All],5,FALSE)</f>
        <v>7604 JG</v>
      </c>
      <c r="E68" s="200" t="str">
        <f>VLOOKUP(Ruimtestaat[[#This Row],[Code]],Locaties[#All],6,FALSE)</f>
        <v>Almelo</v>
      </c>
      <c r="F68" s="244"/>
      <c r="G68" s="200" t="s">
        <v>533</v>
      </c>
      <c r="H68" s="200" t="s">
        <v>534</v>
      </c>
      <c r="I68" s="244" t="s">
        <v>457</v>
      </c>
      <c r="J68" s="200">
        <v>10</v>
      </c>
      <c r="K68" s="200" t="s">
        <v>111</v>
      </c>
      <c r="L68" s="200" t="s">
        <v>128</v>
      </c>
      <c r="M68" s="213">
        <v>22.35</v>
      </c>
      <c r="N68" s="213"/>
      <c r="O68" s="243" t="str">
        <f>VLOOKUP(Ruimtestaat[[#This Row],[Ruimte code]],Ruimtegroepen[#All],4,FALSE)</f>
        <v>V  (Verkeersruimte)</v>
      </c>
      <c r="P68" s="214"/>
      <c r="Q68" s="215">
        <v>40</v>
      </c>
      <c r="R68" s="215" t="s">
        <v>2</v>
      </c>
      <c r="S68" s="215">
        <f>IF(R68&gt;0,IF(RIGHT(Ruimtestaat[[#This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" s="215">
        <f>IF(S68&gt;0,VLOOKUP($J68,Ruimtegroepen[],3,FALSE)*VLOOKUP($K68,Vloersoorten[],3,FALSE)*VLOOKUP($R68,Frequenties[],3,FALSE)*VLOOKUP($A68,Locaties[],3,FALSE),0)</f>
        <v>0</v>
      </c>
      <c r="U68" s="215">
        <f>Ruimtestaat[[#This Row],[Uitvoeringen werkdagen]]*Ruimtestaat[[#This Row],[Oppervlak (netto)]]</f>
        <v>4470</v>
      </c>
      <c r="V68" s="259">
        <f>IF(T68&gt;0,Ruimtestaat[[#This Row],[Prest. (m2 /jaar) werkdagen]]/Ruimtestaat[[#This Row],[Norm (m2/uur) werkdagen]],0)</f>
        <v>0</v>
      </c>
      <c r="W68" s="260">
        <f>Ruimtestaat[[#This Row],[uren / jaar werkdagen]]*Tariefsopbouw!$D$38</f>
        <v>0</v>
      </c>
      <c r="X68" s="33"/>
      <c r="Y68" s="33">
        <f>IF(Ruimtestaat[[#This Row],[Frequentie weekend]]&gt;0,VALUE(LEFT(X68,1))*Q68,0)</f>
        <v>0</v>
      </c>
      <c r="Z68" s="33">
        <f>IF($Y68&gt;0,VLOOKUP($J68,Ruimtegroepen[],3,FALSE)*VLOOKUP($K68,Vloersoorten[],3,FALSE)*VLOOKUP($X68,Frequenties[],3,FALSE)*VLOOKUP(#REF!,Locaties[],3,FALSE),0)</f>
        <v>0</v>
      </c>
      <c r="AA68" s="33"/>
      <c r="AB68" s="33"/>
      <c r="AC68" s="33">
        <f>Ruimtestaat[[#This Row],[uren / jaar weekend]]*Tariefsopbouw!$D$40</f>
        <v>0</v>
      </c>
      <c r="AD68" s="88">
        <f>Ruimtestaat[[#This Row],[Prest. (m2 /jaar) weekend]]+Ruimtestaat[[#This Row],[Prest. (m2 /jaar) werkdagen]]</f>
        <v>4470</v>
      </c>
      <c r="AE68" s="88">
        <f>Ruimtestaat[[#This Row],[uren / jaar weekend]]+Ruimtestaat[[#This Row],[uren / jaar werkdagen]]</f>
        <v>0</v>
      </c>
      <c r="AF68" s="89">
        <f>Ruimtestaat[[#This Row],[kosten / jaar weekend]]+Ruimtestaat[[#This Row],[kosten / jaar werkdagen]]</f>
        <v>0</v>
      </c>
      <c r="AG68" s="114"/>
      <c r="HK68" s="87"/>
    </row>
    <row r="69" spans="1:219" ht="15" customHeight="1">
      <c r="A69" s="129">
        <v>1</v>
      </c>
      <c r="B69" s="21" t="str">
        <f>VLOOKUP(Ruimtestaat[[#This Row],[Code]],Locaties[#All],2,FALSE)</f>
        <v>PXC Aalderinkshoek</v>
      </c>
      <c r="C69" s="21" t="str">
        <f>VLOOKUP(Ruimtestaat[[#This Row],[Code]],Locaties[#All],4,FALSE)</f>
        <v>Cesar Frankstraat 4</v>
      </c>
      <c r="D69" s="21" t="str">
        <f>VLOOKUP(Ruimtestaat[[#This Row],[Code]],Locaties[#All],5,FALSE)</f>
        <v>7604 JG</v>
      </c>
      <c r="E69" s="200" t="str">
        <f>VLOOKUP(Ruimtestaat[[#This Row],[Code]],Locaties[#All],6,FALSE)</f>
        <v>Almelo</v>
      </c>
      <c r="F69" s="244"/>
      <c r="G69" s="200" t="s">
        <v>533</v>
      </c>
      <c r="H69" s="200" t="s">
        <v>535</v>
      </c>
      <c r="I69" s="244" t="s">
        <v>529</v>
      </c>
      <c r="J69" s="200">
        <v>5</v>
      </c>
      <c r="K69" s="215" t="s">
        <v>111</v>
      </c>
      <c r="L69" s="200" t="s">
        <v>1346</v>
      </c>
      <c r="M69" s="213">
        <v>13.16</v>
      </c>
      <c r="N69" s="213"/>
      <c r="O69" s="243" t="str">
        <f>VLOOKUP(Ruimtestaat[[#This Row],[Ruimte code]],Ruimtegroepen[#All],4,FALSE)</f>
        <v>S  (Sanitair)</v>
      </c>
      <c r="P69" s="214"/>
      <c r="Q69" s="215">
        <v>40</v>
      </c>
      <c r="R69" s="215" t="s">
        <v>2</v>
      </c>
      <c r="S69" s="215">
        <f>IF(R69&gt;0,IF(RIGHT(Ruimtestaat[[#This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" s="215">
        <f>IF(S69&gt;0,VLOOKUP($J69,Ruimtegroepen[],3,FALSE)*VLOOKUP($K69,Vloersoorten[],3,FALSE)*VLOOKUP($R69,Frequenties[],3,FALSE)*VLOOKUP($A69,Locaties[],3,FALSE),0)</f>
        <v>0</v>
      </c>
      <c r="U69" s="215">
        <f>Ruimtestaat[[#This Row],[Uitvoeringen werkdagen]]*Ruimtestaat[[#This Row],[Oppervlak (netto)]]</f>
        <v>2632</v>
      </c>
      <c r="V69" s="259">
        <f>IF(T69&gt;0,Ruimtestaat[[#This Row],[Prest. (m2 /jaar) werkdagen]]/Ruimtestaat[[#This Row],[Norm (m2/uur) werkdagen]],0)</f>
        <v>0</v>
      </c>
      <c r="W69" s="260">
        <f>Ruimtestaat[[#This Row],[uren / jaar werkdagen]]*Tariefsopbouw!$D$38</f>
        <v>0</v>
      </c>
      <c r="X69" s="33"/>
      <c r="Y69" s="33">
        <f>IF(Ruimtestaat[[#This Row],[Frequentie weekend]]&gt;0,VALUE(LEFT(X69,1))*Q69,0)</f>
        <v>0</v>
      </c>
      <c r="Z69" s="33">
        <f>IF($Y69&gt;0,VLOOKUP($J69,Ruimtegroepen[],3,FALSE)*VLOOKUP($K69,Vloersoorten[],3,FALSE)*VLOOKUP($X69,Frequenties[],3,FALSE)*VLOOKUP(#REF!,Locaties[],3,FALSE),0)</f>
        <v>0</v>
      </c>
      <c r="AA69" s="33"/>
      <c r="AB69" s="33"/>
      <c r="AC69" s="33">
        <f>Ruimtestaat[[#This Row],[uren / jaar weekend]]*Tariefsopbouw!$D$40</f>
        <v>0</v>
      </c>
      <c r="AD69" s="88">
        <f>Ruimtestaat[[#This Row],[Prest. (m2 /jaar) weekend]]+Ruimtestaat[[#This Row],[Prest. (m2 /jaar) werkdagen]]</f>
        <v>2632</v>
      </c>
      <c r="AE69" s="88">
        <f>Ruimtestaat[[#This Row],[uren / jaar weekend]]+Ruimtestaat[[#This Row],[uren / jaar werkdagen]]</f>
        <v>0</v>
      </c>
      <c r="AF69" s="89">
        <f>Ruimtestaat[[#This Row],[kosten / jaar weekend]]+Ruimtestaat[[#This Row],[kosten / jaar werkdagen]]</f>
        <v>0</v>
      </c>
      <c r="AG69" s="114"/>
      <c r="HK69" s="87"/>
    </row>
    <row r="70" spans="1:219" ht="15" customHeight="1">
      <c r="A70" s="129">
        <v>1</v>
      </c>
      <c r="B70" s="21" t="str">
        <f>VLOOKUP(Ruimtestaat[[#This Row],[Code]],Locaties[#All],2,FALSE)</f>
        <v>PXC Aalderinkshoek</v>
      </c>
      <c r="C70" s="21" t="str">
        <f>VLOOKUP(Ruimtestaat[[#This Row],[Code]],Locaties[#All],4,FALSE)</f>
        <v>Cesar Frankstraat 4</v>
      </c>
      <c r="D70" s="21" t="str">
        <f>VLOOKUP(Ruimtestaat[[#This Row],[Code]],Locaties[#All],5,FALSE)</f>
        <v>7604 JG</v>
      </c>
      <c r="E70" s="200" t="str">
        <f>VLOOKUP(Ruimtestaat[[#This Row],[Code]],Locaties[#All],6,FALSE)</f>
        <v>Almelo</v>
      </c>
      <c r="F70" s="244"/>
      <c r="G70" s="200" t="s">
        <v>533</v>
      </c>
      <c r="H70" s="200" t="s">
        <v>536</v>
      </c>
      <c r="I70" s="244" t="s">
        <v>459</v>
      </c>
      <c r="J70" s="200">
        <v>21</v>
      </c>
      <c r="K70" s="200"/>
      <c r="L70" s="200"/>
      <c r="M70" s="213"/>
      <c r="N70" s="213">
        <v>3.63</v>
      </c>
      <c r="O70" s="243" t="str">
        <f>VLOOKUP(Ruimtestaat[[#This Row],[Ruimte code]],Ruimtegroepen[#All],4,FALSE)</f>
        <v>Niet in onderhoud</v>
      </c>
      <c r="P70" s="214"/>
      <c r="Q70" s="215"/>
      <c r="R70" s="215"/>
      <c r="S70" s="215">
        <f>IF(R70&gt;0,IF(RIGHT(Ruimtestaat[[#This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0" s="215">
        <f>IF(S70&gt;0,VLOOKUP($J70,Ruimtegroepen[],3,FALSE)*VLOOKUP($K70,Vloersoorten[],3,FALSE)*VLOOKUP($R70,Frequenties[],3,FALSE)*VLOOKUP($A70,Locaties[],3,FALSE),0)</f>
        <v>0</v>
      </c>
      <c r="U70" s="215">
        <f>Ruimtestaat[[#This Row],[Uitvoeringen werkdagen]]*Ruimtestaat[[#This Row],[Oppervlak (netto)]]</f>
        <v>0</v>
      </c>
      <c r="V70" s="259">
        <f>IF(T70&gt;0,Ruimtestaat[[#This Row],[Prest. (m2 /jaar) werkdagen]]/Ruimtestaat[[#This Row],[Norm (m2/uur) werkdagen]],0)</f>
        <v>0</v>
      </c>
      <c r="W70" s="260">
        <f>Ruimtestaat[[#This Row],[uren / jaar werkdagen]]*Tariefsopbouw!$D$38</f>
        <v>0</v>
      </c>
      <c r="X70" s="33"/>
      <c r="Y70" s="33">
        <f>IF(Ruimtestaat[[#This Row],[Frequentie weekend]]&gt;0,VALUE(LEFT(X70,1))*Q70,0)</f>
        <v>0</v>
      </c>
      <c r="Z70" s="33">
        <f>IF($Y70&gt;0,VLOOKUP($J70,Ruimtegroepen[],3,FALSE)*VLOOKUP($K70,Vloersoorten[],3,FALSE)*VLOOKUP($X70,Frequenties[],3,FALSE)*VLOOKUP(#REF!,Locaties[],3,FALSE),0)</f>
        <v>0</v>
      </c>
      <c r="AA70" s="33"/>
      <c r="AB70" s="33"/>
      <c r="AC70" s="33">
        <f>Ruimtestaat[[#This Row],[uren / jaar weekend]]*Tariefsopbouw!$D$40</f>
        <v>0</v>
      </c>
      <c r="AD70" s="88">
        <f>Ruimtestaat[[#This Row],[Prest. (m2 /jaar) weekend]]+Ruimtestaat[[#This Row],[Prest. (m2 /jaar) werkdagen]]</f>
        <v>0</v>
      </c>
      <c r="AE70" s="88">
        <f>Ruimtestaat[[#This Row],[uren / jaar weekend]]+Ruimtestaat[[#This Row],[uren / jaar werkdagen]]</f>
        <v>0</v>
      </c>
      <c r="AF70" s="89">
        <f>Ruimtestaat[[#This Row],[kosten / jaar weekend]]+Ruimtestaat[[#This Row],[kosten / jaar werkdagen]]</f>
        <v>0</v>
      </c>
      <c r="AG70" s="114"/>
      <c r="HK70" s="87"/>
    </row>
    <row r="71" spans="1:219" ht="15" customHeight="1">
      <c r="A71" s="129">
        <v>1</v>
      </c>
      <c r="B71" s="21" t="str">
        <f>VLOOKUP(Ruimtestaat[[#This Row],[Code]],Locaties[#All],2,FALSE)</f>
        <v>PXC Aalderinkshoek</v>
      </c>
      <c r="C71" s="21" t="str">
        <f>VLOOKUP(Ruimtestaat[[#This Row],[Code]],Locaties[#All],4,FALSE)</f>
        <v>Cesar Frankstraat 4</v>
      </c>
      <c r="D71" s="21" t="str">
        <f>VLOOKUP(Ruimtestaat[[#This Row],[Code]],Locaties[#All],5,FALSE)</f>
        <v>7604 JG</v>
      </c>
      <c r="E71" s="200" t="str">
        <f>VLOOKUP(Ruimtestaat[[#This Row],[Code]],Locaties[#All],6,FALSE)</f>
        <v>Almelo</v>
      </c>
      <c r="F71" s="244"/>
      <c r="G71" s="200" t="s">
        <v>533</v>
      </c>
      <c r="H71" s="200" t="s">
        <v>537</v>
      </c>
      <c r="I71" s="244" t="s">
        <v>447</v>
      </c>
      <c r="J71" s="200">
        <v>1</v>
      </c>
      <c r="K71" s="215" t="s">
        <v>110</v>
      </c>
      <c r="L71" s="200" t="s">
        <v>132</v>
      </c>
      <c r="M71" s="213">
        <v>2.13</v>
      </c>
      <c r="N71" s="213"/>
      <c r="O71" s="243" t="str">
        <f>VLOOKUP(Ruimtestaat[[#This Row],[Ruimte code]],Ruimtegroepen[#All],4,FALSE)</f>
        <v>V  (Verkeersruimte)</v>
      </c>
      <c r="P71" s="214"/>
      <c r="Q71" s="215">
        <v>40</v>
      </c>
      <c r="R71" s="215" t="s">
        <v>16</v>
      </c>
      <c r="S71" s="215">
        <f>IF(R71&gt;0,IF(RIGHT(Ruimtestaat[[#This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1" s="215">
        <f>IF(S71&gt;0,VLOOKUP($J71,Ruimtegroepen[],3,FALSE)*VLOOKUP($K71,Vloersoorten[],3,FALSE)*VLOOKUP($R71,Frequenties[],3,FALSE)*VLOOKUP($A71,Locaties[],3,FALSE),0)</f>
        <v>0</v>
      </c>
      <c r="U71" s="215">
        <f>Ruimtestaat[[#This Row],[Uitvoeringen werkdagen]]*Ruimtestaat[[#This Row],[Oppervlak (netto)]]</f>
        <v>25.56</v>
      </c>
      <c r="V71" s="259">
        <f>IF(T71&gt;0,Ruimtestaat[[#This Row],[Prest. (m2 /jaar) werkdagen]]/Ruimtestaat[[#This Row],[Norm (m2/uur) werkdagen]],0)</f>
        <v>0</v>
      </c>
      <c r="W71" s="260">
        <f>Ruimtestaat[[#This Row],[uren / jaar werkdagen]]*Tariefsopbouw!$D$38</f>
        <v>0</v>
      </c>
      <c r="X71" s="33"/>
      <c r="Y71" s="33">
        <f>IF(Ruimtestaat[[#This Row],[Frequentie weekend]]&gt;0,VALUE(LEFT(X71,1))*Q71,0)</f>
        <v>0</v>
      </c>
      <c r="Z71" s="33">
        <f>IF($Y71&gt;0,VLOOKUP($J71,Ruimtegroepen[],3,FALSE)*VLOOKUP($K71,Vloersoorten[],3,FALSE)*VLOOKUP($X71,Frequenties[],3,FALSE)*VLOOKUP(#REF!,Locaties[],3,FALSE),0)</f>
        <v>0</v>
      </c>
      <c r="AA71" s="33"/>
      <c r="AB71" s="33"/>
      <c r="AC71" s="33">
        <f>Ruimtestaat[[#This Row],[uren / jaar weekend]]*Tariefsopbouw!$D$40</f>
        <v>0</v>
      </c>
      <c r="AD71" s="88">
        <f>Ruimtestaat[[#This Row],[Prest. (m2 /jaar) weekend]]+Ruimtestaat[[#This Row],[Prest. (m2 /jaar) werkdagen]]</f>
        <v>25.56</v>
      </c>
      <c r="AE71" s="88">
        <f>Ruimtestaat[[#This Row],[uren / jaar weekend]]+Ruimtestaat[[#This Row],[uren / jaar werkdagen]]</f>
        <v>0</v>
      </c>
      <c r="AF71" s="89">
        <f>Ruimtestaat[[#This Row],[kosten / jaar weekend]]+Ruimtestaat[[#This Row],[kosten / jaar werkdagen]]</f>
        <v>0</v>
      </c>
      <c r="AG71" s="114"/>
      <c r="HK71" s="87"/>
    </row>
    <row r="72" spans="1:219" ht="15" customHeight="1">
      <c r="A72" s="129">
        <v>1</v>
      </c>
      <c r="B72" s="21" t="str">
        <f>VLOOKUP(Ruimtestaat[[#This Row],[Code]],Locaties[#All],2,FALSE)</f>
        <v>PXC Aalderinkshoek</v>
      </c>
      <c r="C72" s="21" t="str">
        <f>VLOOKUP(Ruimtestaat[[#This Row],[Code]],Locaties[#All],4,FALSE)</f>
        <v>Cesar Frankstraat 4</v>
      </c>
      <c r="D72" s="21" t="str">
        <f>VLOOKUP(Ruimtestaat[[#This Row],[Code]],Locaties[#All],5,FALSE)</f>
        <v>7604 JG</v>
      </c>
      <c r="E72" s="200" t="str">
        <f>VLOOKUP(Ruimtestaat[[#This Row],[Code]],Locaties[#All],6,FALSE)</f>
        <v>Almelo</v>
      </c>
      <c r="F72" s="244"/>
      <c r="G72" s="200" t="s">
        <v>533</v>
      </c>
      <c r="H72" s="200" t="s">
        <v>538</v>
      </c>
      <c r="I72" s="244" t="s">
        <v>539</v>
      </c>
      <c r="J72" s="200">
        <v>5</v>
      </c>
      <c r="K72" s="215" t="s">
        <v>111</v>
      </c>
      <c r="L72" s="200" t="s">
        <v>1346</v>
      </c>
      <c r="M72" s="213">
        <v>13.16</v>
      </c>
      <c r="N72" s="213"/>
      <c r="O72" s="243" t="str">
        <f>VLOOKUP(Ruimtestaat[[#This Row],[Ruimte code]],Ruimtegroepen[#All],4,FALSE)</f>
        <v>S  (Sanitair)</v>
      </c>
      <c r="P72" s="214"/>
      <c r="Q72" s="215">
        <v>40</v>
      </c>
      <c r="R72" s="215" t="s">
        <v>2</v>
      </c>
      <c r="S72" s="215">
        <f>IF(R72&gt;0,IF(RIGHT(Ruimtestaat[[#This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" s="215">
        <f>IF(S72&gt;0,VLOOKUP($J72,Ruimtegroepen[],3,FALSE)*VLOOKUP($K72,Vloersoorten[],3,FALSE)*VLOOKUP($R72,Frequenties[],3,FALSE)*VLOOKUP($A72,Locaties[],3,FALSE),0)</f>
        <v>0</v>
      </c>
      <c r="U72" s="215">
        <f>Ruimtestaat[[#This Row],[Uitvoeringen werkdagen]]*Ruimtestaat[[#This Row],[Oppervlak (netto)]]</f>
        <v>2632</v>
      </c>
      <c r="V72" s="259">
        <f>IF(T72&gt;0,Ruimtestaat[[#This Row],[Prest. (m2 /jaar) werkdagen]]/Ruimtestaat[[#This Row],[Norm (m2/uur) werkdagen]],0)</f>
        <v>0</v>
      </c>
      <c r="W72" s="260">
        <f>Ruimtestaat[[#This Row],[uren / jaar werkdagen]]*Tariefsopbouw!$D$38</f>
        <v>0</v>
      </c>
      <c r="X72" s="33"/>
      <c r="Y72" s="33">
        <f>IF(Ruimtestaat[[#This Row],[Frequentie weekend]]&gt;0,VALUE(LEFT(X72,1))*Q72,0)</f>
        <v>0</v>
      </c>
      <c r="Z72" s="33">
        <f>IF($Y72&gt;0,VLOOKUP($J72,Ruimtegroepen[],3,FALSE)*VLOOKUP($K72,Vloersoorten[],3,FALSE)*VLOOKUP($X72,Frequenties[],3,FALSE)*VLOOKUP(#REF!,Locaties[],3,FALSE),0)</f>
        <v>0</v>
      </c>
      <c r="AA72" s="33"/>
      <c r="AB72" s="33"/>
      <c r="AC72" s="33">
        <f>Ruimtestaat[[#This Row],[uren / jaar weekend]]*Tariefsopbouw!$D$40</f>
        <v>0</v>
      </c>
      <c r="AD72" s="88">
        <f>Ruimtestaat[[#This Row],[Prest. (m2 /jaar) weekend]]+Ruimtestaat[[#This Row],[Prest. (m2 /jaar) werkdagen]]</f>
        <v>2632</v>
      </c>
      <c r="AE72" s="88">
        <f>Ruimtestaat[[#This Row],[uren / jaar weekend]]+Ruimtestaat[[#This Row],[uren / jaar werkdagen]]</f>
        <v>0</v>
      </c>
      <c r="AF72" s="89">
        <f>Ruimtestaat[[#This Row],[kosten / jaar weekend]]+Ruimtestaat[[#This Row],[kosten / jaar werkdagen]]</f>
        <v>0</v>
      </c>
      <c r="AG72" s="114"/>
      <c r="HK72" s="87"/>
    </row>
    <row r="73" spans="1:219" ht="15" customHeight="1">
      <c r="A73" s="129">
        <v>1</v>
      </c>
      <c r="B73" s="21" t="str">
        <f>VLOOKUP(Ruimtestaat[[#This Row],[Code]],Locaties[#All],2,FALSE)</f>
        <v>PXC Aalderinkshoek</v>
      </c>
      <c r="C73" s="21" t="str">
        <f>VLOOKUP(Ruimtestaat[[#This Row],[Code]],Locaties[#All],4,FALSE)</f>
        <v>Cesar Frankstraat 4</v>
      </c>
      <c r="D73" s="21" t="str">
        <f>VLOOKUP(Ruimtestaat[[#This Row],[Code]],Locaties[#All],5,FALSE)</f>
        <v>7604 JG</v>
      </c>
      <c r="E73" s="200" t="str">
        <f>VLOOKUP(Ruimtestaat[[#This Row],[Code]],Locaties[#All],6,FALSE)</f>
        <v>Almelo</v>
      </c>
      <c r="F73" s="244"/>
      <c r="G73" s="200" t="s">
        <v>533</v>
      </c>
      <c r="H73" s="200" t="s">
        <v>540</v>
      </c>
      <c r="I73" s="244" t="s">
        <v>463</v>
      </c>
      <c r="J73" s="200">
        <v>16</v>
      </c>
      <c r="K73" s="200" t="s">
        <v>110</v>
      </c>
      <c r="L73" s="200" t="s">
        <v>132</v>
      </c>
      <c r="M73" s="213">
        <v>34.43</v>
      </c>
      <c r="N73" s="213"/>
      <c r="O73" s="243" t="str">
        <f>VLOOKUP(Ruimtestaat[[#This Row],[Ruimte code]],Ruimtegroepen[#All],4,FALSE)</f>
        <v>L  (Lesruimte)</v>
      </c>
      <c r="P73" s="214"/>
      <c r="Q73" s="215">
        <v>40</v>
      </c>
      <c r="R73" s="215" t="s">
        <v>1344</v>
      </c>
      <c r="S73" s="215">
        <f>IF(R73&gt;0,IF(RIGHT(Ruimtestaat[[#This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73" s="215">
        <f>IF(S73&gt;0,VLOOKUP($J73,Ruimtegroepen[],3,FALSE)*VLOOKUP($K73,Vloersoorten[],3,FALSE)*VLOOKUP($R73,Frequenties[],3,FALSE)*VLOOKUP($A73,Locaties[],3,FALSE),0)</f>
        <v>0</v>
      </c>
      <c r="U73" s="215">
        <f>Ruimtestaat[[#This Row],[Uitvoeringen werkdagen]]*Ruimtestaat[[#This Row],[Oppervlak (netto)]]</f>
        <v>826.31999999999994</v>
      </c>
      <c r="V73" s="259">
        <f>IF(T73&gt;0,Ruimtestaat[[#This Row],[Prest. (m2 /jaar) werkdagen]]/Ruimtestaat[[#This Row],[Norm (m2/uur) werkdagen]],0)</f>
        <v>0</v>
      </c>
      <c r="W73" s="260">
        <f>Ruimtestaat[[#This Row],[uren / jaar werkdagen]]*Tariefsopbouw!$D$38</f>
        <v>0</v>
      </c>
      <c r="X73" s="33"/>
      <c r="Y73" s="33">
        <f>IF(Ruimtestaat[[#This Row],[Frequentie weekend]]&gt;0,VALUE(LEFT(X73,1))*Q73,0)</f>
        <v>0</v>
      </c>
      <c r="Z73" s="33">
        <f>IF($Y73&gt;0,VLOOKUP($J73,Ruimtegroepen[],3,FALSE)*VLOOKUP($K73,Vloersoorten[],3,FALSE)*VLOOKUP($X73,Frequenties[],3,FALSE)*VLOOKUP(#REF!,Locaties[],3,FALSE),0)</f>
        <v>0</v>
      </c>
      <c r="AA73" s="33"/>
      <c r="AB73" s="33"/>
      <c r="AC73" s="33">
        <f>Ruimtestaat[[#This Row],[uren / jaar weekend]]*Tariefsopbouw!$D$40</f>
        <v>0</v>
      </c>
      <c r="AD73" s="88">
        <f>Ruimtestaat[[#This Row],[Prest. (m2 /jaar) weekend]]+Ruimtestaat[[#This Row],[Prest. (m2 /jaar) werkdagen]]</f>
        <v>826.31999999999994</v>
      </c>
      <c r="AE73" s="88">
        <f>Ruimtestaat[[#This Row],[uren / jaar weekend]]+Ruimtestaat[[#This Row],[uren / jaar werkdagen]]</f>
        <v>0</v>
      </c>
      <c r="AF73" s="89">
        <f>Ruimtestaat[[#This Row],[kosten / jaar weekend]]+Ruimtestaat[[#This Row],[kosten / jaar werkdagen]]</f>
        <v>0</v>
      </c>
      <c r="AG73" s="114"/>
      <c r="HK73" s="87"/>
    </row>
    <row r="74" spans="1:219" ht="15" customHeight="1">
      <c r="A74" s="129">
        <v>1</v>
      </c>
      <c r="B74" s="21" t="str">
        <f>VLOOKUP(Ruimtestaat[[#This Row],[Code]],Locaties[#All],2,FALSE)</f>
        <v>PXC Aalderinkshoek</v>
      </c>
      <c r="C74" s="21" t="str">
        <f>VLOOKUP(Ruimtestaat[[#This Row],[Code]],Locaties[#All],4,FALSE)</f>
        <v>Cesar Frankstraat 4</v>
      </c>
      <c r="D74" s="21" t="str">
        <f>VLOOKUP(Ruimtestaat[[#This Row],[Code]],Locaties[#All],5,FALSE)</f>
        <v>7604 JG</v>
      </c>
      <c r="E74" s="200" t="str">
        <f>VLOOKUP(Ruimtestaat[[#This Row],[Code]],Locaties[#All],6,FALSE)</f>
        <v>Almelo</v>
      </c>
      <c r="F74" s="244"/>
      <c r="G74" s="200" t="s">
        <v>533</v>
      </c>
      <c r="H74" s="200" t="s">
        <v>541</v>
      </c>
      <c r="I74" s="244" t="s">
        <v>463</v>
      </c>
      <c r="J74" s="200">
        <v>16</v>
      </c>
      <c r="K74" s="200" t="s">
        <v>110</v>
      </c>
      <c r="L74" s="200" t="s">
        <v>132</v>
      </c>
      <c r="M74" s="213">
        <v>58.4</v>
      </c>
      <c r="N74" s="213"/>
      <c r="O74" s="243" t="str">
        <f>VLOOKUP(Ruimtestaat[[#This Row],[Ruimte code]],Ruimtegroepen[#All],4,FALSE)</f>
        <v>L  (Lesruimte)</v>
      </c>
      <c r="P74" s="214"/>
      <c r="Q74" s="215">
        <v>40</v>
      </c>
      <c r="R74" s="215" t="s">
        <v>1344</v>
      </c>
      <c r="S74" s="215">
        <f>IF(R74&gt;0,IF(RIGHT(Ruimtestaat[[#This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74" s="215">
        <f>IF(S74&gt;0,VLOOKUP($J74,Ruimtegroepen[],3,FALSE)*VLOOKUP($K74,Vloersoorten[],3,FALSE)*VLOOKUP($R74,Frequenties[],3,FALSE)*VLOOKUP($A74,Locaties[],3,FALSE),0)</f>
        <v>0</v>
      </c>
      <c r="U74" s="215">
        <f>Ruimtestaat[[#This Row],[Uitvoeringen werkdagen]]*Ruimtestaat[[#This Row],[Oppervlak (netto)]]</f>
        <v>1401.6</v>
      </c>
      <c r="V74" s="259">
        <f>IF(T74&gt;0,Ruimtestaat[[#This Row],[Prest. (m2 /jaar) werkdagen]]/Ruimtestaat[[#This Row],[Norm (m2/uur) werkdagen]],0)</f>
        <v>0</v>
      </c>
      <c r="W74" s="260">
        <f>Ruimtestaat[[#This Row],[uren / jaar werkdagen]]*Tariefsopbouw!$D$38</f>
        <v>0</v>
      </c>
      <c r="X74" s="33"/>
      <c r="Y74" s="33">
        <f>IF(Ruimtestaat[[#This Row],[Frequentie weekend]]&gt;0,VALUE(LEFT(X74,1))*Q74,0)</f>
        <v>0</v>
      </c>
      <c r="Z74" s="33">
        <f>IF($Y74&gt;0,VLOOKUP($J74,Ruimtegroepen[],3,FALSE)*VLOOKUP($K74,Vloersoorten[],3,FALSE)*VLOOKUP($X74,Frequenties[],3,FALSE)*VLOOKUP(#REF!,Locaties[],3,FALSE),0)</f>
        <v>0</v>
      </c>
      <c r="AA74" s="33"/>
      <c r="AB74" s="33"/>
      <c r="AC74" s="33">
        <f>Ruimtestaat[[#This Row],[uren / jaar weekend]]*Tariefsopbouw!$D$40</f>
        <v>0</v>
      </c>
      <c r="AD74" s="88">
        <f>Ruimtestaat[[#This Row],[Prest. (m2 /jaar) weekend]]+Ruimtestaat[[#This Row],[Prest. (m2 /jaar) werkdagen]]</f>
        <v>1401.6</v>
      </c>
      <c r="AE74" s="88">
        <f>Ruimtestaat[[#This Row],[uren / jaar weekend]]+Ruimtestaat[[#This Row],[uren / jaar werkdagen]]</f>
        <v>0</v>
      </c>
      <c r="AF74" s="89">
        <f>Ruimtestaat[[#This Row],[kosten / jaar weekend]]+Ruimtestaat[[#This Row],[kosten / jaar werkdagen]]</f>
        <v>0</v>
      </c>
      <c r="AG74" s="114"/>
      <c r="HK74" s="87"/>
    </row>
    <row r="75" spans="1:219" ht="15" customHeight="1">
      <c r="A75" s="129">
        <v>1</v>
      </c>
      <c r="B75" s="21" t="str">
        <f>VLOOKUP(Ruimtestaat[[#This Row],[Code]],Locaties[#All],2,FALSE)</f>
        <v>PXC Aalderinkshoek</v>
      </c>
      <c r="C75" s="21" t="str">
        <f>VLOOKUP(Ruimtestaat[[#This Row],[Code]],Locaties[#All],4,FALSE)</f>
        <v>Cesar Frankstraat 4</v>
      </c>
      <c r="D75" s="21" t="str">
        <f>VLOOKUP(Ruimtestaat[[#This Row],[Code]],Locaties[#All],5,FALSE)</f>
        <v>7604 JG</v>
      </c>
      <c r="E75" s="200" t="str">
        <f>VLOOKUP(Ruimtestaat[[#This Row],[Code]],Locaties[#All],6,FALSE)</f>
        <v>Almelo</v>
      </c>
      <c r="F75" s="244"/>
      <c r="G75" s="200" t="s">
        <v>533</v>
      </c>
      <c r="H75" s="200" t="s">
        <v>542</v>
      </c>
      <c r="I75" s="244" t="s">
        <v>543</v>
      </c>
      <c r="J75" s="215">
        <v>11</v>
      </c>
      <c r="K75" s="200" t="s">
        <v>110</v>
      </c>
      <c r="L75" s="200" t="s">
        <v>132</v>
      </c>
      <c r="M75" s="213">
        <v>48.85</v>
      </c>
      <c r="N75" s="213"/>
      <c r="O75" s="243" t="str">
        <f>VLOOKUP(Ruimtestaat[[#This Row],[Ruimte code]],Ruimtegroepen[#All],4,FALSE)</f>
        <v>L  (Lesruimte)</v>
      </c>
      <c r="P75" s="214"/>
      <c r="Q75" s="215">
        <v>40</v>
      </c>
      <c r="R75" s="215" t="s">
        <v>1344</v>
      </c>
      <c r="S75" s="215">
        <f>IF(R75&gt;0,IF(RIGHT(Ruimtestaat[[#This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75" s="215">
        <f>IF(S75&gt;0,VLOOKUP($J75,Ruimtegroepen[],3,FALSE)*VLOOKUP($K75,Vloersoorten[],3,FALSE)*VLOOKUP($R75,Frequenties[],3,FALSE)*VLOOKUP($A75,Locaties[],3,FALSE),0)</f>
        <v>0</v>
      </c>
      <c r="U75" s="215">
        <f>Ruimtestaat[[#This Row],[Uitvoeringen werkdagen]]*Ruimtestaat[[#This Row],[Oppervlak (netto)]]</f>
        <v>1172.4000000000001</v>
      </c>
      <c r="V75" s="259">
        <f>IF(T75&gt;0,Ruimtestaat[[#This Row],[Prest. (m2 /jaar) werkdagen]]/Ruimtestaat[[#This Row],[Norm (m2/uur) werkdagen]],0)</f>
        <v>0</v>
      </c>
      <c r="W75" s="260">
        <f>Ruimtestaat[[#This Row],[uren / jaar werkdagen]]*Tariefsopbouw!$D$38</f>
        <v>0</v>
      </c>
      <c r="X75" s="33"/>
      <c r="Y75" s="33">
        <f>IF(Ruimtestaat[[#This Row],[Frequentie weekend]]&gt;0,VALUE(LEFT(X75,1))*Q75,0)</f>
        <v>0</v>
      </c>
      <c r="Z75" s="33">
        <f>IF($Y75&gt;0,VLOOKUP($J75,Ruimtegroepen[],3,FALSE)*VLOOKUP($K75,Vloersoorten[],3,FALSE)*VLOOKUP($X75,Frequenties[],3,FALSE)*VLOOKUP(#REF!,Locaties[],3,FALSE),0)</f>
        <v>0</v>
      </c>
      <c r="AA75" s="33"/>
      <c r="AB75" s="33"/>
      <c r="AC75" s="33">
        <f>Ruimtestaat[[#This Row],[uren / jaar weekend]]*Tariefsopbouw!$D$40</f>
        <v>0</v>
      </c>
      <c r="AD75" s="88">
        <f>Ruimtestaat[[#This Row],[Prest. (m2 /jaar) weekend]]+Ruimtestaat[[#This Row],[Prest. (m2 /jaar) werkdagen]]</f>
        <v>1172.4000000000001</v>
      </c>
      <c r="AE75" s="88">
        <f>Ruimtestaat[[#This Row],[uren / jaar weekend]]+Ruimtestaat[[#This Row],[uren / jaar werkdagen]]</f>
        <v>0</v>
      </c>
      <c r="AF75" s="89">
        <f>Ruimtestaat[[#This Row],[kosten / jaar weekend]]+Ruimtestaat[[#This Row],[kosten / jaar werkdagen]]</f>
        <v>0</v>
      </c>
      <c r="AG75" s="114"/>
      <c r="HK75" s="87"/>
    </row>
    <row r="76" spans="1:219" ht="15" customHeight="1">
      <c r="A76" s="129">
        <v>1</v>
      </c>
      <c r="B76" s="21" t="str">
        <f>VLOOKUP(Ruimtestaat[[#This Row],[Code]],Locaties[#All],2,FALSE)</f>
        <v>PXC Aalderinkshoek</v>
      </c>
      <c r="C76" s="21" t="str">
        <f>VLOOKUP(Ruimtestaat[[#This Row],[Code]],Locaties[#All],4,FALSE)</f>
        <v>Cesar Frankstraat 4</v>
      </c>
      <c r="D76" s="21" t="str">
        <f>VLOOKUP(Ruimtestaat[[#This Row],[Code]],Locaties[#All],5,FALSE)</f>
        <v>7604 JG</v>
      </c>
      <c r="E76" s="200" t="str">
        <f>VLOOKUP(Ruimtestaat[[#This Row],[Code]],Locaties[#All],6,FALSE)</f>
        <v>Almelo</v>
      </c>
      <c r="F76" s="244"/>
      <c r="G76" s="200" t="s">
        <v>533</v>
      </c>
      <c r="H76" s="200" t="s">
        <v>544</v>
      </c>
      <c r="I76" s="244" t="s">
        <v>457</v>
      </c>
      <c r="J76" s="200">
        <v>10</v>
      </c>
      <c r="K76" s="200" t="s">
        <v>111</v>
      </c>
      <c r="L76" s="200" t="s">
        <v>128</v>
      </c>
      <c r="M76" s="213">
        <v>1.79</v>
      </c>
      <c r="N76" s="213"/>
      <c r="O76" s="243" t="str">
        <f>VLOOKUP(Ruimtestaat[[#This Row],[Ruimte code]],Ruimtegroepen[#All],4,FALSE)</f>
        <v>V  (Verkeersruimte)</v>
      </c>
      <c r="P76" s="214"/>
      <c r="Q76" s="215">
        <v>40</v>
      </c>
      <c r="R76" s="215" t="s">
        <v>2</v>
      </c>
      <c r="S76" s="215">
        <f>IF(R76&gt;0,IF(RIGHT(Ruimtestaat[[#This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" s="215">
        <f>IF(S76&gt;0,VLOOKUP($J76,Ruimtegroepen[],3,FALSE)*VLOOKUP($K76,Vloersoorten[],3,FALSE)*VLOOKUP($R76,Frequenties[],3,FALSE)*VLOOKUP($A76,Locaties[],3,FALSE),0)</f>
        <v>0</v>
      </c>
      <c r="U76" s="215">
        <f>Ruimtestaat[[#This Row],[Uitvoeringen werkdagen]]*Ruimtestaat[[#This Row],[Oppervlak (netto)]]</f>
        <v>358</v>
      </c>
      <c r="V76" s="259">
        <f>IF(T76&gt;0,Ruimtestaat[[#This Row],[Prest. (m2 /jaar) werkdagen]]/Ruimtestaat[[#This Row],[Norm (m2/uur) werkdagen]],0)</f>
        <v>0</v>
      </c>
      <c r="W76" s="260">
        <f>Ruimtestaat[[#This Row],[uren / jaar werkdagen]]*Tariefsopbouw!$D$38</f>
        <v>0</v>
      </c>
      <c r="X76" s="33"/>
      <c r="Y76" s="33">
        <f>IF(Ruimtestaat[[#This Row],[Frequentie weekend]]&gt;0,VALUE(LEFT(X76,1))*Q76,0)</f>
        <v>0</v>
      </c>
      <c r="Z76" s="33">
        <f>IF($Y76&gt;0,VLOOKUP($J76,Ruimtegroepen[],3,FALSE)*VLOOKUP($K76,Vloersoorten[],3,FALSE)*VLOOKUP($X76,Frequenties[],3,FALSE)*VLOOKUP(#REF!,Locaties[],3,FALSE),0)</f>
        <v>0</v>
      </c>
      <c r="AA76" s="33"/>
      <c r="AB76" s="33"/>
      <c r="AC76" s="33">
        <f>Ruimtestaat[[#This Row],[uren / jaar weekend]]*Tariefsopbouw!$D$40</f>
        <v>0</v>
      </c>
      <c r="AD76" s="88">
        <f>Ruimtestaat[[#This Row],[Prest. (m2 /jaar) weekend]]+Ruimtestaat[[#This Row],[Prest. (m2 /jaar) werkdagen]]</f>
        <v>358</v>
      </c>
      <c r="AE76" s="88">
        <f>Ruimtestaat[[#This Row],[uren / jaar weekend]]+Ruimtestaat[[#This Row],[uren / jaar werkdagen]]</f>
        <v>0</v>
      </c>
      <c r="AF76" s="89">
        <f>Ruimtestaat[[#This Row],[kosten / jaar weekend]]+Ruimtestaat[[#This Row],[kosten / jaar werkdagen]]</f>
        <v>0</v>
      </c>
      <c r="AG76" s="114"/>
      <c r="HK76" s="87"/>
    </row>
    <row r="77" spans="1:219" ht="15" customHeight="1">
      <c r="A77" s="129">
        <v>1</v>
      </c>
      <c r="B77" s="21" t="str">
        <f>VLOOKUP(Ruimtestaat[[#This Row],[Code]],Locaties[#All],2,FALSE)</f>
        <v>PXC Aalderinkshoek</v>
      </c>
      <c r="C77" s="21" t="str">
        <f>VLOOKUP(Ruimtestaat[[#This Row],[Code]],Locaties[#All],4,FALSE)</f>
        <v>Cesar Frankstraat 4</v>
      </c>
      <c r="D77" s="21" t="str">
        <f>VLOOKUP(Ruimtestaat[[#This Row],[Code]],Locaties[#All],5,FALSE)</f>
        <v>7604 JG</v>
      </c>
      <c r="E77" s="200" t="str">
        <f>VLOOKUP(Ruimtestaat[[#This Row],[Code]],Locaties[#All],6,FALSE)</f>
        <v>Almelo</v>
      </c>
      <c r="F77" s="244"/>
      <c r="G77" s="200" t="s">
        <v>533</v>
      </c>
      <c r="H77" s="200" t="s">
        <v>545</v>
      </c>
      <c r="I77" s="244" t="s">
        <v>469</v>
      </c>
      <c r="J77" s="200">
        <v>6</v>
      </c>
      <c r="K77" s="200" t="s">
        <v>110</v>
      </c>
      <c r="L77" s="200" t="s">
        <v>132</v>
      </c>
      <c r="M77" s="213">
        <v>62.16</v>
      </c>
      <c r="N77" s="213"/>
      <c r="O77" s="243" t="str">
        <f>VLOOKUP(Ruimtestaat[[#This Row],[Ruimte code]],Ruimtegroepen[#All],4,FALSE)</f>
        <v>V  (Verkeersruimte)</v>
      </c>
      <c r="P77" s="214"/>
      <c r="Q77" s="215">
        <v>40</v>
      </c>
      <c r="R77" s="215" t="s">
        <v>15</v>
      </c>
      <c r="S77" s="215">
        <f>IF(R77&gt;0,IF(RIGHT(Ruimtestaat[[#This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7" s="215">
        <f>IF(S77&gt;0,VLOOKUP($J77,Ruimtegroepen[],3,FALSE)*VLOOKUP($K77,Vloersoorten[],3,FALSE)*VLOOKUP($R77,Frequenties[],3,FALSE)*VLOOKUP($A77,Locaties[],3,FALSE),0)</f>
        <v>0</v>
      </c>
      <c r="U77" s="215">
        <f>Ruimtestaat[[#This Row],[Uitvoeringen werkdagen]]*Ruimtestaat[[#This Row],[Oppervlak (netto)]]</f>
        <v>2486.3999999999996</v>
      </c>
      <c r="V77" s="259">
        <f>IF(T77&gt;0,Ruimtestaat[[#This Row],[Prest. (m2 /jaar) werkdagen]]/Ruimtestaat[[#This Row],[Norm (m2/uur) werkdagen]],0)</f>
        <v>0</v>
      </c>
      <c r="W77" s="260">
        <f>Ruimtestaat[[#This Row],[uren / jaar werkdagen]]*Tariefsopbouw!$D$38</f>
        <v>0</v>
      </c>
      <c r="X77" s="33"/>
      <c r="Y77" s="33">
        <f>IF(Ruimtestaat[[#This Row],[Frequentie weekend]]&gt;0,VALUE(LEFT(X77,1))*Q77,0)</f>
        <v>0</v>
      </c>
      <c r="Z77" s="33">
        <f>IF($Y77&gt;0,VLOOKUP($J77,Ruimtegroepen[],3,FALSE)*VLOOKUP($K77,Vloersoorten[],3,FALSE)*VLOOKUP($X77,Frequenties[],3,FALSE)*VLOOKUP(#REF!,Locaties[],3,FALSE),0)</f>
        <v>0</v>
      </c>
      <c r="AA77" s="33"/>
      <c r="AB77" s="33"/>
      <c r="AC77" s="33">
        <f>Ruimtestaat[[#This Row],[uren / jaar weekend]]*Tariefsopbouw!$D$40</f>
        <v>0</v>
      </c>
      <c r="AD77" s="88">
        <f>Ruimtestaat[[#This Row],[Prest. (m2 /jaar) weekend]]+Ruimtestaat[[#This Row],[Prest. (m2 /jaar) werkdagen]]</f>
        <v>2486.3999999999996</v>
      </c>
      <c r="AE77" s="88">
        <f>Ruimtestaat[[#This Row],[uren / jaar weekend]]+Ruimtestaat[[#This Row],[uren / jaar werkdagen]]</f>
        <v>0</v>
      </c>
      <c r="AF77" s="89">
        <f>Ruimtestaat[[#This Row],[kosten / jaar weekend]]+Ruimtestaat[[#This Row],[kosten / jaar werkdagen]]</f>
        <v>0</v>
      </c>
      <c r="AG77" s="114"/>
      <c r="HK77" s="87"/>
    </row>
    <row r="78" spans="1:219" ht="15" customHeight="1">
      <c r="A78" s="129">
        <v>1</v>
      </c>
      <c r="B78" s="21" t="str">
        <f>VLOOKUP(Ruimtestaat[[#This Row],[Code]],Locaties[#All],2,FALSE)</f>
        <v>PXC Aalderinkshoek</v>
      </c>
      <c r="C78" s="21" t="str">
        <f>VLOOKUP(Ruimtestaat[[#This Row],[Code]],Locaties[#All],4,FALSE)</f>
        <v>Cesar Frankstraat 4</v>
      </c>
      <c r="D78" s="21" t="str">
        <f>VLOOKUP(Ruimtestaat[[#This Row],[Code]],Locaties[#All],5,FALSE)</f>
        <v>7604 JG</v>
      </c>
      <c r="E78" s="200" t="str">
        <f>VLOOKUP(Ruimtestaat[[#This Row],[Code]],Locaties[#All],6,FALSE)</f>
        <v>Almelo</v>
      </c>
      <c r="F78" s="244"/>
      <c r="G78" s="200" t="s">
        <v>533</v>
      </c>
      <c r="H78" s="200" t="s">
        <v>546</v>
      </c>
      <c r="I78" s="244" t="s">
        <v>469</v>
      </c>
      <c r="J78" s="200">
        <v>6</v>
      </c>
      <c r="K78" s="200" t="s">
        <v>110</v>
      </c>
      <c r="L78" s="200" t="s">
        <v>132</v>
      </c>
      <c r="M78" s="213">
        <v>550.72</v>
      </c>
      <c r="N78" s="213"/>
      <c r="O78" s="243" t="str">
        <f>VLOOKUP(Ruimtestaat[[#This Row],[Ruimte code]],Ruimtegroepen[#All],4,FALSE)</f>
        <v>V  (Verkeersruimte)</v>
      </c>
      <c r="P78" s="214"/>
      <c r="Q78" s="215">
        <v>40</v>
      </c>
      <c r="R78" s="215" t="s">
        <v>2</v>
      </c>
      <c r="S78" s="215">
        <f>IF(R78&gt;0,IF(RIGHT(Ruimtestaat[[#This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" s="215">
        <f>IF(S78&gt;0,VLOOKUP($J78,Ruimtegroepen[],3,FALSE)*VLOOKUP($K78,Vloersoorten[],3,FALSE)*VLOOKUP($R78,Frequenties[],3,FALSE)*VLOOKUP($A78,Locaties[],3,FALSE),0)</f>
        <v>0</v>
      </c>
      <c r="U78" s="215">
        <f>Ruimtestaat[[#This Row],[Uitvoeringen werkdagen]]*Ruimtestaat[[#This Row],[Oppervlak (netto)]]</f>
        <v>110144</v>
      </c>
      <c r="V78" s="259">
        <f>IF(T78&gt;0,Ruimtestaat[[#This Row],[Prest. (m2 /jaar) werkdagen]]/Ruimtestaat[[#This Row],[Norm (m2/uur) werkdagen]],0)</f>
        <v>0</v>
      </c>
      <c r="W78" s="260">
        <f>Ruimtestaat[[#This Row],[uren / jaar werkdagen]]*Tariefsopbouw!$D$38</f>
        <v>0</v>
      </c>
      <c r="X78" s="33"/>
      <c r="Y78" s="33">
        <f>IF(Ruimtestaat[[#This Row],[Frequentie weekend]]&gt;0,VALUE(LEFT(X78,1))*Q78,0)</f>
        <v>0</v>
      </c>
      <c r="Z78" s="33">
        <f>IF($Y78&gt;0,VLOOKUP($J78,Ruimtegroepen[],3,FALSE)*VLOOKUP($K78,Vloersoorten[],3,FALSE)*VLOOKUP($X78,Frequenties[],3,FALSE)*VLOOKUP(#REF!,Locaties[],3,FALSE),0)</f>
        <v>0</v>
      </c>
      <c r="AA78" s="33"/>
      <c r="AB78" s="33"/>
      <c r="AC78" s="33">
        <f>Ruimtestaat[[#This Row],[uren / jaar weekend]]*Tariefsopbouw!$D$40</f>
        <v>0</v>
      </c>
      <c r="AD78" s="88">
        <f>Ruimtestaat[[#This Row],[Prest. (m2 /jaar) weekend]]+Ruimtestaat[[#This Row],[Prest. (m2 /jaar) werkdagen]]</f>
        <v>110144</v>
      </c>
      <c r="AE78" s="88">
        <f>Ruimtestaat[[#This Row],[uren / jaar weekend]]+Ruimtestaat[[#This Row],[uren / jaar werkdagen]]</f>
        <v>0</v>
      </c>
      <c r="AF78" s="89">
        <f>Ruimtestaat[[#This Row],[kosten / jaar weekend]]+Ruimtestaat[[#This Row],[kosten / jaar werkdagen]]</f>
        <v>0</v>
      </c>
      <c r="AG78" s="114"/>
      <c r="HK78" s="87"/>
    </row>
    <row r="79" spans="1:219" ht="15" customHeight="1">
      <c r="A79" s="129">
        <v>1</v>
      </c>
      <c r="B79" s="21" t="str">
        <f>VLOOKUP(Ruimtestaat[[#This Row],[Code]],Locaties[#All],2,FALSE)</f>
        <v>PXC Aalderinkshoek</v>
      </c>
      <c r="C79" s="21" t="str">
        <f>VLOOKUP(Ruimtestaat[[#This Row],[Code]],Locaties[#All],4,FALSE)</f>
        <v>Cesar Frankstraat 4</v>
      </c>
      <c r="D79" s="21" t="str">
        <f>VLOOKUP(Ruimtestaat[[#This Row],[Code]],Locaties[#All],5,FALSE)</f>
        <v>7604 JG</v>
      </c>
      <c r="E79" s="200" t="str">
        <f>VLOOKUP(Ruimtestaat[[#This Row],[Code]],Locaties[#All],6,FALSE)</f>
        <v>Almelo</v>
      </c>
      <c r="F79" s="244"/>
      <c r="G79" s="200" t="s">
        <v>533</v>
      </c>
      <c r="H79" s="200" t="s">
        <v>547</v>
      </c>
      <c r="I79" s="244" t="s">
        <v>469</v>
      </c>
      <c r="J79" s="200">
        <v>6</v>
      </c>
      <c r="K79" s="200" t="s">
        <v>110</v>
      </c>
      <c r="L79" s="200" t="s">
        <v>132</v>
      </c>
      <c r="M79" s="213">
        <v>46.07</v>
      </c>
      <c r="N79" s="213"/>
      <c r="O79" s="243" t="str">
        <f>VLOOKUP(Ruimtestaat[[#This Row],[Ruimte code]],Ruimtegroepen[#All],4,FALSE)</f>
        <v>V  (Verkeersruimte)</v>
      </c>
      <c r="P79" s="214"/>
      <c r="Q79" s="215">
        <v>40</v>
      </c>
      <c r="R79" s="215" t="s">
        <v>15</v>
      </c>
      <c r="S79" s="215">
        <f>IF(R79&gt;0,IF(RIGHT(Ruimtestaat[[#This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79" s="215">
        <f>IF(S79&gt;0,VLOOKUP($J79,Ruimtegroepen[],3,FALSE)*VLOOKUP($K79,Vloersoorten[],3,FALSE)*VLOOKUP($R79,Frequenties[],3,FALSE)*VLOOKUP($A79,Locaties[],3,FALSE),0)</f>
        <v>0</v>
      </c>
      <c r="U79" s="215">
        <f>Ruimtestaat[[#This Row],[Uitvoeringen werkdagen]]*Ruimtestaat[[#This Row],[Oppervlak (netto)]]</f>
        <v>1842.8</v>
      </c>
      <c r="V79" s="259">
        <f>IF(T79&gt;0,Ruimtestaat[[#This Row],[Prest. (m2 /jaar) werkdagen]]/Ruimtestaat[[#This Row],[Norm (m2/uur) werkdagen]],0)</f>
        <v>0</v>
      </c>
      <c r="W79" s="260">
        <f>Ruimtestaat[[#This Row],[uren / jaar werkdagen]]*Tariefsopbouw!$D$38</f>
        <v>0</v>
      </c>
      <c r="X79" s="33"/>
      <c r="Y79" s="33">
        <f>IF(Ruimtestaat[[#This Row],[Frequentie weekend]]&gt;0,VALUE(LEFT(X79,1))*Q79,0)</f>
        <v>0</v>
      </c>
      <c r="Z79" s="33">
        <f>IF($Y79&gt;0,VLOOKUP($J79,Ruimtegroepen[],3,FALSE)*VLOOKUP($K79,Vloersoorten[],3,FALSE)*VLOOKUP($X79,Frequenties[],3,FALSE)*VLOOKUP(#REF!,Locaties[],3,FALSE),0)</f>
        <v>0</v>
      </c>
      <c r="AA79" s="33"/>
      <c r="AB79" s="33"/>
      <c r="AC79" s="33">
        <f>Ruimtestaat[[#This Row],[uren / jaar weekend]]*Tariefsopbouw!$D$40</f>
        <v>0</v>
      </c>
      <c r="AD79" s="88">
        <f>Ruimtestaat[[#This Row],[Prest. (m2 /jaar) weekend]]+Ruimtestaat[[#This Row],[Prest. (m2 /jaar) werkdagen]]</f>
        <v>1842.8</v>
      </c>
      <c r="AE79" s="88">
        <f>Ruimtestaat[[#This Row],[uren / jaar weekend]]+Ruimtestaat[[#This Row],[uren / jaar werkdagen]]</f>
        <v>0</v>
      </c>
      <c r="AF79" s="89">
        <f>Ruimtestaat[[#This Row],[kosten / jaar weekend]]+Ruimtestaat[[#This Row],[kosten / jaar werkdagen]]</f>
        <v>0</v>
      </c>
      <c r="AG79" s="114"/>
      <c r="HK79" s="87"/>
    </row>
    <row r="80" spans="1:219" ht="15" customHeight="1">
      <c r="A80" s="129">
        <v>1</v>
      </c>
      <c r="B80" s="21" t="str">
        <f>VLOOKUP(Ruimtestaat[[#This Row],[Code]],Locaties[#All],2,FALSE)</f>
        <v>PXC Aalderinkshoek</v>
      </c>
      <c r="C80" s="21" t="str">
        <f>VLOOKUP(Ruimtestaat[[#This Row],[Code]],Locaties[#All],4,FALSE)</f>
        <v>Cesar Frankstraat 4</v>
      </c>
      <c r="D80" s="21" t="str">
        <f>VLOOKUP(Ruimtestaat[[#This Row],[Code]],Locaties[#All],5,FALSE)</f>
        <v>7604 JG</v>
      </c>
      <c r="E80" s="200" t="str">
        <f>VLOOKUP(Ruimtestaat[[#This Row],[Code]],Locaties[#All],6,FALSE)</f>
        <v>Almelo</v>
      </c>
      <c r="F80" s="244"/>
      <c r="G80" s="200" t="s">
        <v>533</v>
      </c>
      <c r="H80" s="200" t="s">
        <v>548</v>
      </c>
      <c r="I80" s="244" t="s">
        <v>457</v>
      </c>
      <c r="J80" s="200">
        <v>10</v>
      </c>
      <c r="K80" s="200" t="s">
        <v>111</v>
      </c>
      <c r="L80" s="200" t="s">
        <v>128</v>
      </c>
      <c r="M80" s="213">
        <v>1.79</v>
      </c>
      <c r="N80" s="213"/>
      <c r="O80" s="243" t="str">
        <f>VLOOKUP(Ruimtestaat[[#This Row],[Ruimte code]],Ruimtegroepen[#All],4,FALSE)</f>
        <v>V  (Verkeersruimte)</v>
      </c>
      <c r="P80" s="214"/>
      <c r="Q80" s="215">
        <v>40</v>
      </c>
      <c r="R80" s="215" t="s">
        <v>2</v>
      </c>
      <c r="S80" s="215">
        <f>IF(R80&gt;0,IF(RIGHT(Ruimtestaat[[#This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" s="215">
        <f>IF(S80&gt;0,VLOOKUP($J80,Ruimtegroepen[],3,FALSE)*VLOOKUP($K80,Vloersoorten[],3,FALSE)*VLOOKUP($R80,Frequenties[],3,FALSE)*VLOOKUP($A80,Locaties[],3,FALSE),0)</f>
        <v>0</v>
      </c>
      <c r="U80" s="215">
        <f>Ruimtestaat[[#This Row],[Uitvoeringen werkdagen]]*Ruimtestaat[[#This Row],[Oppervlak (netto)]]</f>
        <v>358</v>
      </c>
      <c r="V80" s="259">
        <f>IF(T80&gt;0,Ruimtestaat[[#This Row],[Prest. (m2 /jaar) werkdagen]]/Ruimtestaat[[#This Row],[Norm (m2/uur) werkdagen]],0)</f>
        <v>0</v>
      </c>
      <c r="W80" s="260">
        <f>Ruimtestaat[[#This Row],[uren / jaar werkdagen]]*Tariefsopbouw!$D$38</f>
        <v>0</v>
      </c>
      <c r="X80" s="33"/>
      <c r="Y80" s="33">
        <f>IF(Ruimtestaat[[#This Row],[Frequentie weekend]]&gt;0,VALUE(LEFT(X80,1))*Q80,0)</f>
        <v>0</v>
      </c>
      <c r="Z80" s="33">
        <f>IF($Y80&gt;0,VLOOKUP($J80,Ruimtegroepen[],3,FALSE)*VLOOKUP($K80,Vloersoorten[],3,FALSE)*VLOOKUP($X80,Frequenties[],3,FALSE)*VLOOKUP(#REF!,Locaties[],3,FALSE),0)</f>
        <v>0</v>
      </c>
      <c r="AA80" s="33"/>
      <c r="AB80" s="33"/>
      <c r="AC80" s="33">
        <f>Ruimtestaat[[#This Row],[uren / jaar weekend]]*Tariefsopbouw!$D$40</f>
        <v>0</v>
      </c>
      <c r="AD80" s="88">
        <f>Ruimtestaat[[#This Row],[Prest. (m2 /jaar) weekend]]+Ruimtestaat[[#This Row],[Prest. (m2 /jaar) werkdagen]]</f>
        <v>358</v>
      </c>
      <c r="AE80" s="88">
        <f>Ruimtestaat[[#This Row],[uren / jaar weekend]]+Ruimtestaat[[#This Row],[uren / jaar werkdagen]]</f>
        <v>0</v>
      </c>
      <c r="AF80" s="89">
        <f>Ruimtestaat[[#This Row],[kosten / jaar weekend]]+Ruimtestaat[[#This Row],[kosten / jaar werkdagen]]</f>
        <v>0</v>
      </c>
      <c r="AG80" s="114"/>
      <c r="HK80" s="87"/>
    </row>
    <row r="81" spans="1:219" ht="15" customHeight="1">
      <c r="A81" s="129">
        <v>1</v>
      </c>
      <c r="B81" s="21" t="str">
        <f>VLOOKUP(Ruimtestaat[[#This Row],[Code]],Locaties[#All],2,FALSE)</f>
        <v>PXC Aalderinkshoek</v>
      </c>
      <c r="C81" s="21" t="str">
        <f>VLOOKUP(Ruimtestaat[[#This Row],[Code]],Locaties[#All],4,FALSE)</f>
        <v>Cesar Frankstraat 4</v>
      </c>
      <c r="D81" s="21" t="str">
        <f>VLOOKUP(Ruimtestaat[[#This Row],[Code]],Locaties[#All],5,FALSE)</f>
        <v>7604 JG</v>
      </c>
      <c r="E81" s="200" t="str">
        <f>VLOOKUP(Ruimtestaat[[#This Row],[Code]],Locaties[#All],6,FALSE)</f>
        <v>Almelo</v>
      </c>
      <c r="F81" s="244"/>
      <c r="G81" s="200" t="s">
        <v>533</v>
      </c>
      <c r="H81" s="200" t="s">
        <v>549</v>
      </c>
      <c r="I81" s="244" t="s">
        <v>550</v>
      </c>
      <c r="J81" s="200">
        <v>21</v>
      </c>
      <c r="K81" s="200"/>
      <c r="L81" s="200"/>
      <c r="M81" s="213"/>
      <c r="N81" s="213">
        <v>2.0099999999999998</v>
      </c>
      <c r="O81" s="243" t="str">
        <f>VLOOKUP(Ruimtestaat[[#This Row],[Ruimte code]],Ruimtegroepen[#All],4,FALSE)</f>
        <v>Niet in onderhoud</v>
      </c>
      <c r="P81" s="214"/>
      <c r="Q81" s="215"/>
      <c r="R81" s="215"/>
      <c r="S81" s="215">
        <f>IF(R81&gt;0,IF(RIGHT(Ruimtestaat[[#This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1" s="215">
        <f>IF(S81&gt;0,VLOOKUP($J81,Ruimtegroepen[],3,FALSE)*VLOOKUP($K81,Vloersoorten[],3,FALSE)*VLOOKUP($R81,Frequenties[],3,FALSE)*VLOOKUP($A81,Locaties[],3,FALSE),0)</f>
        <v>0</v>
      </c>
      <c r="U81" s="215">
        <f>Ruimtestaat[[#This Row],[Uitvoeringen werkdagen]]*Ruimtestaat[[#This Row],[Oppervlak (netto)]]</f>
        <v>0</v>
      </c>
      <c r="V81" s="259">
        <f>IF(T81&gt;0,Ruimtestaat[[#This Row],[Prest. (m2 /jaar) werkdagen]]/Ruimtestaat[[#This Row],[Norm (m2/uur) werkdagen]],0)</f>
        <v>0</v>
      </c>
      <c r="W81" s="260">
        <f>Ruimtestaat[[#This Row],[uren / jaar werkdagen]]*Tariefsopbouw!$D$38</f>
        <v>0</v>
      </c>
      <c r="X81" s="33"/>
      <c r="Y81" s="33">
        <f>IF(Ruimtestaat[[#This Row],[Frequentie weekend]]&gt;0,VALUE(LEFT(X81,1))*Q81,0)</f>
        <v>0</v>
      </c>
      <c r="Z81" s="33">
        <f>IF($Y81&gt;0,VLOOKUP($J81,Ruimtegroepen[],3,FALSE)*VLOOKUP($K81,Vloersoorten[],3,FALSE)*VLOOKUP($X81,Frequenties[],3,FALSE)*VLOOKUP(#REF!,Locaties[],3,FALSE),0)</f>
        <v>0</v>
      </c>
      <c r="AA81" s="33"/>
      <c r="AB81" s="33"/>
      <c r="AC81" s="33">
        <f>Ruimtestaat[[#This Row],[uren / jaar weekend]]*Tariefsopbouw!$D$40</f>
        <v>0</v>
      </c>
      <c r="AD81" s="88">
        <f>Ruimtestaat[[#This Row],[Prest. (m2 /jaar) weekend]]+Ruimtestaat[[#This Row],[Prest. (m2 /jaar) werkdagen]]</f>
        <v>0</v>
      </c>
      <c r="AE81" s="88">
        <f>Ruimtestaat[[#This Row],[uren / jaar weekend]]+Ruimtestaat[[#This Row],[uren / jaar werkdagen]]</f>
        <v>0</v>
      </c>
      <c r="AF81" s="89">
        <f>Ruimtestaat[[#This Row],[kosten / jaar weekend]]+Ruimtestaat[[#This Row],[kosten / jaar werkdagen]]</f>
        <v>0</v>
      </c>
      <c r="HK81" s="87"/>
    </row>
    <row r="82" spans="1:219" ht="15" customHeight="1">
      <c r="A82" s="129">
        <v>1</v>
      </c>
      <c r="B82" s="21" t="str">
        <f>VLOOKUP(Ruimtestaat[[#This Row],[Code]],Locaties[#All],2,FALSE)</f>
        <v>PXC Aalderinkshoek</v>
      </c>
      <c r="C82" s="21" t="str">
        <f>VLOOKUP(Ruimtestaat[[#This Row],[Code]],Locaties[#All],4,FALSE)</f>
        <v>Cesar Frankstraat 4</v>
      </c>
      <c r="D82" s="21" t="str">
        <f>VLOOKUP(Ruimtestaat[[#This Row],[Code]],Locaties[#All],5,FALSE)</f>
        <v>7604 JG</v>
      </c>
      <c r="E82" s="200" t="str">
        <f>VLOOKUP(Ruimtestaat[[#This Row],[Code]],Locaties[#All],6,FALSE)</f>
        <v>Almelo</v>
      </c>
      <c r="F82" s="244"/>
      <c r="G82" s="200" t="s">
        <v>533</v>
      </c>
      <c r="H82" s="200" t="s">
        <v>551</v>
      </c>
      <c r="I82" s="244" t="s">
        <v>552</v>
      </c>
      <c r="J82" s="200">
        <v>21</v>
      </c>
      <c r="K82" s="200"/>
      <c r="L82" s="200"/>
      <c r="M82" s="213"/>
      <c r="N82" s="213">
        <v>0.52</v>
      </c>
      <c r="O82" s="243" t="str">
        <f>VLOOKUP(Ruimtestaat[[#This Row],[Ruimte code]],Ruimtegroepen[#All],4,FALSE)</f>
        <v>Niet in onderhoud</v>
      </c>
      <c r="P82" s="214"/>
      <c r="Q82" s="215"/>
      <c r="R82" s="215"/>
      <c r="S82" s="215">
        <f>IF(R82&gt;0,IF(RIGHT(Ruimtestaat[[#This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2" s="215">
        <f>IF(S82&gt;0,VLOOKUP($J82,Ruimtegroepen[],3,FALSE)*VLOOKUP($K82,Vloersoorten[],3,FALSE)*VLOOKUP($R82,Frequenties[],3,FALSE)*VLOOKUP($A82,Locaties[],3,FALSE),0)</f>
        <v>0</v>
      </c>
      <c r="U82" s="215">
        <f>Ruimtestaat[[#This Row],[Uitvoeringen werkdagen]]*Ruimtestaat[[#This Row],[Oppervlak (netto)]]</f>
        <v>0</v>
      </c>
      <c r="V82" s="259">
        <f>IF(T82&gt;0,Ruimtestaat[[#This Row],[Prest. (m2 /jaar) werkdagen]]/Ruimtestaat[[#This Row],[Norm (m2/uur) werkdagen]],0)</f>
        <v>0</v>
      </c>
      <c r="W82" s="260">
        <f>Ruimtestaat[[#This Row],[uren / jaar werkdagen]]*Tariefsopbouw!$D$38</f>
        <v>0</v>
      </c>
      <c r="X82" s="33"/>
      <c r="Y82" s="33">
        <f>IF(Ruimtestaat[[#This Row],[Frequentie weekend]]&gt;0,VALUE(LEFT(X82,1))*Q82,0)</f>
        <v>0</v>
      </c>
      <c r="Z82" s="33">
        <f>IF($Y82&gt;0,VLOOKUP($J82,Ruimtegroepen[],3,FALSE)*VLOOKUP($K82,Vloersoorten[],3,FALSE)*VLOOKUP($X82,Frequenties[],3,FALSE)*VLOOKUP(#REF!,Locaties[],3,FALSE),0)</f>
        <v>0</v>
      </c>
      <c r="AA82" s="33"/>
      <c r="AB82" s="33"/>
      <c r="AC82" s="33">
        <f>Ruimtestaat[[#This Row],[uren / jaar weekend]]*Tariefsopbouw!$D$40</f>
        <v>0</v>
      </c>
      <c r="AD82" s="88">
        <f>Ruimtestaat[[#This Row],[Prest. (m2 /jaar) weekend]]+Ruimtestaat[[#This Row],[Prest. (m2 /jaar) werkdagen]]</f>
        <v>0</v>
      </c>
      <c r="AE82" s="88">
        <f>Ruimtestaat[[#This Row],[uren / jaar weekend]]+Ruimtestaat[[#This Row],[uren / jaar werkdagen]]</f>
        <v>0</v>
      </c>
      <c r="AF82" s="89">
        <f>Ruimtestaat[[#This Row],[kosten / jaar weekend]]+Ruimtestaat[[#This Row],[kosten / jaar werkdagen]]</f>
        <v>0</v>
      </c>
      <c r="HK82" s="87"/>
    </row>
    <row r="83" spans="1:219" ht="15" customHeight="1">
      <c r="A83" s="129">
        <v>1</v>
      </c>
      <c r="B83" s="21" t="str">
        <f>VLOOKUP(Ruimtestaat[[#This Row],[Code]],Locaties[#All],2,FALSE)</f>
        <v>PXC Aalderinkshoek</v>
      </c>
      <c r="C83" s="21" t="str">
        <f>VLOOKUP(Ruimtestaat[[#This Row],[Code]],Locaties[#All],4,FALSE)</f>
        <v>Cesar Frankstraat 4</v>
      </c>
      <c r="D83" s="21" t="str">
        <f>VLOOKUP(Ruimtestaat[[#This Row],[Code]],Locaties[#All],5,FALSE)</f>
        <v>7604 JG</v>
      </c>
      <c r="E83" s="200" t="str">
        <f>VLOOKUP(Ruimtestaat[[#This Row],[Code]],Locaties[#All],6,FALSE)</f>
        <v>Almelo</v>
      </c>
      <c r="F83" s="244"/>
      <c r="G83" s="200" t="s">
        <v>533</v>
      </c>
      <c r="H83" s="200" t="s">
        <v>553</v>
      </c>
      <c r="I83" s="244" t="s">
        <v>554</v>
      </c>
      <c r="J83" s="200">
        <v>10</v>
      </c>
      <c r="K83" s="215" t="s">
        <v>110</v>
      </c>
      <c r="L83" s="200" t="s">
        <v>132</v>
      </c>
      <c r="M83" s="213">
        <v>1.37</v>
      </c>
      <c r="N83" s="213"/>
      <c r="O83" s="243" t="str">
        <f>VLOOKUP(Ruimtestaat[[#This Row],[Ruimte code]],Ruimtegroepen[#All],4,FALSE)</f>
        <v>V  (Verkeersruimte)</v>
      </c>
      <c r="P83" s="214"/>
      <c r="Q83" s="215">
        <v>40</v>
      </c>
      <c r="R83" s="215" t="s">
        <v>2</v>
      </c>
      <c r="S83" s="215">
        <f>IF(R83&gt;0,IF(RIGHT(Ruimtestaat[[#This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" s="215">
        <f>IF(S83&gt;0,VLOOKUP($J83,Ruimtegroepen[],3,FALSE)*VLOOKUP($K83,Vloersoorten[],3,FALSE)*VLOOKUP($R83,Frequenties[],3,FALSE)*VLOOKUP($A83,Locaties[],3,FALSE),0)</f>
        <v>0</v>
      </c>
      <c r="U83" s="215">
        <f>Ruimtestaat[[#This Row],[Uitvoeringen werkdagen]]*Ruimtestaat[[#This Row],[Oppervlak (netto)]]</f>
        <v>274</v>
      </c>
      <c r="V83" s="259">
        <f>IF(T83&gt;0,Ruimtestaat[[#This Row],[Prest. (m2 /jaar) werkdagen]]/Ruimtestaat[[#This Row],[Norm (m2/uur) werkdagen]],0)</f>
        <v>0</v>
      </c>
      <c r="W83" s="260">
        <f>Ruimtestaat[[#This Row],[uren / jaar werkdagen]]*Tariefsopbouw!$D$38</f>
        <v>0</v>
      </c>
      <c r="X83" s="33"/>
      <c r="Y83" s="33">
        <f>IF(Ruimtestaat[[#This Row],[Frequentie weekend]]&gt;0,VALUE(LEFT(X83,1))*Q83,0)</f>
        <v>0</v>
      </c>
      <c r="Z83" s="33">
        <f>IF($Y83&gt;0,VLOOKUP($J83,Ruimtegroepen[],3,FALSE)*VLOOKUP($K83,Vloersoorten[],3,FALSE)*VLOOKUP($X83,Frequenties[],3,FALSE)*VLOOKUP(#REF!,Locaties[],3,FALSE),0)</f>
        <v>0</v>
      </c>
      <c r="AA83" s="33"/>
      <c r="AB83" s="33"/>
      <c r="AC83" s="33">
        <f>Ruimtestaat[[#This Row],[uren / jaar weekend]]*Tariefsopbouw!$D$40</f>
        <v>0</v>
      </c>
      <c r="AD83" s="88">
        <f>Ruimtestaat[[#This Row],[Prest. (m2 /jaar) weekend]]+Ruimtestaat[[#This Row],[Prest. (m2 /jaar) werkdagen]]</f>
        <v>274</v>
      </c>
      <c r="AE83" s="88">
        <f>Ruimtestaat[[#This Row],[uren / jaar weekend]]+Ruimtestaat[[#This Row],[uren / jaar werkdagen]]</f>
        <v>0</v>
      </c>
      <c r="AF83" s="89">
        <f>Ruimtestaat[[#This Row],[kosten / jaar weekend]]+Ruimtestaat[[#This Row],[kosten / jaar werkdagen]]</f>
        <v>0</v>
      </c>
      <c r="HK83" s="87"/>
    </row>
    <row r="84" spans="1:219" ht="15" customHeight="1">
      <c r="A84" s="129">
        <v>1</v>
      </c>
      <c r="B84" s="21" t="str">
        <f>VLOOKUP(Ruimtestaat[[#This Row],[Code]],Locaties[#All],2,FALSE)</f>
        <v>PXC Aalderinkshoek</v>
      </c>
      <c r="C84" s="21" t="str">
        <f>VLOOKUP(Ruimtestaat[[#This Row],[Code]],Locaties[#All],4,FALSE)</f>
        <v>Cesar Frankstraat 4</v>
      </c>
      <c r="D84" s="21" t="str">
        <f>VLOOKUP(Ruimtestaat[[#This Row],[Code]],Locaties[#All],5,FALSE)</f>
        <v>7604 JG</v>
      </c>
      <c r="E84" s="200" t="str">
        <f>VLOOKUP(Ruimtestaat[[#This Row],[Code]],Locaties[#All],6,FALSE)</f>
        <v>Almelo</v>
      </c>
      <c r="F84" s="244"/>
      <c r="G84" s="200" t="s">
        <v>533</v>
      </c>
      <c r="H84" s="200" t="s">
        <v>555</v>
      </c>
      <c r="I84" s="244" t="s">
        <v>556</v>
      </c>
      <c r="J84" s="200">
        <v>10</v>
      </c>
      <c r="K84" s="200" t="s">
        <v>111</v>
      </c>
      <c r="L84" s="200" t="s">
        <v>128</v>
      </c>
      <c r="M84" s="213">
        <v>73.010000000000005</v>
      </c>
      <c r="N84" s="213"/>
      <c r="O84" s="243" t="str">
        <f>VLOOKUP(Ruimtestaat[[#This Row],[Ruimte code]],Ruimtegroepen[#All],4,FALSE)</f>
        <v>V  (Verkeersruimte)</v>
      </c>
      <c r="P84" s="214"/>
      <c r="Q84" s="215">
        <v>40</v>
      </c>
      <c r="R84" s="215" t="s">
        <v>2</v>
      </c>
      <c r="S84" s="215">
        <f>IF(R84&gt;0,IF(RIGHT(Ruimtestaat[[#This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" s="215">
        <f>IF(S84&gt;0,VLOOKUP($J84,Ruimtegroepen[],3,FALSE)*VLOOKUP($K84,Vloersoorten[],3,FALSE)*VLOOKUP($R84,Frequenties[],3,FALSE)*VLOOKUP($A84,Locaties[],3,FALSE),0)</f>
        <v>0</v>
      </c>
      <c r="U84" s="215">
        <f>Ruimtestaat[[#This Row],[Uitvoeringen werkdagen]]*Ruimtestaat[[#This Row],[Oppervlak (netto)]]</f>
        <v>14602.000000000002</v>
      </c>
      <c r="V84" s="259">
        <f>IF(T84&gt;0,Ruimtestaat[[#This Row],[Prest. (m2 /jaar) werkdagen]]/Ruimtestaat[[#This Row],[Norm (m2/uur) werkdagen]],0)</f>
        <v>0</v>
      </c>
      <c r="W84" s="260">
        <f>Ruimtestaat[[#This Row],[uren / jaar werkdagen]]*Tariefsopbouw!$D$38</f>
        <v>0</v>
      </c>
      <c r="X84" s="33"/>
      <c r="Y84" s="33">
        <f>IF(Ruimtestaat[[#This Row],[Frequentie weekend]]&gt;0,VALUE(LEFT(X84,1))*Q84,0)</f>
        <v>0</v>
      </c>
      <c r="Z84" s="33">
        <f>IF($Y84&gt;0,VLOOKUP($J84,Ruimtegroepen[],3,FALSE)*VLOOKUP($K84,Vloersoorten[],3,FALSE)*VLOOKUP($X84,Frequenties[],3,FALSE)*VLOOKUP(#REF!,Locaties[],3,FALSE),0)</f>
        <v>0</v>
      </c>
      <c r="AA84" s="33"/>
      <c r="AB84" s="33"/>
      <c r="AC84" s="33">
        <f>Ruimtestaat[[#This Row],[uren / jaar weekend]]*Tariefsopbouw!$D$40</f>
        <v>0</v>
      </c>
      <c r="AD84" s="88">
        <f>Ruimtestaat[[#This Row],[Prest. (m2 /jaar) weekend]]+Ruimtestaat[[#This Row],[Prest. (m2 /jaar) werkdagen]]</f>
        <v>14602.000000000002</v>
      </c>
      <c r="AE84" s="88">
        <f>Ruimtestaat[[#This Row],[uren / jaar weekend]]+Ruimtestaat[[#This Row],[uren / jaar werkdagen]]</f>
        <v>0</v>
      </c>
      <c r="AF84" s="89">
        <f>Ruimtestaat[[#This Row],[kosten / jaar weekend]]+Ruimtestaat[[#This Row],[kosten / jaar werkdagen]]</f>
        <v>0</v>
      </c>
      <c r="HK84" s="87"/>
    </row>
    <row r="85" spans="1:219" ht="15" customHeight="1">
      <c r="A85" s="129">
        <v>1</v>
      </c>
      <c r="B85" s="21" t="str">
        <f>VLOOKUP(Ruimtestaat[[#This Row],[Code]],Locaties[#All],2,FALSE)</f>
        <v>PXC Aalderinkshoek</v>
      </c>
      <c r="C85" s="21" t="str">
        <f>VLOOKUP(Ruimtestaat[[#This Row],[Code]],Locaties[#All],4,FALSE)</f>
        <v>Cesar Frankstraat 4</v>
      </c>
      <c r="D85" s="21" t="str">
        <f>VLOOKUP(Ruimtestaat[[#This Row],[Code]],Locaties[#All],5,FALSE)</f>
        <v>7604 JG</v>
      </c>
      <c r="E85" s="200" t="str">
        <f>VLOOKUP(Ruimtestaat[[#This Row],[Code]],Locaties[#All],6,FALSE)</f>
        <v>Almelo</v>
      </c>
      <c r="F85" s="244"/>
      <c r="G85" s="200" t="s">
        <v>533</v>
      </c>
      <c r="H85" s="200" t="s">
        <v>558</v>
      </c>
      <c r="I85" s="244" t="s">
        <v>455</v>
      </c>
      <c r="J85" s="200">
        <v>10</v>
      </c>
      <c r="K85" s="200" t="s">
        <v>111</v>
      </c>
      <c r="L85" s="200" t="s">
        <v>128</v>
      </c>
      <c r="M85" s="213">
        <v>27.09</v>
      </c>
      <c r="N85" s="213"/>
      <c r="O85" s="243" t="str">
        <f>VLOOKUP(Ruimtestaat[[#This Row],[Ruimte code]],Ruimtegroepen[#All],4,FALSE)</f>
        <v>V  (Verkeersruimte)</v>
      </c>
      <c r="P85" s="214"/>
      <c r="Q85" s="215">
        <v>40</v>
      </c>
      <c r="R85" s="215" t="s">
        <v>15</v>
      </c>
      <c r="S85" s="215">
        <f>IF(R85&gt;0,IF(RIGHT(Ruimtestaat[[#This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85" s="215">
        <f>IF(S85&gt;0,VLOOKUP($J85,Ruimtegroepen[],3,FALSE)*VLOOKUP($K85,Vloersoorten[],3,FALSE)*VLOOKUP($R85,Frequenties[],3,FALSE)*VLOOKUP($A85,Locaties[],3,FALSE),0)</f>
        <v>0</v>
      </c>
      <c r="U85" s="215">
        <f>Ruimtestaat[[#This Row],[Uitvoeringen werkdagen]]*Ruimtestaat[[#This Row],[Oppervlak (netto)]]</f>
        <v>1083.5999999999999</v>
      </c>
      <c r="V85" s="259">
        <f>IF(T85&gt;0,Ruimtestaat[[#This Row],[Prest. (m2 /jaar) werkdagen]]/Ruimtestaat[[#This Row],[Norm (m2/uur) werkdagen]],0)</f>
        <v>0</v>
      </c>
      <c r="W85" s="260">
        <f>Ruimtestaat[[#This Row],[uren / jaar werkdagen]]*Tariefsopbouw!$D$38</f>
        <v>0</v>
      </c>
      <c r="X85" s="33"/>
      <c r="Y85" s="33">
        <f>IF(Ruimtestaat[[#This Row],[Frequentie weekend]]&gt;0,VALUE(LEFT(X85,1))*Q85,0)</f>
        <v>0</v>
      </c>
      <c r="Z85" s="33">
        <f>IF($Y85&gt;0,VLOOKUP($J85,Ruimtegroepen[],3,FALSE)*VLOOKUP($K85,Vloersoorten[],3,FALSE)*VLOOKUP($X85,Frequenties[],3,FALSE)*VLOOKUP(#REF!,Locaties[],3,FALSE),0)</f>
        <v>0</v>
      </c>
      <c r="AA85" s="33"/>
      <c r="AB85" s="33"/>
      <c r="AC85" s="33">
        <f>Ruimtestaat[[#This Row],[uren / jaar weekend]]*Tariefsopbouw!$D$40</f>
        <v>0</v>
      </c>
      <c r="AD85" s="88">
        <f>Ruimtestaat[[#This Row],[Prest. (m2 /jaar) weekend]]+Ruimtestaat[[#This Row],[Prest. (m2 /jaar) werkdagen]]</f>
        <v>1083.5999999999999</v>
      </c>
      <c r="AE85" s="88">
        <f>Ruimtestaat[[#This Row],[uren / jaar weekend]]+Ruimtestaat[[#This Row],[uren / jaar werkdagen]]</f>
        <v>0</v>
      </c>
      <c r="AF85" s="89">
        <f>Ruimtestaat[[#This Row],[kosten / jaar weekend]]+Ruimtestaat[[#This Row],[kosten / jaar werkdagen]]</f>
        <v>0</v>
      </c>
      <c r="HK85" s="87"/>
    </row>
    <row r="86" spans="1:219" ht="15" customHeight="1">
      <c r="A86" s="129">
        <v>1</v>
      </c>
      <c r="B86" s="21" t="str">
        <f>VLOOKUP(Ruimtestaat[[#This Row],[Code]],Locaties[#All],2,FALSE)</f>
        <v>PXC Aalderinkshoek</v>
      </c>
      <c r="C86" s="21" t="str">
        <f>VLOOKUP(Ruimtestaat[[#This Row],[Code]],Locaties[#All],4,FALSE)</f>
        <v>Cesar Frankstraat 4</v>
      </c>
      <c r="D86" s="21" t="str">
        <f>VLOOKUP(Ruimtestaat[[#This Row],[Code]],Locaties[#All],5,FALSE)</f>
        <v>7604 JG</v>
      </c>
      <c r="E86" s="200" t="str">
        <f>VLOOKUP(Ruimtestaat[[#This Row],[Code]],Locaties[#All],6,FALSE)</f>
        <v>Almelo</v>
      </c>
      <c r="F86" s="244"/>
      <c r="G86" s="200" t="s">
        <v>533</v>
      </c>
      <c r="H86" s="200" t="s">
        <v>559</v>
      </c>
      <c r="I86" s="244" t="s">
        <v>463</v>
      </c>
      <c r="J86" s="200">
        <v>16</v>
      </c>
      <c r="K86" s="200" t="s">
        <v>110</v>
      </c>
      <c r="L86" s="200" t="s">
        <v>132</v>
      </c>
      <c r="M86" s="213">
        <v>69.16</v>
      </c>
      <c r="N86" s="213"/>
      <c r="O86" s="243" t="str">
        <f>VLOOKUP(Ruimtestaat[[#This Row],[Ruimte code]],Ruimtegroepen[#All],4,FALSE)</f>
        <v>L  (Lesruimte)</v>
      </c>
      <c r="P86" s="214"/>
      <c r="Q86" s="215">
        <v>40</v>
      </c>
      <c r="R86" s="215" t="s">
        <v>1344</v>
      </c>
      <c r="S86" s="215">
        <f>IF(R86&gt;0,IF(RIGHT(Ruimtestaat[[#This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86" s="215">
        <f>IF(S86&gt;0,VLOOKUP($J86,Ruimtegroepen[],3,FALSE)*VLOOKUP($K86,Vloersoorten[],3,FALSE)*VLOOKUP($R86,Frequenties[],3,FALSE)*VLOOKUP($A86,Locaties[],3,FALSE),0)</f>
        <v>0</v>
      </c>
      <c r="U86" s="215">
        <f>Ruimtestaat[[#This Row],[Uitvoeringen werkdagen]]*Ruimtestaat[[#This Row],[Oppervlak (netto)]]</f>
        <v>1659.84</v>
      </c>
      <c r="V86" s="259">
        <f>IF(T86&gt;0,Ruimtestaat[[#This Row],[Prest. (m2 /jaar) werkdagen]]/Ruimtestaat[[#This Row],[Norm (m2/uur) werkdagen]],0)</f>
        <v>0</v>
      </c>
      <c r="W86" s="260">
        <f>Ruimtestaat[[#This Row],[uren / jaar werkdagen]]*Tariefsopbouw!$D$38</f>
        <v>0</v>
      </c>
      <c r="X86" s="33"/>
      <c r="Y86" s="33">
        <f>IF(Ruimtestaat[[#This Row],[Frequentie weekend]]&gt;0,VALUE(LEFT(X86,1))*Q86,0)</f>
        <v>0</v>
      </c>
      <c r="Z86" s="33">
        <f>IF($Y86&gt;0,VLOOKUP($J86,Ruimtegroepen[],3,FALSE)*VLOOKUP($K86,Vloersoorten[],3,FALSE)*VLOOKUP($X86,Frequenties[],3,FALSE)*VLOOKUP(#REF!,Locaties[],3,FALSE),0)</f>
        <v>0</v>
      </c>
      <c r="AA86" s="33"/>
      <c r="AB86" s="33"/>
      <c r="AC86" s="33">
        <f>Ruimtestaat[[#This Row],[uren / jaar weekend]]*Tariefsopbouw!$D$40</f>
        <v>0</v>
      </c>
      <c r="AD86" s="88">
        <f>Ruimtestaat[[#This Row],[Prest. (m2 /jaar) weekend]]+Ruimtestaat[[#This Row],[Prest. (m2 /jaar) werkdagen]]</f>
        <v>1659.84</v>
      </c>
      <c r="AE86" s="88">
        <f>Ruimtestaat[[#This Row],[uren / jaar weekend]]+Ruimtestaat[[#This Row],[uren / jaar werkdagen]]</f>
        <v>0</v>
      </c>
      <c r="AF86" s="89">
        <f>Ruimtestaat[[#This Row],[kosten / jaar weekend]]+Ruimtestaat[[#This Row],[kosten / jaar werkdagen]]</f>
        <v>0</v>
      </c>
      <c r="HK86" s="87"/>
    </row>
    <row r="87" spans="1:219" ht="15" customHeight="1">
      <c r="A87" s="129">
        <v>1</v>
      </c>
      <c r="B87" s="21" t="str">
        <f>VLOOKUP(Ruimtestaat[[#This Row],[Code]],Locaties[#All],2,FALSE)</f>
        <v>PXC Aalderinkshoek</v>
      </c>
      <c r="C87" s="21" t="str">
        <f>VLOOKUP(Ruimtestaat[[#This Row],[Code]],Locaties[#All],4,FALSE)</f>
        <v>Cesar Frankstraat 4</v>
      </c>
      <c r="D87" s="21" t="str">
        <f>VLOOKUP(Ruimtestaat[[#This Row],[Code]],Locaties[#All],5,FALSE)</f>
        <v>7604 JG</v>
      </c>
      <c r="E87" s="200" t="str">
        <f>VLOOKUP(Ruimtestaat[[#This Row],[Code]],Locaties[#All],6,FALSE)</f>
        <v>Almelo</v>
      </c>
      <c r="F87" s="244"/>
      <c r="G87" s="200" t="s">
        <v>533</v>
      </c>
      <c r="H87" s="200" t="s">
        <v>560</v>
      </c>
      <c r="I87" s="244" t="s">
        <v>447</v>
      </c>
      <c r="J87" s="200">
        <v>1</v>
      </c>
      <c r="K87" s="215" t="s">
        <v>110</v>
      </c>
      <c r="L87" s="200" t="s">
        <v>132</v>
      </c>
      <c r="M87" s="213">
        <v>25.01</v>
      </c>
      <c r="N87" s="213"/>
      <c r="O87" s="243" t="str">
        <f>VLOOKUP(Ruimtestaat[[#This Row],[Ruimte code]],Ruimtegroepen[#All],4,FALSE)</f>
        <v>V  (Verkeersruimte)</v>
      </c>
      <c r="P87" s="214"/>
      <c r="Q87" s="215">
        <v>40</v>
      </c>
      <c r="R87" s="215" t="s">
        <v>16</v>
      </c>
      <c r="S87" s="215">
        <f>IF(R87&gt;0,IF(RIGHT(Ruimtestaat[[#This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87" s="215">
        <f>IF(S87&gt;0,VLOOKUP($J87,Ruimtegroepen[],3,FALSE)*VLOOKUP($K87,Vloersoorten[],3,FALSE)*VLOOKUP($R87,Frequenties[],3,FALSE)*VLOOKUP($A87,Locaties[],3,FALSE),0)</f>
        <v>0</v>
      </c>
      <c r="U87" s="215">
        <f>Ruimtestaat[[#This Row],[Uitvoeringen werkdagen]]*Ruimtestaat[[#This Row],[Oppervlak (netto)]]</f>
        <v>300.12</v>
      </c>
      <c r="V87" s="259">
        <f>IF(T87&gt;0,Ruimtestaat[[#This Row],[Prest. (m2 /jaar) werkdagen]]/Ruimtestaat[[#This Row],[Norm (m2/uur) werkdagen]],0)</f>
        <v>0</v>
      </c>
      <c r="W87" s="260">
        <f>Ruimtestaat[[#This Row],[uren / jaar werkdagen]]*Tariefsopbouw!$D$38</f>
        <v>0</v>
      </c>
      <c r="X87" s="33"/>
      <c r="Y87" s="33">
        <f>IF(Ruimtestaat[[#This Row],[Frequentie weekend]]&gt;0,VALUE(LEFT(X87,1))*Q87,0)</f>
        <v>0</v>
      </c>
      <c r="Z87" s="33">
        <f>IF($Y87&gt;0,VLOOKUP($J87,Ruimtegroepen[],3,FALSE)*VLOOKUP($K87,Vloersoorten[],3,FALSE)*VLOOKUP($X87,Frequenties[],3,FALSE)*VLOOKUP(#REF!,Locaties[],3,FALSE),0)</f>
        <v>0</v>
      </c>
      <c r="AA87" s="33"/>
      <c r="AB87" s="33"/>
      <c r="AC87" s="33">
        <f>Ruimtestaat[[#This Row],[uren / jaar weekend]]*Tariefsopbouw!$D$40</f>
        <v>0</v>
      </c>
      <c r="AD87" s="88">
        <f>Ruimtestaat[[#This Row],[Prest. (m2 /jaar) weekend]]+Ruimtestaat[[#This Row],[Prest. (m2 /jaar) werkdagen]]</f>
        <v>300.12</v>
      </c>
      <c r="AE87" s="88">
        <f>Ruimtestaat[[#This Row],[uren / jaar weekend]]+Ruimtestaat[[#This Row],[uren / jaar werkdagen]]</f>
        <v>0</v>
      </c>
      <c r="AF87" s="89">
        <f>Ruimtestaat[[#This Row],[kosten / jaar weekend]]+Ruimtestaat[[#This Row],[kosten / jaar werkdagen]]</f>
        <v>0</v>
      </c>
      <c r="HK87" s="87"/>
    </row>
    <row r="88" spans="1:219" ht="15" customHeight="1">
      <c r="A88" s="129">
        <v>1</v>
      </c>
      <c r="B88" s="21" t="str">
        <f>VLOOKUP(Ruimtestaat[[#This Row],[Code]],Locaties[#All],2,FALSE)</f>
        <v>PXC Aalderinkshoek</v>
      </c>
      <c r="C88" s="21" t="str">
        <f>VLOOKUP(Ruimtestaat[[#This Row],[Code]],Locaties[#All],4,FALSE)</f>
        <v>Cesar Frankstraat 4</v>
      </c>
      <c r="D88" s="21" t="str">
        <f>VLOOKUP(Ruimtestaat[[#This Row],[Code]],Locaties[#All],5,FALSE)</f>
        <v>7604 JG</v>
      </c>
      <c r="E88" s="200" t="str">
        <f>VLOOKUP(Ruimtestaat[[#This Row],[Code]],Locaties[#All],6,FALSE)</f>
        <v>Almelo</v>
      </c>
      <c r="F88" s="244"/>
      <c r="G88" s="200" t="s">
        <v>533</v>
      </c>
      <c r="H88" s="200" t="s">
        <v>561</v>
      </c>
      <c r="I88" s="244" t="s">
        <v>463</v>
      </c>
      <c r="J88" s="200">
        <v>16</v>
      </c>
      <c r="K88" s="200" t="s">
        <v>110</v>
      </c>
      <c r="L88" s="200" t="s">
        <v>132</v>
      </c>
      <c r="M88" s="213">
        <v>45.33</v>
      </c>
      <c r="N88" s="213"/>
      <c r="O88" s="243" t="str">
        <f>VLOOKUP(Ruimtestaat[[#This Row],[Ruimte code]],Ruimtegroepen[#All],4,FALSE)</f>
        <v>L  (Lesruimte)</v>
      </c>
      <c r="P88" s="214"/>
      <c r="Q88" s="215">
        <v>40</v>
      </c>
      <c r="R88" s="215" t="s">
        <v>1344</v>
      </c>
      <c r="S88" s="215">
        <f>IF(R88&gt;0,IF(RIGHT(Ruimtestaat[[#This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88" s="215">
        <f>IF(S88&gt;0,VLOOKUP($J88,Ruimtegroepen[],3,FALSE)*VLOOKUP($K88,Vloersoorten[],3,FALSE)*VLOOKUP($R88,Frequenties[],3,FALSE)*VLOOKUP($A88,Locaties[],3,FALSE),0)</f>
        <v>0</v>
      </c>
      <c r="U88" s="215">
        <f>Ruimtestaat[[#This Row],[Uitvoeringen werkdagen]]*Ruimtestaat[[#This Row],[Oppervlak (netto)]]</f>
        <v>1087.92</v>
      </c>
      <c r="V88" s="259">
        <f>IF(T88&gt;0,Ruimtestaat[[#This Row],[Prest. (m2 /jaar) werkdagen]]/Ruimtestaat[[#This Row],[Norm (m2/uur) werkdagen]],0)</f>
        <v>0</v>
      </c>
      <c r="W88" s="260">
        <f>Ruimtestaat[[#This Row],[uren / jaar werkdagen]]*Tariefsopbouw!$D$38</f>
        <v>0</v>
      </c>
      <c r="X88" s="33"/>
      <c r="Y88" s="33">
        <f>IF(Ruimtestaat[[#This Row],[Frequentie weekend]]&gt;0,VALUE(LEFT(X88,1))*Q88,0)</f>
        <v>0</v>
      </c>
      <c r="Z88" s="33">
        <f>IF($Y88&gt;0,VLOOKUP($J88,Ruimtegroepen[],3,FALSE)*VLOOKUP($K88,Vloersoorten[],3,FALSE)*VLOOKUP($X88,Frequenties[],3,FALSE)*VLOOKUP(#REF!,Locaties[],3,FALSE),0)</f>
        <v>0</v>
      </c>
      <c r="AA88" s="33"/>
      <c r="AB88" s="33"/>
      <c r="AC88" s="33">
        <f>Ruimtestaat[[#This Row],[uren / jaar weekend]]*Tariefsopbouw!$D$40</f>
        <v>0</v>
      </c>
      <c r="AD88" s="88">
        <f>Ruimtestaat[[#This Row],[Prest. (m2 /jaar) weekend]]+Ruimtestaat[[#This Row],[Prest. (m2 /jaar) werkdagen]]</f>
        <v>1087.92</v>
      </c>
      <c r="AE88" s="88">
        <f>Ruimtestaat[[#This Row],[uren / jaar weekend]]+Ruimtestaat[[#This Row],[uren / jaar werkdagen]]</f>
        <v>0</v>
      </c>
      <c r="AF88" s="89">
        <f>Ruimtestaat[[#This Row],[kosten / jaar weekend]]+Ruimtestaat[[#This Row],[kosten / jaar werkdagen]]</f>
        <v>0</v>
      </c>
      <c r="HK88" s="87"/>
    </row>
    <row r="89" spans="1:219" ht="15" customHeight="1">
      <c r="A89" s="129">
        <v>1</v>
      </c>
      <c r="B89" s="21" t="str">
        <f>VLOOKUP(Ruimtestaat[[#This Row],[Code]],Locaties[#All],2,FALSE)</f>
        <v>PXC Aalderinkshoek</v>
      </c>
      <c r="C89" s="21" t="str">
        <f>VLOOKUP(Ruimtestaat[[#This Row],[Code]],Locaties[#All],4,FALSE)</f>
        <v>Cesar Frankstraat 4</v>
      </c>
      <c r="D89" s="21" t="str">
        <f>VLOOKUP(Ruimtestaat[[#This Row],[Code]],Locaties[#All],5,FALSE)</f>
        <v>7604 JG</v>
      </c>
      <c r="E89" s="200" t="str">
        <f>VLOOKUP(Ruimtestaat[[#This Row],[Code]],Locaties[#All],6,FALSE)</f>
        <v>Almelo</v>
      </c>
      <c r="F89" s="244"/>
      <c r="G89" s="200" t="s">
        <v>533</v>
      </c>
      <c r="H89" s="200" t="s">
        <v>562</v>
      </c>
      <c r="I89" s="244" t="s">
        <v>463</v>
      </c>
      <c r="J89" s="200">
        <v>16</v>
      </c>
      <c r="K89" s="200" t="s">
        <v>110</v>
      </c>
      <c r="L89" s="200" t="s">
        <v>132</v>
      </c>
      <c r="M89" s="213">
        <v>45.33</v>
      </c>
      <c r="N89" s="213"/>
      <c r="O89" s="243" t="str">
        <f>VLOOKUP(Ruimtestaat[[#This Row],[Ruimte code]],Ruimtegroepen[#All],4,FALSE)</f>
        <v>L  (Lesruimte)</v>
      </c>
      <c r="P89" s="214"/>
      <c r="Q89" s="215">
        <v>40</v>
      </c>
      <c r="R89" s="215" t="s">
        <v>2</v>
      </c>
      <c r="S89" s="215">
        <f>IF(R89&gt;0,IF(RIGHT(Ruimtestaat[[#This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9" s="215">
        <f>IF(S89&gt;0,VLOOKUP($J89,Ruimtegroepen[],3,FALSE)*VLOOKUP($K89,Vloersoorten[],3,FALSE)*VLOOKUP($R89,Frequenties[],3,FALSE)*VLOOKUP($A89,Locaties[],3,FALSE),0)</f>
        <v>0</v>
      </c>
      <c r="U89" s="215">
        <f>Ruimtestaat[[#This Row],[Uitvoeringen werkdagen]]*Ruimtestaat[[#This Row],[Oppervlak (netto)]]</f>
        <v>9066</v>
      </c>
      <c r="V89" s="259">
        <f>IF(T89&gt;0,Ruimtestaat[[#This Row],[Prest. (m2 /jaar) werkdagen]]/Ruimtestaat[[#This Row],[Norm (m2/uur) werkdagen]],0)</f>
        <v>0</v>
      </c>
      <c r="W89" s="260">
        <f>Ruimtestaat[[#This Row],[uren / jaar werkdagen]]*Tariefsopbouw!$D$38</f>
        <v>0</v>
      </c>
      <c r="X89" s="33"/>
      <c r="Y89" s="33">
        <f>IF(Ruimtestaat[[#This Row],[Frequentie weekend]]&gt;0,VALUE(LEFT(X89,1))*Q89,0)</f>
        <v>0</v>
      </c>
      <c r="Z89" s="33">
        <f>IF($Y89&gt;0,VLOOKUP($J89,Ruimtegroepen[],3,FALSE)*VLOOKUP($K89,Vloersoorten[],3,FALSE)*VLOOKUP($X89,Frequenties[],3,FALSE)*VLOOKUP(#REF!,Locaties[],3,FALSE),0)</f>
        <v>0</v>
      </c>
      <c r="AA89" s="33"/>
      <c r="AB89" s="33"/>
      <c r="AC89" s="33">
        <f>Ruimtestaat[[#This Row],[uren / jaar weekend]]*Tariefsopbouw!$D$40</f>
        <v>0</v>
      </c>
      <c r="AD89" s="88">
        <f>Ruimtestaat[[#This Row],[Prest. (m2 /jaar) weekend]]+Ruimtestaat[[#This Row],[Prest. (m2 /jaar) werkdagen]]</f>
        <v>9066</v>
      </c>
      <c r="AE89" s="88">
        <f>Ruimtestaat[[#This Row],[uren / jaar weekend]]+Ruimtestaat[[#This Row],[uren / jaar werkdagen]]</f>
        <v>0</v>
      </c>
      <c r="AF89" s="89">
        <f>Ruimtestaat[[#This Row],[kosten / jaar weekend]]+Ruimtestaat[[#This Row],[kosten / jaar werkdagen]]</f>
        <v>0</v>
      </c>
      <c r="HK89" s="87"/>
    </row>
    <row r="90" spans="1:219" ht="15" customHeight="1">
      <c r="A90" s="129">
        <v>1</v>
      </c>
      <c r="B90" s="21" t="str">
        <f>VLOOKUP(Ruimtestaat[[#This Row],[Code]],Locaties[#All],2,FALSE)</f>
        <v>PXC Aalderinkshoek</v>
      </c>
      <c r="C90" s="21" t="str">
        <f>VLOOKUP(Ruimtestaat[[#This Row],[Code]],Locaties[#All],4,FALSE)</f>
        <v>Cesar Frankstraat 4</v>
      </c>
      <c r="D90" s="21" t="str">
        <f>VLOOKUP(Ruimtestaat[[#This Row],[Code]],Locaties[#All],5,FALSE)</f>
        <v>7604 JG</v>
      </c>
      <c r="E90" s="200" t="str">
        <f>VLOOKUP(Ruimtestaat[[#This Row],[Code]],Locaties[#All],6,FALSE)</f>
        <v>Almelo</v>
      </c>
      <c r="F90" s="244"/>
      <c r="G90" s="200" t="s">
        <v>533</v>
      </c>
      <c r="H90" s="200" t="s">
        <v>563</v>
      </c>
      <c r="I90" s="244" t="s">
        <v>463</v>
      </c>
      <c r="J90" s="200">
        <v>16</v>
      </c>
      <c r="K90" s="200" t="s">
        <v>110</v>
      </c>
      <c r="L90" s="200" t="s">
        <v>132</v>
      </c>
      <c r="M90" s="213">
        <v>45.33</v>
      </c>
      <c r="N90" s="213"/>
      <c r="O90" s="243" t="str">
        <f>VLOOKUP(Ruimtestaat[[#This Row],[Ruimte code]],Ruimtegroepen[#All],4,FALSE)</f>
        <v>L  (Lesruimte)</v>
      </c>
      <c r="P90" s="214"/>
      <c r="Q90" s="215">
        <v>40</v>
      </c>
      <c r="R90" s="215" t="s">
        <v>2</v>
      </c>
      <c r="S90" s="215">
        <f>IF(R90&gt;0,IF(RIGHT(Ruimtestaat[[#This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0" s="215">
        <f>IF(S90&gt;0,VLOOKUP($J90,Ruimtegroepen[],3,FALSE)*VLOOKUP($K90,Vloersoorten[],3,FALSE)*VLOOKUP($R90,Frequenties[],3,FALSE)*VLOOKUP($A90,Locaties[],3,FALSE),0)</f>
        <v>0</v>
      </c>
      <c r="U90" s="215">
        <f>Ruimtestaat[[#This Row],[Uitvoeringen werkdagen]]*Ruimtestaat[[#This Row],[Oppervlak (netto)]]</f>
        <v>9066</v>
      </c>
      <c r="V90" s="259">
        <f>IF(T90&gt;0,Ruimtestaat[[#This Row],[Prest. (m2 /jaar) werkdagen]]/Ruimtestaat[[#This Row],[Norm (m2/uur) werkdagen]],0)</f>
        <v>0</v>
      </c>
      <c r="W90" s="260">
        <f>Ruimtestaat[[#This Row],[uren / jaar werkdagen]]*Tariefsopbouw!$D$38</f>
        <v>0</v>
      </c>
      <c r="X90" s="33"/>
      <c r="Y90" s="33">
        <f>IF(Ruimtestaat[[#This Row],[Frequentie weekend]]&gt;0,VALUE(LEFT(X90,1))*Q90,0)</f>
        <v>0</v>
      </c>
      <c r="Z90" s="33">
        <f>IF($Y90&gt;0,VLOOKUP($J90,Ruimtegroepen[],3,FALSE)*VLOOKUP($K90,Vloersoorten[],3,FALSE)*VLOOKUP($X90,Frequenties[],3,FALSE)*VLOOKUP(#REF!,Locaties[],3,FALSE),0)</f>
        <v>0</v>
      </c>
      <c r="AA90" s="33"/>
      <c r="AB90" s="33"/>
      <c r="AC90" s="33">
        <f>Ruimtestaat[[#This Row],[uren / jaar weekend]]*Tariefsopbouw!$D$40</f>
        <v>0</v>
      </c>
      <c r="AD90" s="88">
        <f>Ruimtestaat[[#This Row],[Prest. (m2 /jaar) weekend]]+Ruimtestaat[[#This Row],[Prest. (m2 /jaar) werkdagen]]</f>
        <v>9066</v>
      </c>
      <c r="AE90" s="88">
        <f>Ruimtestaat[[#This Row],[uren / jaar weekend]]+Ruimtestaat[[#This Row],[uren / jaar werkdagen]]</f>
        <v>0</v>
      </c>
      <c r="AF90" s="89">
        <f>Ruimtestaat[[#This Row],[kosten / jaar weekend]]+Ruimtestaat[[#This Row],[kosten / jaar werkdagen]]</f>
        <v>0</v>
      </c>
      <c r="HK90" s="87"/>
    </row>
    <row r="91" spans="1:219" ht="15" customHeight="1">
      <c r="A91" s="129">
        <v>1</v>
      </c>
      <c r="B91" s="21" t="str">
        <f>VLOOKUP(Ruimtestaat[[#This Row],[Code]],Locaties[#All],2,FALSE)</f>
        <v>PXC Aalderinkshoek</v>
      </c>
      <c r="C91" s="21" t="str">
        <f>VLOOKUP(Ruimtestaat[[#This Row],[Code]],Locaties[#All],4,FALSE)</f>
        <v>Cesar Frankstraat 4</v>
      </c>
      <c r="D91" s="21" t="str">
        <f>VLOOKUP(Ruimtestaat[[#This Row],[Code]],Locaties[#All],5,FALSE)</f>
        <v>7604 JG</v>
      </c>
      <c r="E91" s="200" t="str">
        <f>VLOOKUP(Ruimtestaat[[#This Row],[Code]],Locaties[#All],6,FALSE)</f>
        <v>Almelo</v>
      </c>
      <c r="F91" s="244"/>
      <c r="G91" s="200" t="s">
        <v>533</v>
      </c>
      <c r="H91" s="200" t="s">
        <v>564</v>
      </c>
      <c r="I91" s="244" t="s">
        <v>463</v>
      </c>
      <c r="J91" s="200">
        <v>16</v>
      </c>
      <c r="K91" s="200" t="s">
        <v>110</v>
      </c>
      <c r="L91" s="200" t="s">
        <v>132</v>
      </c>
      <c r="M91" s="213">
        <v>45.33</v>
      </c>
      <c r="N91" s="213"/>
      <c r="O91" s="243" t="str">
        <f>VLOOKUP(Ruimtestaat[[#This Row],[Ruimte code]],Ruimtegroepen[#All],4,FALSE)</f>
        <v>L  (Lesruimte)</v>
      </c>
      <c r="P91" s="214"/>
      <c r="Q91" s="215">
        <v>40</v>
      </c>
      <c r="R91" s="215" t="s">
        <v>2</v>
      </c>
      <c r="S91" s="215">
        <f>IF(R91&gt;0,IF(RIGHT(Ruimtestaat[[#This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1" s="215">
        <f>IF(S91&gt;0,VLOOKUP($J91,Ruimtegroepen[],3,FALSE)*VLOOKUP($K91,Vloersoorten[],3,FALSE)*VLOOKUP($R91,Frequenties[],3,FALSE)*VLOOKUP($A91,Locaties[],3,FALSE),0)</f>
        <v>0</v>
      </c>
      <c r="U91" s="215">
        <f>Ruimtestaat[[#This Row],[Uitvoeringen werkdagen]]*Ruimtestaat[[#This Row],[Oppervlak (netto)]]</f>
        <v>9066</v>
      </c>
      <c r="V91" s="259">
        <f>IF(T91&gt;0,Ruimtestaat[[#This Row],[Prest. (m2 /jaar) werkdagen]]/Ruimtestaat[[#This Row],[Norm (m2/uur) werkdagen]],0)</f>
        <v>0</v>
      </c>
      <c r="W91" s="260">
        <f>Ruimtestaat[[#This Row],[uren / jaar werkdagen]]*Tariefsopbouw!$D$38</f>
        <v>0</v>
      </c>
      <c r="X91" s="33"/>
      <c r="Y91" s="33">
        <f>IF(Ruimtestaat[[#This Row],[Frequentie weekend]]&gt;0,VALUE(LEFT(X91,1))*Q91,0)</f>
        <v>0</v>
      </c>
      <c r="Z91" s="33">
        <f>IF($Y91&gt;0,VLOOKUP($J91,Ruimtegroepen[],3,FALSE)*VLOOKUP($K91,Vloersoorten[],3,FALSE)*VLOOKUP($X91,Frequenties[],3,FALSE)*VLOOKUP(#REF!,Locaties[],3,FALSE),0)</f>
        <v>0</v>
      </c>
      <c r="AA91" s="33"/>
      <c r="AB91" s="33"/>
      <c r="AC91" s="33">
        <f>Ruimtestaat[[#This Row],[uren / jaar weekend]]*Tariefsopbouw!$D$40</f>
        <v>0</v>
      </c>
      <c r="AD91" s="88">
        <f>Ruimtestaat[[#This Row],[Prest. (m2 /jaar) weekend]]+Ruimtestaat[[#This Row],[Prest. (m2 /jaar) werkdagen]]</f>
        <v>9066</v>
      </c>
      <c r="AE91" s="88">
        <f>Ruimtestaat[[#This Row],[uren / jaar weekend]]+Ruimtestaat[[#This Row],[uren / jaar werkdagen]]</f>
        <v>0</v>
      </c>
      <c r="AF91" s="89">
        <f>Ruimtestaat[[#This Row],[kosten / jaar weekend]]+Ruimtestaat[[#This Row],[kosten / jaar werkdagen]]</f>
        <v>0</v>
      </c>
      <c r="HK91" s="87"/>
    </row>
    <row r="92" spans="1:219" ht="15" customHeight="1">
      <c r="A92" s="129">
        <v>1</v>
      </c>
      <c r="B92" s="21" t="str">
        <f>VLOOKUP(Ruimtestaat[[#This Row],[Code]],Locaties[#All],2,FALSE)</f>
        <v>PXC Aalderinkshoek</v>
      </c>
      <c r="C92" s="21" t="str">
        <f>VLOOKUP(Ruimtestaat[[#This Row],[Code]],Locaties[#All],4,FALSE)</f>
        <v>Cesar Frankstraat 4</v>
      </c>
      <c r="D92" s="21" t="str">
        <f>VLOOKUP(Ruimtestaat[[#This Row],[Code]],Locaties[#All],5,FALSE)</f>
        <v>7604 JG</v>
      </c>
      <c r="E92" s="200" t="str">
        <f>VLOOKUP(Ruimtestaat[[#This Row],[Code]],Locaties[#All],6,FALSE)</f>
        <v>Almelo</v>
      </c>
      <c r="F92" s="244"/>
      <c r="G92" s="200" t="s">
        <v>533</v>
      </c>
      <c r="H92" s="200" t="s">
        <v>565</v>
      </c>
      <c r="I92" s="244" t="s">
        <v>463</v>
      </c>
      <c r="J92" s="200">
        <v>16</v>
      </c>
      <c r="K92" s="200" t="s">
        <v>110</v>
      </c>
      <c r="L92" s="200" t="s">
        <v>132</v>
      </c>
      <c r="M92" s="213">
        <v>94.7</v>
      </c>
      <c r="N92" s="213"/>
      <c r="O92" s="243" t="str">
        <f>VLOOKUP(Ruimtestaat[[#This Row],[Ruimte code]],Ruimtegroepen[#All],4,FALSE)</f>
        <v>L  (Lesruimte)</v>
      </c>
      <c r="P92" s="214"/>
      <c r="Q92" s="215">
        <v>40</v>
      </c>
      <c r="R92" s="215" t="s">
        <v>2</v>
      </c>
      <c r="S92" s="215">
        <f>IF(R92&gt;0,IF(RIGHT(Ruimtestaat[[#This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2" s="215">
        <f>IF(S92&gt;0,VLOOKUP($J92,Ruimtegroepen[],3,FALSE)*VLOOKUP($K92,Vloersoorten[],3,FALSE)*VLOOKUP($R92,Frequenties[],3,FALSE)*VLOOKUP($A92,Locaties[],3,FALSE),0)</f>
        <v>0</v>
      </c>
      <c r="U92" s="215">
        <f>Ruimtestaat[[#This Row],[Uitvoeringen werkdagen]]*Ruimtestaat[[#This Row],[Oppervlak (netto)]]</f>
        <v>18940</v>
      </c>
      <c r="V92" s="259">
        <f>IF(T92&gt;0,Ruimtestaat[[#This Row],[Prest. (m2 /jaar) werkdagen]]/Ruimtestaat[[#This Row],[Norm (m2/uur) werkdagen]],0)</f>
        <v>0</v>
      </c>
      <c r="W92" s="260">
        <f>Ruimtestaat[[#This Row],[uren / jaar werkdagen]]*Tariefsopbouw!$D$38</f>
        <v>0</v>
      </c>
      <c r="X92" s="33"/>
      <c r="Y92" s="33">
        <f>IF(Ruimtestaat[[#This Row],[Frequentie weekend]]&gt;0,VALUE(LEFT(X92,1))*Q92,0)</f>
        <v>0</v>
      </c>
      <c r="Z92" s="33">
        <f>IF($Y92&gt;0,VLOOKUP($J92,Ruimtegroepen[],3,FALSE)*VLOOKUP($K92,Vloersoorten[],3,FALSE)*VLOOKUP($X92,Frequenties[],3,FALSE)*VLOOKUP(#REF!,Locaties[],3,FALSE),0)</f>
        <v>0</v>
      </c>
      <c r="AA92" s="33"/>
      <c r="AB92" s="33"/>
      <c r="AC92" s="33">
        <f>Ruimtestaat[[#This Row],[uren / jaar weekend]]*Tariefsopbouw!$D$40</f>
        <v>0</v>
      </c>
      <c r="AD92" s="88">
        <f>Ruimtestaat[[#This Row],[Prest. (m2 /jaar) weekend]]+Ruimtestaat[[#This Row],[Prest. (m2 /jaar) werkdagen]]</f>
        <v>18940</v>
      </c>
      <c r="AE92" s="88">
        <f>Ruimtestaat[[#This Row],[uren / jaar weekend]]+Ruimtestaat[[#This Row],[uren / jaar werkdagen]]</f>
        <v>0</v>
      </c>
      <c r="AF92" s="89">
        <f>Ruimtestaat[[#This Row],[kosten / jaar weekend]]+Ruimtestaat[[#This Row],[kosten / jaar werkdagen]]</f>
        <v>0</v>
      </c>
      <c r="HK92" s="87"/>
    </row>
    <row r="93" spans="1:219" ht="15" customHeight="1">
      <c r="A93" s="129">
        <v>1</v>
      </c>
      <c r="B93" s="21" t="str">
        <f>VLOOKUP(Ruimtestaat[[#This Row],[Code]],Locaties[#All],2,FALSE)</f>
        <v>PXC Aalderinkshoek</v>
      </c>
      <c r="C93" s="21" t="str">
        <f>VLOOKUP(Ruimtestaat[[#This Row],[Code]],Locaties[#All],4,FALSE)</f>
        <v>Cesar Frankstraat 4</v>
      </c>
      <c r="D93" s="21" t="str">
        <f>VLOOKUP(Ruimtestaat[[#This Row],[Code]],Locaties[#All],5,FALSE)</f>
        <v>7604 JG</v>
      </c>
      <c r="E93" s="200" t="str">
        <f>VLOOKUP(Ruimtestaat[[#This Row],[Code]],Locaties[#All],6,FALSE)</f>
        <v>Almelo</v>
      </c>
      <c r="F93" s="244"/>
      <c r="G93" s="200" t="s">
        <v>533</v>
      </c>
      <c r="H93" s="200" t="s">
        <v>566</v>
      </c>
      <c r="I93" s="244" t="s">
        <v>469</v>
      </c>
      <c r="J93" s="200">
        <v>6</v>
      </c>
      <c r="K93" s="200" t="s">
        <v>110</v>
      </c>
      <c r="L93" s="200" t="s">
        <v>132</v>
      </c>
      <c r="M93" s="213">
        <v>6.15</v>
      </c>
      <c r="N93" s="213"/>
      <c r="O93" s="243" t="str">
        <f>VLOOKUP(Ruimtestaat[[#This Row],[Ruimte code]],Ruimtegroepen[#All],4,FALSE)</f>
        <v>V  (Verkeersruimte)</v>
      </c>
      <c r="P93" s="214"/>
      <c r="Q93" s="215">
        <v>40</v>
      </c>
      <c r="R93" s="215" t="s">
        <v>2</v>
      </c>
      <c r="S93" s="215">
        <f>IF(R93&gt;0,IF(RIGHT(Ruimtestaat[[#This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3" s="215">
        <f>IF(S93&gt;0,VLOOKUP($J93,Ruimtegroepen[],3,FALSE)*VLOOKUP($K93,Vloersoorten[],3,FALSE)*VLOOKUP($R93,Frequenties[],3,FALSE)*VLOOKUP($A93,Locaties[],3,FALSE),0)</f>
        <v>0</v>
      </c>
      <c r="U93" s="215">
        <f>Ruimtestaat[[#This Row],[Uitvoeringen werkdagen]]*Ruimtestaat[[#This Row],[Oppervlak (netto)]]</f>
        <v>1230</v>
      </c>
      <c r="V93" s="259">
        <f>IF(T93&gt;0,Ruimtestaat[[#This Row],[Prest. (m2 /jaar) werkdagen]]/Ruimtestaat[[#This Row],[Norm (m2/uur) werkdagen]],0)</f>
        <v>0</v>
      </c>
      <c r="W93" s="260">
        <f>Ruimtestaat[[#This Row],[uren / jaar werkdagen]]*Tariefsopbouw!$D$38</f>
        <v>0</v>
      </c>
      <c r="X93" s="33"/>
      <c r="Y93" s="33">
        <f>IF(Ruimtestaat[[#This Row],[Frequentie weekend]]&gt;0,VALUE(LEFT(X93,1))*Q93,0)</f>
        <v>0</v>
      </c>
      <c r="Z93" s="33">
        <f>IF($Y93&gt;0,VLOOKUP($J93,Ruimtegroepen[],3,FALSE)*VLOOKUP($K93,Vloersoorten[],3,FALSE)*VLOOKUP($X93,Frequenties[],3,FALSE)*VLOOKUP(#REF!,Locaties[],3,FALSE),0)</f>
        <v>0</v>
      </c>
      <c r="AA93" s="33"/>
      <c r="AB93" s="33"/>
      <c r="AC93" s="33">
        <f>Ruimtestaat[[#This Row],[uren / jaar weekend]]*Tariefsopbouw!$D$40</f>
        <v>0</v>
      </c>
      <c r="AD93" s="88">
        <f>Ruimtestaat[[#This Row],[Prest. (m2 /jaar) weekend]]+Ruimtestaat[[#This Row],[Prest. (m2 /jaar) werkdagen]]</f>
        <v>1230</v>
      </c>
      <c r="AE93" s="88">
        <f>Ruimtestaat[[#This Row],[uren / jaar weekend]]+Ruimtestaat[[#This Row],[uren / jaar werkdagen]]</f>
        <v>0</v>
      </c>
      <c r="AF93" s="89">
        <f>Ruimtestaat[[#This Row],[kosten / jaar weekend]]+Ruimtestaat[[#This Row],[kosten / jaar werkdagen]]</f>
        <v>0</v>
      </c>
      <c r="HK93" s="87"/>
    </row>
    <row r="94" spans="1:219" ht="15" customHeight="1">
      <c r="A94" s="129">
        <v>1</v>
      </c>
      <c r="B94" s="21" t="str">
        <f>VLOOKUP(Ruimtestaat[[#This Row],[Code]],Locaties[#All],2,FALSE)</f>
        <v>PXC Aalderinkshoek</v>
      </c>
      <c r="C94" s="21" t="str">
        <f>VLOOKUP(Ruimtestaat[[#This Row],[Code]],Locaties[#All],4,FALSE)</f>
        <v>Cesar Frankstraat 4</v>
      </c>
      <c r="D94" s="21" t="str">
        <f>VLOOKUP(Ruimtestaat[[#This Row],[Code]],Locaties[#All],5,FALSE)</f>
        <v>7604 JG</v>
      </c>
      <c r="E94" s="200" t="str">
        <f>VLOOKUP(Ruimtestaat[[#This Row],[Code]],Locaties[#All],6,FALSE)</f>
        <v>Almelo</v>
      </c>
      <c r="F94" s="244"/>
      <c r="G94" s="200" t="s">
        <v>533</v>
      </c>
      <c r="H94" s="261" t="s">
        <v>567</v>
      </c>
      <c r="I94" s="244" t="s">
        <v>552</v>
      </c>
      <c r="J94" s="200">
        <v>21</v>
      </c>
      <c r="K94" s="200"/>
      <c r="L94" s="200"/>
      <c r="M94" s="213"/>
      <c r="N94" s="213">
        <v>0.8</v>
      </c>
      <c r="O94" s="243" t="str">
        <f>VLOOKUP(Ruimtestaat[[#This Row],[Ruimte code]],Ruimtegroepen[#All],4,FALSE)</f>
        <v>Niet in onderhoud</v>
      </c>
      <c r="P94" s="214"/>
      <c r="Q94" s="215"/>
      <c r="R94" s="215"/>
      <c r="S94" s="215">
        <f>IF(R94&gt;0,IF(RIGHT(Ruimtestaat[[#This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94" s="215">
        <f>IF(S94&gt;0,VLOOKUP($J94,Ruimtegroepen[],3,FALSE)*VLOOKUP($K94,Vloersoorten[],3,FALSE)*VLOOKUP($R94,Frequenties[],3,FALSE)*VLOOKUP($A94,Locaties[],3,FALSE),0)</f>
        <v>0</v>
      </c>
      <c r="U94" s="215">
        <f>Ruimtestaat[[#This Row],[Uitvoeringen werkdagen]]*Ruimtestaat[[#This Row],[Oppervlak (netto)]]</f>
        <v>0</v>
      </c>
      <c r="V94" s="259">
        <f>IF(T94&gt;0,Ruimtestaat[[#This Row],[Prest. (m2 /jaar) werkdagen]]/Ruimtestaat[[#This Row],[Norm (m2/uur) werkdagen]],0)</f>
        <v>0</v>
      </c>
      <c r="W94" s="260">
        <f>Ruimtestaat[[#This Row],[uren / jaar werkdagen]]*Tariefsopbouw!$D$38</f>
        <v>0</v>
      </c>
      <c r="X94" s="33"/>
      <c r="Y94" s="33">
        <f>IF(Ruimtestaat[[#This Row],[Frequentie weekend]]&gt;0,VALUE(LEFT(X94,1))*Q94,0)</f>
        <v>0</v>
      </c>
      <c r="Z94" s="33">
        <f>IF($Y94&gt;0,VLOOKUP($J94,Ruimtegroepen[],3,FALSE)*VLOOKUP($K94,Vloersoorten[],3,FALSE)*VLOOKUP($X94,Frequenties[],3,FALSE)*VLOOKUP(#REF!,Locaties[],3,FALSE),0)</f>
        <v>0</v>
      </c>
      <c r="AA94" s="33"/>
      <c r="AB94" s="33"/>
      <c r="AC94" s="33">
        <f>Ruimtestaat[[#This Row],[uren / jaar weekend]]*Tariefsopbouw!$D$40</f>
        <v>0</v>
      </c>
      <c r="AD94" s="88">
        <f>Ruimtestaat[[#This Row],[Prest. (m2 /jaar) weekend]]+Ruimtestaat[[#This Row],[Prest. (m2 /jaar) werkdagen]]</f>
        <v>0</v>
      </c>
      <c r="AE94" s="88">
        <f>Ruimtestaat[[#This Row],[uren / jaar weekend]]+Ruimtestaat[[#This Row],[uren / jaar werkdagen]]</f>
        <v>0</v>
      </c>
      <c r="AF94" s="89">
        <f>Ruimtestaat[[#This Row],[kosten / jaar weekend]]+Ruimtestaat[[#This Row],[kosten / jaar werkdagen]]</f>
        <v>0</v>
      </c>
      <c r="HK94" s="87"/>
    </row>
    <row r="95" spans="1:219" ht="15" customHeight="1">
      <c r="A95" s="129">
        <v>1</v>
      </c>
      <c r="B95" s="21" t="str">
        <f>VLOOKUP(Ruimtestaat[[#This Row],[Code]],Locaties[#All],2,FALSE)</f>
        <v>PXC Aalderinkshoek</v>
      </c>
      <c r="C95" s="21" t="str">
        <f>VLOOKUP(Ruimtestaat[[#This Row],[Code]],Locaties[#All],4,FALSE)</f>
        <v>Cesar Frankstraat 4</v>
      </c>
      <c r="D95" s="21" t="str">
        <f>VLOOKUP(Ruimtestaat[[#This Row],[Code]],Locaties[#All],5,FALSE)</f>
        <v>7604 JG</v>
      </c>
      <c r="E95" s="200" t="str">
        <f>VLOOKUP(Ruimtestaat[[#This Row],[Code]],Locaties[#All],6,FALSE)</f>
        <v>Almelo</v>
      </c>
      <c r="F95" s="244"/>
      <c r="G95" s="200" t="s">
        <v>533</v>
      </c>
      <c r="H95" s="200" t="s">
        <v>568</v>
      </c>
      <c r="I95" s="244" t="s">
        <v>569</v>
      </c>
      <c r="J95" s="215">
        <v>11</v>
      </c>
      <c r="K95" s="200" t="s">
        <v>110</v>
      </c>
      <c r="L95" s="200" t="s">
        <v>132</v>
      </c>
      <c r="M95" s="213">
        <v>49.47</v>
      </c>
      <c r="N95" s="213"/>
      <c r="O95" s="243" t="str">
        <f>VLOOKUP(Ruimtestaat[[#This Row],[Ruimte code]],Ruimtegroepen[#All],4,FALSE)</f>
        <v>L  (Lesruimte)</v>
      </c>
      <c r="P95" s="214"/>
      <c r="Q95" s="215">
        <v>40</v>
      </c>
      <c r="R95" s="215" t="s">
        <v>2</v>
      </c>
      <c r="S95" s="215">
        <f>IF(R95&gt;0,IF(RIGHT(Ruimtestaat[[#This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5" s="215">
        <f>IF(S95&gt;0,VLOOKUP($J95,Ruimtegroepen[],3,FALSE)*VLOOKUP($K95,Vloersoorten[],3,FALSE)*VLOOKUP($R95,Frequenties[],3,FALSE)*VLOOKUP($A95,Locaties[],3,FALSE),0)</f>
        <v>0</v>
      </c>
      <c r="U95" s="215">
        <f>Ruimtestaat[[#This Row],[Uitvoeringen werkdagen]]*Ruimtestaat[[#This Row],[Oppervlak (netto)]]</f>
        <v>9894</v>
      </c>
      <c r="V95" s="259">
        <f>IF(T95&gt;0,Ruimtestaat[[#This Row],[Prest. (m2 /jaar) werkdagen]]/Ruimtestaat[[#This Row],[Norm (m2/uur) werkdagen]],0)</f>
        <v>0</v>
      </c>
      <c r="W95" s="260">
        <f>Ruimtestaat[[#This Row],[uren / jaar werkdagen]]*Tariefsopbouw!$D$38</f>
        <v>0</v>
      </c>
      <c r="X95" s="33"/>
      <c r="Y95" s="33">
        <f>IF(Ruimtestaat[[#This Row],[Frequentie weekend]]&gt;0,VALUE(LEFT(X95,1))*Q95,0)</f>
        <v>0</v>
      </c>
      <c r="Z95" s="33">
        <f>IF($Y95&gt;0,VLOOKUP($J95,Ruimtegroepen[],3,FALSE)*VLOOKUP($K95,Vloersoorten[],3,FALSE)*VLOOKUP($X95,Frequenties[],3,FALSE)*VLOOKUP(#REF!,Locaties[],3,FALSE),0)</f>
        <v>0</v>
      </c>
      <c r="AA95" s="33"/>
      <c r="AB95" s="33"/>
      <c r="AC95" s="33">
        <f>Ruimtestaat[[#This Row],[uren / jaar weekend]]*Tariefsopbouw!$D$40</f>
        <v>0</v>
      </c>
      <c r="AD95" s="88">
        <f>Ruimtestaat[[#This Row],[Prest. (m2 /jaar) weekend]]+Ruimtestaat[[#This Row],[Prest. (m2 /jaar) werkdagen]]</f>
        <v>9894</v>
      </c>
      <c r="AE95" s="88">
        <f>Ruimtestaat[[#This Row],[uren / jaar weekend]]+Ruimtestaat[[#This Row],[uren / jaar werkdagen]]</f>
        <v>0</v>
      </c>
      <c r="AF95" s="89">
        <f>Ruimtestaat[[#This Row],[kosten / jaar weekend]]+Ruimtestaat[[#This Row],[kosten / jaar werkdagen]]</f>
        <v>0</v>
      </c>
      <c r="HK95" s="87"/>
    </row>
    <row r="96" spans="1:219" ht="15" customHeight="1">
      <c r="A96" s="129">
        <v>1</v>
      </c>
      <c r="B96" s="21" t="str">
        <f>VLOOKUP(Ruimtestaat[[#This Row],[Code]],Locaties[#All],2,FALSE)</f>
        <v>PXC Aalderinkshoek</v>
      </c>
      <c r="C96" s="21" t="str">
        <f>VLOOKUP(Ruimtestaat[[#This Row],[Code]],Locaties[#All],4,FALSE)</f>
        <v>Cesar Frankstraat 4</v>
      </c>
      <c r="D96" s="21" t="str">
        <f>VLOOKUP(Ruimtestaat[[#This Row],[Code]],Locaties[#All],5,FALSE)</f>
        <v>7604 JG</v>
      </c>
      <c r="E96" s="200" t="str">
        <f>VLOOKUP(Ruimtestaat[[#This Row],[Code]],Locaties[#All],6,FALSE)</f>
        <v>Almelo</v>
      </c>
      <c r="F96" s="244"/>
      <c r="G96" s="200" t="s">
        <v>533</v>
      </c>
      <c r="H96" s="200" t="s">
        <v>570</v>
      </c>
      <c r="I96" s="244" t="s">
        <v>469</v>
      </c>
      <c r="J96" s="200">
        <v>6</v>
      </c>
      <c r="K96" s="200" t="s">
        <v>110</v>
      </c>
      <c r="L96" s="200" t="s">
        <v>132</v>
      </c>
      <c r="M96" s="213">
        <v>11.38</v>
      </c>
      <c r="N96" s="213"/>
      <c r="O96" s="243" t="str">
        <f>VLOOKUP(Ruimtestaat[[#This Row],[Ruimte code]],Ruimtegroepen[#All],4,FALSE)</f>
        <v>V  (Verkeersruimte)</v>
      </c>
      <c r="P96" s="214"/>
      <c r="Q96" s="215">
        <v>40</v>
      </c>
      <c r="R96" s="215" t="s">
        <v>2</v>
      </c>
      <c r="S96" s="215">
        <f>IF(R96&gt;0,IF(RIGHT(Ruimtestaat[[#This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6" s="215">
        <f>IF(S96&gt;0,VLOOKUP($J96,Ruimtegroepen[],3,FALSE)*VLOOKUP($K96,Vloersoorten[],3,FALSE)*VLOOKUP($R96,Frequenties[],3,FALSE)*VLOOKUP($A96,Locaties[],3,FALSE),0)</f>
        <v>0</v>
      </c>
      <c r="U96" s="215">
        <f>Ruimtestaat[[#This Row],[Uitvoeringen werkdagen]]*Ruimtestaat[[#This Row],[Oppervlak (netto)]]</f>
        <v>2276</v>
      </c>
      <c r="V96" s="259">
        <f>IF(T96&gt;0,Ruimtestaat[[#This Row],[Prest. (m2 /jaar) werkdagen]]/Ruimtestaat[[#This Row],[Norm (m2/uur) werkdagen]],0)</f>
        <v>0</v>
      </c>
      <c r="W96" s="260">
        <f>Ruimtestaat[[#This Row],[uren / jaar werkdagen]]*Tariefsopbouw!$D$38</f>
        <v>0</v>
      </c>
      <c r="X96" s="33"/>
      <c r="Y96" s="33">
        <f>IF(Ruimtestaat[[#This Row],[Frequentie weekend]]&gt;0,VALUE(LEFT(X96,1))*Q96,0)</f>
        <v>0</v>
      </c>
      <c r="Z96" s="33">
        <f>IF($Y96&gt;0,VLOOKUP($J96,Ruimtegroepen[],3,FALSE)*VLOOKUP($K96,Vloersoorten[],3,FALSE)*VLOOKUP($X96,Frequenties[],3,FALSE)*VLOOKUP(#REF!,Locaties[],3,FALSE),0)</f>
        <v>0</v>
      </c>
      <c r="AA96" s="33"/>
      <c r="AB96" s="33"/>
      <c r="AC96" s="33">
        <f>Ruimtestaat[[#This Row],[uren / jaar weekend]]*Tariefsopbouw!$D$40</f>
        <v>0</v>
      </c>
      <c r="AD96" s="88">
        <f>Ruimtestaat[[#This Row],[Prest. (m2 /jaar) weekend]]+Ruimtestaat[[#This Row],[Prest. (m2 /jaar) werkdagen]]</f>
        <v>2276</v>
      </c>
      <c r="AE96" s="88">
        <f>Ruimtestaat[[#This Row],[uren / jaar weekend]]+Ruimtestaat[[#This Row],[uren / jaar werkdagen]]</f>
        <v>0</v>
      </c>
      <c r="AF96" s="89">
        <f>Ruimtestaat[[#This Row],[kosten / jaar weekend]]+Ruimtestaat[[#This Row],[kosten / jaar werkdagen]]</f>
        <v>0</v>
      </c>
      <c r="HK96" s="87"/>
    </row>
    <row r="97" spans="1:219" ht="15" customHeight="1">
      <c r="A97" s="129">
        <v>1</v>
      </c>
      <c r="B97" s="21" t="str">
        <f>VLOOKUP(Ruimtestaat[[#This Row],[Code]],Locaties[#All],2,FALSE)</f>
        <v>PXC Aalderinkshoek</v>
      </c>
      <c r="C97" s="21" t="str">
        <f>VLOOKUP(Ruimtestaat[[#This Row],[Code]],Locaties[#All],4,FALSE)</f>
        <v>Cesar Frankstraat 4</v>
      </c>
      <c r="D97" s="21" t="str">
        <f>VLOOKUP(Ruimtestaat[[#This Row],[Code]],Locaties[#All],5,FALSE)</f>
        <v>7604 JG</v>
      </c>
      <c r="E97" s="200" t="str">
        <f>VLOOKUP(Ruimtestaat[[#This Row],[Code]],Locaties[#All],6,FALSE)</f>
        <v>Almelo</v>
      </c>
      <c r="F97" s="244"/>
      <c r="G97" s="200" t="s">
        <v>533</v>
      </c>
      <c r="H97" s="261" t="s">
        <v>571</v>
      </c>
      <c r="I97" s="244" t="s">
        <v>455</v>
      </c>
      <c r="J97" s="200">
        <v>10</v>
      </c>
      <c r="K97" s="200" t="s">
        <v>111</v>
      </c>
      <c r="L97" s="200" t="s">
        <v>128</v>
      </c>
      <c r="M97" s="213">
        <v>11.55</v>
      </c>
      <c r="N97" s="213"/>
      <c r="O97" s="243" t="str">
        <f>VLOOKUP(Ruimtestaat[[#This Row],[Ruimte code]],Ruimtegroepen[#All],4,FALSE)</f>
        <v>V  (Verkeersruimte)</v>
      </c>
      <c r="P97" s="214"/>
      <c r="Q97" s="215">
        <v>40</v>
      </c>
      <c r="R97" s="215" t="s">
        <v>2</v>
      </c>
      <c r="S97" s="215">
        <f>IF(R97&gt;0,IF(RIGHT(Ruimtestaat[[#This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7" s="215">
        <f>IF(S97&gt;0,VLOOKUP($J97,Ruimtegroepen[],3,FALSE)*VLOOKUP($K97,Vloersoorten[],3,FALSE)*VLOOKUP($R97,Frequenties[],3,FALSE)*VLOOKUP($A97,Locaties[],3,FALSE),0)</f>
        <v>0</v>
      </c>
      <c r="U97" s="215">
        <f>Ruimtestaat[[#This Row],[Uitvoeringen werkdagen]]*Ruimtestaat[[#This Row],[Oppervlak (netto)]]</f>
        <v>2310</v>
      </c>
      <c r="V97" s="259">
        <f>IF(T97&gt;0,Ruimtestaat[[#This Row],[Prest. (m2 /jaar) werkdagen]]/Ruimtestaat[[#This Row],[Norm (m2/uur) werkdagen]],0)</f>
        <v>0</v>
      </c>
      <c r="W97" s="260">
        <f>Ruimtestaat[[#This Row],[uren / jaar werkdagen]]*Tariefsopbouw!$D$38</f>
        <v>0</v>
      </c>
      <c r="X97" s="33"/>
      <c r="Y97" s="33">
        <f>IF(Ruimtestaat[[#This Row],[Frequentie weekend]]&gt;0,VALUE(LEFT(X97,1))*Q97,0)</f>
        <v>0</v>
      </c>
      <c r="Z97" s="33">
        <f>IF($Y97&gt;0,VLOOKUP($J97,Ruimtegroepen[],3,FALSE)*VLOOKUP($K97,Vloersoorten[],3,FALSE)*VLOOKUP($X97,Frequenties[],3,FALSE)*VLOOKUP(#REF!,Locaties[],3,FALSE),0)</f>
        <v>0</v>
      </c>
      <c r="AA97" s="33"/>
      <c r="AB97" s="33"/>
      <c r="AC97" s="33">
        <f>Ruimtestaat[[#This Row],[uren / jaar weekend]]*Tariefsopbouw!$D$40</f>
        <v>0</v>
      </c>
      <c r="AD97" s="88">
        <f>Ruimtestaat[[#This Row],[Prest. (m2 /jaar) weekend]]+Ruimtestaat[[#This Row],[Prest. (m2 /jaar) werkdagen]]</f>
        <v>2310</v>
      </c>
      <c r="AE97" s="88">
        <f>Ruimtestaat[[#This Row],[uren / jaar weekend]]+Ruimtestaat[[#This Row],[uren / jaar werkdagen]]</f>
        <v>0</v>
      </c>
      <c r="AF97" s="89">
        <f>Ruimtestaat[[#This Row],[kosten / jaar weekend]]+Ruimtestaat[[#This Row],[kosten / jaar werkdagen]]</f>
        <v>0</v>
      </c>
      <c r="HK97" s="87"/>
    </row>
    <row r="98" spans="1:219" ht="15" customHeight="1">
      <c r="A98" s="129">
        <v>1</v>
      </c>
      <c r="B98" s="21" t="str">
        <f>VLOOKUP(Ruimtestaat[[#This Row],[Code]],Locaties[#All],2,FALSE)</f>
        <v>PXC Aalderinkshoek</v>
      </c>
      <c r="C98" s="21" t="str">
        <f>VLOOKUP(Ruimtestaat[[#This Row],[Code]],Locaties[#All],4,FALSE)</f>
        <v>Cesar Frankstraat 4</v>
      </c>
      <c r="D98" s="21" t="str">
        <f>VLOOKUP(Ruimtestaat[[#This Row],[Code]],Locaties[#All],5,FALSE)</f>
        <v>7604 JG</v>
      </c>
      <c r="E98" s="200" t="str">
        <f>VLOOKUP(Ruimtestaat[[#This Row],[Code]],Locaties[#All],6,FALSE)</f>
        <v>Almelo</v>
      </c>
      <c r="F98" s="244"/>
      <c r="G98" s="200" t="s">
        <v>533</v>
      </c>
      <c r="H98" s="200" t="s">
        <v>572</v>
      </c>
      <c r="I98" s="244" t="s">
        <v>573</v>
      </c>
      <c r="J98" s="215">
        <v>20</v>
      </c>
      <c r="K98" s="215" t="s">
        <v>110</v>
      </c>
      <c r="L98" s="200" t="s">
        <v>132</v>
      </c>
      <c r="M98" s="213">
        <v>33.869999999999997</v>
      </c>
      <c r="N98" s="213"/>
      <c r="O98" s="243" t="str">
        <f>VLOOKUP(Ruimtestaat[[#This Row],[Ruimte code]],Ruimtegroepen[#All],4,FALSE)</f>
        <v>V  (Verkeersruimte)</v>
      </c>
      <c r="P98" s="214"/>
      <c r="Q98" s="215">
        <v>40</v>
      </c>
      <c r="R98" s="215" t="s">
        <v>15</v>
      </c>
      <c r="S98" s="215">
        <f>IF(R98&gt;0,IF(RIGHT(Ruimtestaat[[#This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98" s="215">
        <f>IF(S98&gt;0,VLOOKUP($J98,Ruimtegroepen[],3,FALSE)*VLOOKUP($K98,Vloersoorten[],3,FALSE)*VLOOKUP($R98,Frequenties[],3,FALSE)*VLOOKUP($A98,Locaties[],3,FALSE),0)</f>
        <v>0</v>
      </c>
      <c r="U98" s="215">
        <f>Ruimtestaat[[#This Row],[Uitvoeringen werkdagen]]*Ruimtestaat[[#This Row],[Oppervlak (netto)]]</f>
        <v>1354.8</v>
      </c>
      <c r="V98" s="259">
        <f>IF(T98&gt;0,Ruimtestaat[[#This Row],[Prest. (m2 /jaar) werkdagen]]/Ruimtestaat[[#This Row],[Norm (m2/uur) werkdagen]],0)</f>
        <v>0</v>
      </c>
      <c r="W98" s="260">
        <f>Ruimtestaat[[#This Row],[uren / jaar werkdagen]]*Tariefsopbouw!$D$38</f>
        <v>0</v>
      </c>
      <c r="X98" s="33"/>
      <c r="Y98" s="33">
        <f>IF(Ruimtestaat[[#This Row],[Frequentie weekend]]&gt;0,VALUE(LEFT(X98,1))*Q98,0)</f>
        <v>0</v>
      </c>
      <c r="Z98" s="33">
        <f>IF($Y98&gt;0,VLOOKUP($J98,Ruimtegroepen[],3,FALSE)*VLOOKUP($K98,Vloersoorten[],3,FALSE)*VLOOKUP($X98,Frequenties[],3,FALSE)*VLOOKUP(#REF!,Locaties[],3,FALSE),0)</f>
        <v>0</v>
      </c>
      <c r="AA98" s="33"/>
      <c r="AB98" s="33"/>
      <c r="AC98" s="33">
        <f>Ruimtestaat[[#This Row],[uren / jaar weekend]]*Tariefsopbouw!$D$40</f>
        <v>0</v>
      </c>
      <c r="AD98" s="88">
        <f>Ruimtestaat[[#This Row],[Prest. (m2 /jaar) weekend]]+Ruimtestaat[[#This Row],[Prest. (m2 /jaar) werkdagen]]</f>
        <v>1354.8</v>
      </c>
      <c r="AE98" s="88">
        <f>Ruimtestaat[[#This Row],[uren / jaar weekend]]+Ruimtestaat[[#This Row],[uren / jaar werkdagen]]</f>
        <v>0</v>
      </c>
      <c r="AF98" s="89">
        <f>Ruimtestaat[[#This Row],[kosten / jaar weekend]]+Ruimtestaat[[#This Row],[kosten / jaar werkdagen]]</f>
        <v>0</v>
      </c>
      <c r="HK98" s="87"/>
    </row>
    <row r="99" spans="1:219" ht="15" customHeight="1">
      <c r="A99" s="129">
        <v>1</v>
      </c>
      <c r="B99" s="21" t="str">
        <f>VLOOKUP(Ruimtestaat[[#This Row],[Code]],Locaties[#All],2,FALSE)</f>
        <v>PXC Aalderinkshoek</v>
      </c>
      <c r="C99" s="21" t="str">
        <f>VLOOKUP(Ruimtestaat[[#This Row],[Code]],Locaties[#All],4,FALSE)</f>
        <v>Cesar Frankstraat 4</v>
      </c>
      <c r="D99" s="21" t="str">
        <f>VLOOKUP(Ruimtestaat[[#This Row],[Code]],Locaties[#All],5,FALSE)</f>
        <v>7604 JG</v>
      </c>
      <c r="E99" s="200" t="str">
        <f>VLOOKUP(Ruimtestaat[[#This Row],[Code]],Locaties[#All],6,FALSE)</f>
        <v>Almelo</v>
      </c>
      <c r="F99" s="244"/>
      <c r="G99" s="200" t="s">
        <v>533</v>
      </c>
      <c r="H99" s="200" t="s">
        <v>574</v>
      </c>
      <c r="I99" s="244" t="s">
        <v>575</v>
      </c>
      <c r="J99" s="215">
        <v>11</v>
      </c>
      <c r="K99" s="200" t="s">
        <v>110</v>
      </c>
      <c r="L99" s="200" t="s">
        <v>132</v>
      </c>
      <c r="M99" s="213">
        <v>113.14</v>
      </c>
      <c r="N99" s="213"/>
      <c r="O99" s="243" t="str">
        <f>VLOOKUP(Ruimtestaat[[#This Row],[Ruimte code]],Ruimtegroepen[#All],4,FALSE)</f>
        <v>L  (Lesruimte)</v>
      </c>
      <c r="P99" s="214"/>
      <c r="Q99" s="215">
        <v>40</v>
      </c>
      <c r="R99" s="215" t="s">
        <v>2</v>
      </c>
      <c r="S99" s="215">
        <f>IF(R99&gt;0,IF(RIGHT(Ruimtestaat[[#This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99" s="215">
        <f>IF(S99&gt;0,VLOOKUP($J99,Ruimtegroepen[],3,FALSE)*VLOOKUP($K99,Vloersoorten[],3,FALSE)*VLOOKUP($R99,Frequenties[],3,FALSE)*VLOOKUP($A99,Locaties[],3,FALSE),0)</f>
        <v>0</v>
      </c>
      <c r="U99" s="215">
        <f>Ruimtestaat[[#This Row],[Uitvoeringen werkdagen]]*Ruimtestaat[[#This Row],[Oppervlak (netto)]]</f>
        <v>22628</v>
      </c>
      <c r="V99" s="259">
        <f>IF(T99&gt;0,Ruimtestaat[[#This Row],[Prest. (m2 /jaar) werkdagen]]/Ruimtestaat[[#This Row],[Norm (m2/uur) werkdagen]],0)</f>
        <v>0</v>
      </c>
      <c r="W99" s="260">
        <f>Ruimtestaat[[#This Row],[uren / jaar werkdagen]]*Tariefsopbouw!$D$38</f>
        <v>0</v>
      </c>
      <c r="X99" s="33"/>
      <c r="Y99" s="33">
        <f>IF(Ruimtestaat[[#This Row],[Frequentie weekend]]&gt;0,VALUE(LEFT(X99,1))*Q99,0)</f>
        <v>0</v>
      </c>
      <c r="Z99" s="33">
        <f>IF($Y99&gt;0,VLOOKUP($J99,Ruimtegroepen[],3,FALSE)*VLOOKUP($K99,Vloersoorten[],3,FALSE)*VLOOKUP($X99,Frequenties[],3,FALSE)*VLOOKUP(#REF!,Locaties[],3,FALSE),0)</f>
        <v>0</v>
      </c>
      <c r="AA99" s="33"/>
      <c r="AB99" s="33"/>
      <c r="AC99" s="33">
        <f>Ruimtestaat[[#This Row],[uren / jaar weekend]]*Tariefsopbouw!$D$40</f>
        <v>0</v>
      </c>
      <c r="AD99" s="88">
        <f>Ruimtestaat[[#This Row],[Prest. (m2 /jaar) weekend]]+Ruimtestaat[[#This Row],[Prest. (m2 /jaar) werkdagen]]</f>
        <v>22628</v>
      </c>
      <c r="AE99" s="88">
        <f>Ruimtestaat[[#This Row],[uren / jaar weekend]]+Ruimtestaat[[#This Row],[uren / jaar werkdagen]]</f>
        <v>0</v>
      </c>
      <c r="AF99" s="89">
        <f>Ruimtestaat[[#This Row],[kosten / jaar weekend]]+Ruimtestaat[[#This Row],[kosten / jaar werkdagen]]</f>
        <v>0</v>
      </c>
      <c r="HK99" s="87"/>
    </row>
    <row r="100" spans="1:219" ht="15" customHeight="1">
      <c r="A100" s="129">
        <v>1</v>
      </c>
      <c r="B100" s="21" t="str">
        <f>VLOOKUP(Ruimtestaat[[#This Row],[Code]],Locaties[#All],2,FALSE)</f>
        <v>PXC Aalderinkshoek</v>
      </c>
      <c r="C100" s="21" t="str">
        <f>VLOOKUP(Ruimtestaat[[#This Row],[Code]],Locaties[#All],4,FALSE)</f>
        <v>Cesar Frankstraat 4</v>
      </c>
      <c r="D100" s="21" t="str">
        <f>VLOOKUP(Ruimtestaat[[#This Row],[Code]],Locaties[#All],5,FALSE)</f>
        <v>7604 JG</v>
      </c>
      <c r="E100" s="200" t="str">
        <f>VLOOKUP(Ruimtestaat[[#This Row],[Code]],Locaties[#All],6,FALSE)</f>
        <v>Almelo</v>
      </c>
      <c r="F100" s="244"/>
      <c r="G100" s="200" t="s">
        <v>533</v>
      </c>
      <c r="H100" s="200" t="s">
        <v>576</v>
      </c>
      <c r="I100" s="244" t="s">
        <v>577</v>
      </c>
      <c r="J100" s="200">
        <v>2</v>
      </c>
      <c r="K100" s="200" t="s">
        <v>1040</v>
      </c>
      <c r="L100" s="200" t="s">
        <v>999</v>
      </c>
      <c r="M100" s="213">
        <v>37.15</v>
      </c>
      <c r="N100" s="213"/>
      <c r="O100" s="243" t="str">
        <f>VLOOKUP(Ruimtestaat[[#This Row],[Ruimte code]],Ruimtegroepen[#All],4,FALSE)</f>
        <v>B  (Bureauruimte)</v>
      </c>
      <c r="P100" s="214"/>
      <c r="Q100" s="215">
        <v>40</v>
      </c>
      <c r="R100" s="215" t="s">
        <v>17</v>
      </c>
      <c r="S100" s="215">
        <f>IF(R100&gt;0,IF(RIGHT(Ruimtestaat[[#This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0" s="215">
        <f>IF(S100&gt;0,VLOOKUP($J100,Ruimtegroepen[],3,FALSE)*VLOOKUP($K100,Vloersoorten[],3,FALSE)*VLOOKUP($R100,Frequenties[],3,FALSE)*VLOOKUP($A100,Locaties[],3,FALSE),0)</f>
        <v>0</v>
      </c>
      <c r="U100" s="215">
        <f>Ruimtestaat[[#This Row],[Uitvoeringen werkdagen]]*Ruimtestaat[[#This Row],[Oppervlak (netto)]]</f>
        <v>2972</v>
      </c>
      <c r="V100" s="259">
        <f>IF(T100&gt;0,Ruimtestaat[[#This Row],[Prest. (m2 /jaar) werkdagen]]/Ruimtestaat[[#This Row],[Norm (m2/uur) werkdagen]],0)</f>
        <v>0</v>
      </c>
      <c r="W100" s="260">
        <f>Ruimtestaat[[#This Row],[uren / jaar werkdagen]]*Tariefsopbouw!$D$38</f>
        <v>0</v>
      </c>
      <c r="X100" s="33"/>
      <c r="Y100" s="33">
        <f>IF(Ruimtestaat[[#This Row],[Frequentie weekend]]&gt;0,VALUE(LEFT(X100,1))*Q100,0)</f>
        <v>0</v>
      </c>
      <c r="Z100" s="33">
        <f>IF($Y100&gt;0,VLOOKUP($J100,Ruimtegroepen[],3,FALSE)*VLOOKUP($K100,Vloersoorten[],3,FALSE)*VLOOKUP($X100,Frequenties[],3,FALSE)*VLOOKUP(#REF!,Locaties[],3,FALSE),0)</f>
        <v>0</v>
      </c>
      <c r="AA100" s="33"/>
      <c r="AB100" s="33"/>
      <c r="AC100" s="33">
        <f>Ruimtestaat[[#This Row],[uren / jaar weekend]]*Tariefsopbouw!$D$40</f>
        <v>0</v>
      </c>
      <c r="AD100" s="88">
        <f>Ruimtestaat[[#This Row],[Prest. (m2 /jaar) weekend]]+Ruimtestaat[[#This Row],[Prest. (m2 /jaar) werkdagen]]</f>
        <v>2972</v>
      </c>
      <c r="AE100" s="88">
        <f>Ruimtestaat[[#This Row],[uren / jaar weekend]]+Ruimtestaat[[#This Row],[uren / jaar werkdagen]]</f>
        <v>0</v>
      </c>
      <c r="AF100" s="89">
        <f>Ruimtestaat[[#This Row],[kosten / jaar weekend]]+Ruimtestaat[[#This Row],[kosten / jaar werkdagen]]</f>
        <v>0</v>
      </c>
      <c r="HK100" s="87"/>
    </row>
    <row r="101" spans="1:219" ht="15" customHeight="1">
      <c r="A101" s="129">
        <v>1</v>
      </c>
      <c r="B101" s="21" t="str">
        <f>VLOOKUP(Ruimtestaat[[#This Row],[Code]],Locaties[#All],2,FALSE)</f>
        <v>PXC Aalderinkshoek</v>
      </c>
      <c r="C101" s="21" t="str">
        <f>VLOOKUP(Ruimtestaat[[#This Row],[Code]],Locaties[#All],4,FALSE)</f>
        <v>Cesar Frankstraat 4</v>
      </c>
      <c r="D101" s="21" t="str">
        <f>VLOOKUP(Ruimtestaat[[#This Row],[Code]],Locaties[#All],5,FALSE)</f>
        <v>7604 JG</v>
      </c>
      <c r="E101" s="200" t="str">
        <f>VLOOKUP(Ruimtestaat[[#This Row],[Code]],Locaties[#All],6,FALSE)</f>
        <v>Almelo</v>
      </c>
      <c r="F101" s="244"/>
      <c r="G101" s="200" t="s">
        <v>533</v>
      </c>
      <c r="H101" s="200" t="s">
        <v>578</v>
      </c>
      <c r="I101" s="244" t="s">
        <v>579</v>
      </c>
      <c r="J101" s="200">
        <v>2</v>
      </c>
      <c r="K101" s="200" t="s">
        <v>1040</v>
      </c>
      <c r="L101" s="200" t="s">
        <v>999</v>
      </c>
      <c r="M101" s="213">
        <v>51.23</v>
      </c>
      <c r="N101" s="202"/>
      <c r="O101" s="243" t="str">
        <f>VLOOKUP(Ruimtestaat[[#This Row],[Ruimte code]],Ruimtegroepen[#All],4,FALSE)</f>
        <v>B  (Bureauruimte)</v>
      </c>
      <c r="P101" s="214"/>
      <c r="Q101" s="215">
        <v>40</v>
      </c>
      <c r="R101" s="215" t="s">
        <v>17</v>
      </c>
      <c r="S101" s="215">
        <f>IF(R101&gt;0,IF(RIGHT(Ruimtestaat[[#This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1" s="215">
        <f>IF(S101&gt;0,VLOOKUP($J101,Ruimtegroepen[],3,FALSE)*VLOOKUP($K101,Vloersoorten[],3,FALSE)*VLOOKUP($R101,Frequenties[],3,FALSE)*VLOOKUP($A101,Locaties[],3,FALSE),0)</f>
        <v>0</v>
      </c>
      <c r="U101" s="215">
        <f>Ruimtestaat[[#This Row],[Uitvoeringen werkdagen]]*Ruimtestaat[[#This Row],[Oppervlak (netto)]]</f>
        <v>4098.3999999999996</v>
      </c>
      <c r="V101" s="259">
        <f>IF(T101&gt;0,Ruimtestaat[[#This Row],[Prest. (m2 /jaar) werkdagen]]/Ruimtestaat[[#This Row],[Norm (m2/uur) werkdagen]],0)</f>
        <v>0</v>
      </c>
      <c r="W101" s="260">
        <f>Ruimtestaat[[#This Row],[uren / jaar werkdagen]]*Tariefsopbouw!$D$38</f>
        <v>0</v>
      </c>
      <c r="X101" s="33"/>
      <c r="Y101" s="33">
        <f>IF(Ruimtestaat[[#This Row],[Frequentie weekend]]&gt;0,VALUE(LEFT(X101,1))*Q101,0)</f>
        <v>0</v>
      </c>
      <c r="Z101" s="33">
        <f>IF($Y101&gt;0,VLOOKUP($J101,Ruimtegroepen[],3,FALSE)*VLOOKUP($K101,Vloersoorten[],3,FALSE)*VLOOKUP($X101,Frequenties[],3,FALSE)*VLOOKUP(#REF!,Locaties[],3,FALSE),0)</f>
        <v>0</v>
      </c>
      <c r="AA101" s="33"/>
      <c r="AB101" s="33"/>
      <c r="AC101" s="33">
        <f>Ruimtestaat[[#This Row],[uren / jaar weekend]]*Tariefsopbouw!$D$40</f>
        <v>0</v>
      </c>
      <c r="AD101" s="88">
        <f>Ruimtestaat[[#This Row],[Prest. (m2 /jaar) weekend]]+Ruimtestaat[[#This Row],[Prest. (m2 /jaar) werkdagen]]</f>
        <v>4098.3999999999996</v>
      </c>
      <c r="AE101" s="88">
        <f>Ruimtestaat[[#This Row],[uren / jaar weekend]]+Ruimtestaat[[#This Row],[uren / jaar werkdagen]]</f>
        <v>0</v>
      </c>
      <c r="AF101" s="89">
        <f>Ruimtestaat[[#This Row],[kosten / jaar weekend]]+Ruimtestaat[[#This Row],[kosten / jaar werkdagen]]</f>
        <v>0</v>
      </c>
      <c r="HK101" s="87"/>
    </row>
    <row r="102" spans="1:219" ht="15" customHeight="1">
      <c r="A102" s="129">
        <v>1</v>
      </c>
      <c r="B102" s="21" t="str">
        <f>VLOOKUP(Ruimtestaat[[#This Row],[Code]],Locaties[#All],2,FALSE)</f>
        <v>PXC Aalderinkshoek</v>
      </c>
      <c r="C102" s="21" t="str">
        <f>VLOOKUP(Ruimtestaat[[#This Row],[Code]],Locaties[#All],4,FALSE)</f>
        <v>Cesar Frankstraat 4</v>
      </c>
      <c r="D102" s="21" t="str">
        <f>VLOOKUP(Ruimtestaat[[#This Row],[Code]],Locaties[#All],5,FALSE)</f>
        <v>7604 JG</v>
      </c>
      <c r="E102" s="200" t="str">
        <f>VLOOKUP(Ruimtestaat[[#This Row],[Code]],Locaties[#All],6,FALSE)</f>
        <v>Almelo</v>
      </c>
      <c r="F102" s="244"/>
      <c r="G102" s="200" t="s">
        <v>533</v>
      </c>
      <c r="H102" s="200" t="s">
        <v>580</v>
      </c>
      <c r="I102" s="244" t="s">
        <v>581</v>
      </c>
      <c r="J102" s="200">
        <v>13</v>
      </c>
      <c r="K102" s="200" t="s">
        <v>110</v>
      </c>
      <c r="L102" s="200" t="s">
        <v>132</v>
      </c>
      <c r="M102" s="213">
        <v>22.55</v>
      </c>
      <c r="N102" s="202"/>
      <c r="O102" s="243" t="str">
        <f>VLOOKUP(Ruimtestaat[[#This Row],[Ruimte code]],Ruimtegroepen[#All],4,FALSE)</f>
        <v>V  (Verkeersruimte)</v>
      </c>
      <c r="P102" s="214"/>
      <c r="Q102" s="215">
        <v>40</v>
      </c>
      <c r="R102" s="215" t="s">
        <v>2</v>
      </c>
      <c r="S102" s="215">
        <f>IF(R102&gt;0,IF(RIGHT(Ruimtestaat[[#This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2" s="215">
        <f>IF(S102&gt;0,VLOOKUP($J102,Ruimtegroepen[],3,FALSE)*VLOOKUP($K102,Vloersoorten[],3,FALSE)*VLOOKUP($R102,Frequenties[],3,FALSE)*VLOOKUP($A102,Locaties[],3,FALSE),0)</f>
        <v>0</v>
      </c>
      <c r="U102" s="215">
        <f>Ruimtestaat[[#This Row],[Uitvoeringen werkdagen]]*Ruimtestaat[[#This Row],[Oppervlak (netto)]]</f>
        <v>4510</v>
      </c>
      <c r="V102" s="259">
        <f>IF(T102&gt;0,Ruimtestaat[[#This Row],[Prest. (m2 /jaar) werkdagen]]/Ruimtestaat[[#This Row],[Norm (m2/uur) werkdagen]],0)</f>
        <v>0</v>
      </c>
      <c r="W102" s="260">
        <f>Ruimtestaat[[#This Row],[uren / jaar werkdagen]]*Tariefsopbouw!$D$38</f>
        <v>0</v>
      </c>
      <c r="X102" s="33"/>
      <c r="Y102" s="33">
        <f>IF(Ruimtestaat[[#This Row],[Frequentie weekend]]&gt;0,VALUE(LEFT(X102,1))*Q102,0)</f>
        <v>0</v>
      </c>
      <c r="Z102" s="33">
        <f>IF($Y102&gt;0,VLOOKUP($J102,Ruimtegroepen[],3,FALSE)*VLOOKUP($K102,Vloersoorten[],3,FALSE)*VLOOKUP($X102,Frequenties[],3,FALSE)*VLOOKUP(#REF!,Locaties[],3,FALSE),0)</f>
        <v>0</v>
      </c>
      <c r="AA102" s="33"/>
      <c r="AB102" s="33"/>
      <c r="AC102" s="33">
        <f>Ruimtestaat[[#This Row],[uren / jaar weekend]]*Tariefsopbouw!$D$40</f>
        <v>0</v>
      </c>
      <c r="AD102" s="88">
        <f>Ruimtestaat[[#This Row],[Prest. (m2 /jaar) weekend]]+Ruimtestaat[[#This Row],[Prest. (m2 /jaar) werkdagen]]</f>
        <v>4510</v>
      </c>
      <c r="AE102" s="88">
        <f>Ruimtestaat[[#This Row],[uren / jaar weekend]]+Ruimtestaat[[#This Row],[uren / jaar werkdagen]]</f>
        <v>0</v>
      </c>
      <c r="AF102" s="89">
        <f>Ruimtestaat[[#This Row],[kosten / jaar weekend]]+Ruimtestaat[[#This Row],[kosten / jaar werkdagen]]</f>
        <v>0</v>
      </c>
      <c r="HK102" s="87"/>
    </row>
    <row r="103" spans="1:219" ht="15" customHeight="1">
      <c r="A103" s="129">
        <v>1</v>
      </c>
      <c r="B103" s="21" t="str">
        <f>VLOOKUP(Ruimtestaat[[#This Row],[Code]],Locaties[#All],2,FALSE)</f>
        <v>PXC Aalderinkshoek</v>
      </c>
      <c r="C103" s="21" t="str">
        <f>VLOOKUP(Ruimtestaat[[#This Row],[Code]],Locaties[#All],4,FALSE)</f>
        <v>Cesar Frankstraat 4</v>
      </c>
      <c r="D103" s="21" t="str">
        <f>VLOOKUP(Ruimtestaat[[#This Row],[Code]],Locaties[#All],5,FALSE)</f>
        <v>7604 JG</v>
      </c>
      <c r="E103" s="200" t="str">
        <f>VLOOKUP(Ruimtestaat[[#This Row],[Code]],Locaties[#All],6,FALSE)</f>
        <v>Almelo</v>
      </c>
      <c r="F103" s="244"/>
      <c r="G103" s="200" t="s">
        <v>533</v>
      </c>
      <c r="H103" s="200" t="s">
        <v>582</v>
      </c>
      <c r="I103" s="244" t="s">
        <v>583</v>
      </c>
      <c r="J103" s="200">
        <v>2</v>
      </c>
      <c r="K103" s="200" t="s">
        <v>1040</v>
      </c>
      <c r="L103" s="200" t="s">
        <v>999</v>
      </c>
      <c r="M103" s="213">
        <v>24.64</v>
      </c>
      <c r="N103" s="213"/>
      <c r="O103" s="243" t="str">
        <f>VLOOKUP(Ruimtestaat[[#This Row],[Ruimte code]],Ruimtegroepen[#All],4,FALSE)</f>
        <v>B  (Bureauruimte)</v>
      </c>
      <c r="P103" s="214"/>
      <c r="Q103" s="215">
        <v>40</v>
      </c>
      <c r="R103" s="215" t="s">
        <v>17</v>
      </c>
      <c r="S103" s="215">
        <f>IF(R103&gt;0,IF(RIGHT(Ruimtestaat[[#This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3" s="215">
        <f>IF(S103&gt;0,VLOOKUP($J103,Ruimtegroepen[],3,FALSE)*VLOOKUP($K103,Vloersoorten[],3,FALSE)*VLOOKUP($R103,Frequenties[],3,FALSE)*VLOOKUP($A103,Locaties[],3,FALSE),0)</f>
        <v>0</v>
      </c>
      <c r="U103" s="215">
        <f>Ruimtestaat[[#This Row],[Uitvoeringen werkdagen]]*Ruimtestaat[[#This Row],[Oppervlak (netto)]]</f>
        <v>1971.2</v>
      </c>
      <c r="V103" s="259">
        <f>IF(T103&gt;0,Ruimtestaat[[#This Row],[Prest. (m2 /jaar) werkdagen]]/Ruimtestaat[[#This Row],[Norm (m2/uur) werkdagen]],0)</f>
        <v>0</v>
      </c>
      <c r="W103" s="260">
        <f>Ruimtestaat[[#This Row],[uren / jaar werkdagen]]*Tariefsopbouw!$D$38</f>
        <v>0</v>
      </c>
      <c r="X103" s="33"/>
      <c r="Y103" s="33">
        <f>IF(Ruimtestaat[[#This Row],[Frequentie weekend]]&gt;0,VALUE(LEFT(X103,1))*Q103,0)</f>
        <v>0</v>
      </c>
      <c r="Z103" s="33">
        <f>IF($Y103&gt;0,VLOOKUP($J103,Ruimtegroepen[],3,FALSE)*VLOOKUP($K103,Vloersoorten[],3,FALSE)*VLOOKUP($X103,Frequenties[],3,FALSE)*VLOOKUP(#REF!,Locaties[],3,FALSE),0)</f>
        <v>0</v>
      </c>
      <c r="AA103" s="33"/>
      <c r="AB103" s="33"/>
      <c r="AC103" s="33">
        <f>Ruimtestaat[[#This Row],[uren / jaar weekend]]*Tariefsopbouw!$D$40</f>
        <v>0</v>
      </c>
      <c r="AD103" s="88">
        <f>Ruimtestaat[[#This Row],[Prest. (m2 /jaar) weekend]]+Ruimtestaat[[#This Row],[Prest. (m2 /jaar) werkdagen]]</f>
        <v>1971.2</v>
      </c>
      <c r="AE103" s="88">
        <f>Ruimtestaat[[#This Row],[uren / jaar weekend]]+Ruimtestaat[[#This Row],[uren / jaar werkdagen]]</f>
        <v>0</v>
      </c>
      <c r="AF103" s="89">
        <f>Ruimtestaat[[#This Row],[kosten / jaar weekend]]+Ruimtestaat[[#This Row],[kosten / jaar werkdagen]]</f>
        <v>0</v>
      </c>
      <c r="HK103" s="87"/>
    </row>
    <row r="104" spans="1:219" ht="15" customHeight="1">
      <c r="A104" s="129">
        <v>1</v>
      </c>
      <c r="B104" s="21" t="str">
        <f>VLOOKUP(Ruimtestaat[[#This Row],[Code]],Locaties[#All],2,FALSE)</f>
        <v>PXC Aalderinkshoek</v>
      </c>
      <c r="C104" s="21" t="str">
        <f>VLOOKUP(Ruimtestaat[[#This Row],[Code]],Locaties[#All],4,FALSE)</f>
        <v>Cesar Frankstraat 4</v>
      </c>
      <c r="D104" s="21" t="str">
        <f>VLOOKUP(Ruimtestaat[[#This Row],[Code]],Locaties[#All],5,FALSE)</f>
        <v>7604 JG</v>
      </c>
      <c r="E104" s="200" t="str">
        <f>VLOOKUP(Ruimtestaat[[#This Row],[Code]],Locaties[#All],6,FALSE)</f>
        <v>Almelo</v>
      </c>
      <c r="F104" s="244"/>
      <c r="G104" s="200" t="s">
        <v>533</v>
      </c>
      <c r="H104" s="200" t="s">
        <v>584</v>
      </c>
      <c r="I104" s="244" t="s">
        <v>585</v>
      </c>
      <c r="J104" s="200">
        <v>1</v>
      </c>
      <c r="K104" s="215" t="s">
        <v>110</v>
      </c>
      <c r="L104" s="200" t="s">
        <v>132</v>
      </c>
      <c r="M104" s="213">
        <v>23.86</v>
      </c>
      <c r="N104" s="213"/>
      <c r="O104" s="243" t="str">
        <f>VLOOKUP(Ruimtestaat[[#This Row],[Ruimte code]],Ruimtegroepen[#All],4,FALSE)</f>
        <v>V  (Verkeersruimte)</v>
      </c>
      <c r="P104" s="214"/>
      <c r="Q104" s="215">
        <v>40</v>
      </c>
      <c r="R104" s="215" t="s">
        <v>16</v>
      </c>
      <c r="S104" s="215">
        <f>IF(R104&gt;0,IF(RIGHT(Ruimtestaat[[#This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04" s="215">
        <f>IF(S104&gt;0,VLOOKUP($J104,Ruimtegroepen[],3,FALSE)*VLOOKUP($K104,Vloersoorten[],3,FALSE)*VLOOKUP($R104,Frequenties[],3,FALSE)*VLOOKUP($A104,Locaties[],3,FALSE),0)</f>
        <v>0</v>
      </c>
      <c r="U104" s="215">
        <f>Ruimtestaat[[#This Row],[Uitvoeringen werkdagen]]*Ruimtestaat[[#This Row],[Oppervlak (netto)]]</f>
        <v>286.32</v>
      </c>
      <c r="V104" s="259">
        <f>IF(T104&gt;0,Ruimtestaat[[#This Row],[Prest. (m2 /jaar) werkdagen]]/Ruimtestaat[[#This Row],[Norm (m2/uur) werkdagen]],0)</f>
        <v>0</v>
      </c>
      <c r="W104" s="260">
        <f>Ruimtestaat[[#This Row],[uren / jaar werkdagen]]*Tariefsopbouw!$D$38</f>
        <v>0</v>
      </c>
      <c r="X104" s="33"/>
      <c r="Y104" s="33">
        <f>IF(Ruimtestaat[[#This Row],[Frequentie weekend]]&gt;0,VALUE(LEFT(X104,1))*Q104,0)</f>
        <v>0</v>
      </c>
      <c r="Z104" s="33">
        <f>IF($Y104&gt;0,VLOOKUP($J104,Ruimtegroepen[],3,FALSE)*VLOOKUP($K104,Vloersoorten[],3,FALSE)*VLOOKUP($X104,Frequenties[],3,FALSE)*VLOOKUP(#REF!,Locaties[],3,FALSE),0)</f>
        <v>0</v>
      </c>
      <c r="AA104" s="33"/>
      <c r="AB104" s="33"/>
      <c r="AC104" s="33">
        <f>Ruimtestaat[[#This Row],[uren / jaar weekend]]*Tariefsopbouw!$D$40</f>
        <v>0</v>
      </c>
      <c r="AD104" s="88">
        <f>Ruimtestaat[[#This Row],[Prest. (m2 /jaar) weekend]]+Ruimtestaat[[#This Row],[Prest. (m2 /jaar) werkdagen]]</f>
        <v>286.32</v>
      </c>
      <c r="AE104" s="88">
        <f>Ruimtestaat[[#This Row],[uren / jaar weekend]]+Ruimtestaat[[#This Row],[uren / jaar werkdagen]]</f>
        <v>0</v>
      </c>
      <c r="AF104" s="89">
        <f>Ruimtestaat[[#This Row],[kosten / jaar weekend]]+Ruimtestaat[[#This Row],[kosten / jaar werkdagen]]</f>
        <v>0</v>
      </c>
      <c r="HK104" s="87"/>
    </row>
    <row r="105" spans="1:219" ht="15" customHeight="1">
      <c r="A105" s="129">
        <v>1</v>
      </c>
      <c r="B105" s="21" t="str">
        <f>VLOOKUP(Ruimtestaat[[#This Row],[Code]],Locaties[#All],2,FALSE)</f>
        <v>PXC Aalderinkshoek</v>
      </c>
      <c r="C105" s="21" t="str">
        <f>VLOOKUP(Ruimtestaat[[#This Row],[Code]],Locaties[#All],4,FALSE)</f>
        <v>Cesar Frankstraat 4</v>
      </c>
      <c r="D105" s="21" t="str">
        <f>VLOOKUP(Ruimtestaat[[#This Row],[Code]],Locaties[#All],5,FALSE)</f>
        <v>7604 JG</v>
      </c>
      <c r="E105" s="200" t="str">
        <f>VLOOKUP(Ruimtestaat[[#This Row],[Code]],Locaties[#All],6,FALSE)</f>
        <v>Almelo</v>
      </c>
      <c r="F105" s="244"/>
      <c r="G105" s="200" t="s">
        <v>533</v>
      </c>
      <c r="H105" s="200" t="s">
        <v>586</v>
      </c>
      <c r="I105" s="244" t="s">
        <v>587</v>
      </c>
      <c r="J105" s="200">
        <v>1</v>
      </c>
      <c r="K105" s="215" t="s">
        <v>110</v>
      </c>
      <c r="L105" s="200" t="s">
        <v>132</v>
      </c>
      <c r="M105" s="213">
        <v>23.86</v>
      </c>
      <c r="N105" s="213"/>
      <c r="O105" s="243" t="str">
        <f>VLOOKUP(Ruimtestaat[[#This Row],[Ruimte code]],Ruimtegroepen[#All],4,FALSE)</f>
        <v>V  (Verkeersruimte)</v>
      </c>
      <c r="P105" s="214"/>
      <c r="Q105" s="215">
        <v>40</v>
      </c>
      <c r="R105" s="215" t="s">
        <v>16</v>
      </c>
      <c r="S105" s="215">
        <f>IF(R105&gt;0,IF(RIGHT(Ruimtestaat[[#This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05" s="215">
        <f>IF(S105&gt;0,VLOOKUP($J105,Ruimtegroepen[],3,FALSE)*VLOOKUP($K105,Vloersoorten[],3,FALSE)*VLOOKUP($R105,Frequenties[],3,FALSE)*VLOOKUP($A105,Locaties[],3,FALSE),0)</f>
        <v>0</v>
      </c>
      <c r="U105" s="215">
        <f>Ruimtestaat[[#This Row],[Uitvoeringen werkdagen]]*Ruimtestaat[[#This Row],[Oppervlak (netto)]]</f>
        <v>286.32</v>
      </c>
      <c r="V105" s="259">
        <f>IF(T105&gt;0,Ruimtestaat[[#This Row],[Prest. (m2 /jaar) werkdagen]]/Ruimtestaat[[#This Row],[Norm (m2/uur) werkdagen]],0)</f>
        <v>0</v>
      </c>
      <c r="W105" s="260">
        <f>Ruimtestaat[[#This Row],[uren / jaar werkdagen]]*Tariefsopbouw!$D$38</f>
        <v>0</v>
      </c>
      <c r="X105" s="33"/>
      <c r="Y105" s="33">
        <f>IF(Ruimtestaat[[#This Row],[Frequentie weekend]]&gt;0,VALUE(LEFT(X105,1))*Q105,0)</f>
        <v>0</v>
      </c>
      <c r="Z105" s="33">
        <f>IF($Y105&gt;0,VLOOKUP($J105,Ruimtegroepen[],3,FALSE)*VLOOKUP($K105,Vloersoorten[],3,FALSE)*VLOOKUP($X105,Frequenties[],3,FALSE)*VLOOKUP(#REF!,Locaties[],3,FALSE),0)</f>
        <v>0</v>
      </c>
      <c r="AA105" s="33"/>
      <c r="AB105" s="33"/>
      <c r="AC105" s="33">
        <f>Ruimtestaat[[#This Row],[uren / jaar weekend]]*Tariefsopbouw!$D$40</f>
        <v>0</v>
      </c>
      <c r="AD105" s="88">
        <f>Ruimtestaat[[#This Row],[Prest. (m2 /jaar) weekend]]+Ruimtestaat[[#This Row],[Prest. (m2 /jaar) werkdagen]]</f>
        <v>286.32</v>
      </c>
      <c r="AE105" s="88">
        <f>Ruimtestaat[[#This Row],[uren / jaar weekend]]+Ruimtestaat[[#This Row],[uren / jaar werkdagen]]</f>
        <v>0</v>
      </c>
      <c r="AF105" s="89">
        <f>Ruimtestaat[[#This Row],[kosten / jaar weekend]]+Ruimtestaat[[#This Row],[kosten / jaar werkdagen]]</f>
        <v>0</v>
      </c>
      <c r="HK105" s="87"/>
    </row>
    <row r="106" spans="1:219" ht="15" customHeight="1">
      <c r="A106" s="129">
        <v>1</v>
      </c>
      <c r="B106" s="21" t="str">
        <f>VLOOKUP(Ruimtestaat[[#This Row],[Code]],Locaties[#All],2,FALSE)</f>
        <v>PXC Aalderinkshoek</v>
      </c>
      <c r="C106" s="21" t="str">
        <f>VLOOKUP(Ruimtestaat[[#This Row],[Code]],Locaties[#All],4,FALSE)</f>
        <v>Cesar Frankstraat 4</v>
      </c>
      <c r="D106" s="21" t="str">
        <f>VLOOKUP(Ruimtestaat[[#This Row],[Code]],Locaties[#All],5,FALSE)</f>
        <v>7604 JG</v>
      </c>
      <c r="E106" s="200" t="str">
        <f>VLOOKUP(Ruimtestaat[[#This Row],[Code]],Locaties[#All],6,FALSE)</f>
        <v>Almelo</v>
      </c>
      <c r="F106" s="244"/>
      <c r="G106" s="200" t="s">
        <v>533</v>
      </c>
      <c r="H106" s="200" t="s">
        <v>588</v>
      </c>
      <c r="I106" s="244" t="s">
        <v>487</v>
      </c>
      <c r="J106" s="200">
        <v>2</v>
      </c>
      <c r="K106" s="200" t="s">
        <v>1040</v>
      </c>
      <c r="L106" s="200" t="s">
        <v>999</v>
      </c>
      <c r="M106" s="213">
        <v>24.45</v>
      </c>
      <c r="N106" s="213"/>
      <c r="O106" s="243" t="str">
        <f>VLOOKUP(Ruimtestaat[[#This Row],[Ruimte code]],Ruimtegroepen[#All],4,FALSE)</f>
        <v>B  (Bureauruimte)</v>
      </c>
      <c r="P106" s="214"/>
      <c r="Q106" s="215">
        <v>40</v>
      </c>
      <c r="R106" s="215" t="s">
        <v>17</v>
      </c>
      <c r="S106" s="215">
        <f>IF(R106&gt;0,IF(RIGHT(Ruimtestaat[[#This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6" s="215">
        <f>IF(S106&gt;0,VLOOKUP($J106,Ruimtegroepen[],3,FALSE)*VLOOKUP($K106,Vloersoorten[],3,FALSE)*VLOOKUP($R106,Frequenties[],3,FALSE)*VLOOKUP($A106,Locaties[],3,FALSE),0)</f>
        <v>0</v>
      </c>
      <c r="U106" s="215">
        <f>Ruimtestaat[[#This Row],[Uitvoeringen werkdagen]]*Ruimtestaat[[#This Row],[Oppervlak (netto)]]</f>
        <v>1956</v>
      </c>
      <c r="V106" s="259">
        <f>IF(T106&gt;0,Ruimtestaat[[#This Row],[Prest. (m2 /jaar) werkdagen]]/Ruimtestaat[[#This Row],[Norm (m2/uur) werkdagen]],0)</f>
        <v>0</v>
      </c>
      <c r="W106" s="260">
        <f>Ruimtestaat[[#This Row],[uren / jaar werkdagen]]*Tariefsopbouw!$D$38</f>
        <v>0</v>
      </c>
      <c r="X106" s="33"/>
      <c r="Y106" s="33">
        <f>IF(Ruimtestaat[[#This Row],[Frequentie weekend]]&gt;0,VALUE(LEFT(X106,1))*Q106,0)</f>
        <v>0</v>
      </c>
      <c r="Z106" s="33">
        <f>IF($Y106&gt;0,VLOOKUP($J106,Ruimtegroepen[],3,FALSE)*VLOOKUP($K106,Vloersoorten[],3,FALSE)*VLOOKUP($X106,Frequenties[],3,FALSE)*VLOOKUP(#REF!,Locaties[],3,FALSE),0)</f>
        <v>0</v>
      </c>
      <c r="AA106" s="33"/>
      <c r="AB106" s="33"/>
      <c r="AC106" s="33">
        <f>Ruimtestaat[[#This Row],[uren / jaar weekend]]*Tariefsopbouw!$D$40</f>
        <v>0</v>
      </c>
      <c r="AD106" s="88">
        <f>Ruimtestaat[[#This Row],[Prest. (m2 /jaar) weekend]]+Ruimtestaat[[#This Row],[Prest. (m2 /jaar) werkdagen]]</f>
        <v>1956</v>
      </c>
      <c r="AE106" s="88">
        <f>Ruimtestaat[[#This Row],[uren / jaar weekend]]+Ruimtestaat[[#This Row],[uren / jaar werkdagen]]</f>
        <v>0</v>
      </c>
      <c r="AF106" s="89">
        <f>Ruimtestaat[[#This Row],[kosten / jaar weekend]]+Ruimtestaat[[#This Row],[kosten / jaar werkdagen]]</f>
        <v>0</v>
      </c>
      <c r="HK106" s="87"/>
    </row>
    <row r="107" spans="1:219" ht="15" customHeight="1">
      <c r="A107" s="129">
        <v>1</v>
      </c>
      <c r="B107" s="21" t="str">
        <f>VLOOKUP(Ruimtestaat[[#This Row],[Code]],Locaties[#All],2,FALSE)</f>
        <v>PXC Aalderinkshoek</v>
      </c>
      <c r="C107" s="21" t="str">
        <f>VLOOKUP(Ruimtestaat[[#This Row],[Code]],Locaties[#All],4,FALSE)</f>
        <v>Cesar Frankstraat 4</v>
      </c>
      <c r="D107" s="21" t="str">
        <f>VLOOKUP(Ruimtestaat[[#This Row],[Code]],Locaties[#All],5,FALSE)</f>
        <v>7604 JG</v>
      </c>
      <c r="E107" s="200" t="str">
        <f>VLOOKUP(Ruimtestaat[[#This Row],[Code]],Locaties[#All],6,FALSE)</f>
        <v>Almelo</v>
      </c>
      <c r="F107" s="244"/>
      <c r="G107" s="200" t="s">
        <v>533</v>
      </c>
      <c r="H107" s="200" t="s">
        <v>589</v>
      </c>
      <c r="I107" s="244" t="s">
        <v>457</v>
      </c>
      <c r="J107" s="200">
        <v>10</v>
      </c>
      <c r="K107" s="200" t="s">
        <v>111</v>
      </c>
      <c r="L107" s="200" t="s">
        <v>128</v>
      </c>
      <c r="M107" s="213">
        <v>1.79</v>
      </c>
      <c r="N107" s="213"/>
      <c r="O107" s="243" t="str">
        <f>VLOOKUP(Ruimtestaat[[#This Row],[Ruimte code]],Ruimtegroepen[#All],4,FALSE)</f>
        <v>V  (Verkeersruimte)</v>
      </c>
      <c r="P107" s="214"/>
      <c r="Q107" s="215">
        <v>40</v>
      </c>
      <c r="R107" s="215" t="s">
        <v>2</v>
      </c>
      <c r="S107" s="215">
        <f>IF(R107&gt;0,IF(RIGHT(Ruimtestaat[[#This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07" s="215">
        <f>IF(S107&gt;0,VLOOKUP($J107,Ruimtegroepen[],3,FALSE)*VLOOKUP($K107,Vloersoorten[],3,FALSE)*VLOOKUP($R107,Frequenties[],3,FALSE)*VLOOKUP($A107,Locaties[],3,FALSE),0)</f>
        <v>0</v>
      </c>
      <c r="U107" s="215">
        <f>Ruimtestaat[[#This Row],[Uitvoeringen werkdagen]]*Ruimtestaat[[#This Row],[Oppervlak (netto)]]</f>
        <v>358</v>
      </c>
      <c r="V107" s="259">
        <f>IF(T107&gt;0,Ruimtestaat[[#This Row],[Prest. (m2 /jaar) werkdagen]]/Ruimtestaat[[#This Row],[Norm (m2/uur) werkdagen]],0)</f>
        <v>0</v>
      </c>
      <c r="W107" s="260">
        <f>Ruimtestaat[[#This Row],[uren / jaar werkdagen]]*Tariefsopbouw!$D$38</f>
        <v>0</v>
      </c>
      <c r="X107" s="33"/>
      <c r="Y107" s="33">
        <f>IF(Ruimtestaat[[#This Row],[Frequentie weekend]]&gt;0,VALUE(LEFT(X107,1))*Q107,0)</f>
        <v>0</v>
      </c>
      <c r="Z107" s="33">
        <f>IF($Y107&gt;0,VLOOKUP($J107,Ruimtegroepen[],3,FALSE)*VLOOKUP($K107,Vloersoorten[],3,FALSE)*VLOOKUP($X107,Frequenties[],3,FALSE)*VLOOKUP(#REF!,Locaties[],3,FALSE),0)</f>
        <v>0</v>
      </c>
      <c r="AA107" s="33"/>
      <c r="AB107" s="33"/>
      <c r="AC107" s="33">
        <f>Ruimtestaat[[#This Row],[uren / jaar weekend]]*Tariefsopbouw!$D$40</f>
        <v>0</v>
      </c>
      <c r="AD107" s="88">
        <f>Ruimtestaat[[#This Row],[Prest. (m2 /jaar) weekend]]+Ruimtestaat[[#This Row],[Prest. (m2 /jaar) werkdagen]]</f>
        <v>358</v>
      </c>
      <c r="AE107" s="88">
        <f>Ruimtestaat[[#This Row],[uren / jaar weekend]]+Ruimtestaat[[#This Row],[uren / jaar werkdagen]]</f>
        <v>0</v>
      </c>
      <c r="AF107" s="89">
        <f>Ruimtestaat[[#This Row],[kosten / jaar weekend]]+Ruimtestaat[[#This Row],[kosten / jaar werkdagen]]</f>
        <v>0</v>
      </c>
      <c r="HK107" s="87"/>
    </row>
    <row r="108" spans="1:219" ht="15" customHeight="1">
      <c r="A108" s="129">
        <v>1</v>
      </c>
      <c r="B108" s="21" t="str">
        <f>VLOOKUP(Ruimtestaat[[#This Row],[Code]],Locaties[#All],2,FALSE)</f>
        <v>PXC Aalderinkshoek</v>
      </c>
      <c r="C108" s="21" t="str">
        <f>VLOOKUP(Ruimtestaat[[#This Row],[Code]],Locaties[#All],4,FALSE)</f>
        <v>Cesar Frankstraat 4</v>
      </c>
      <c r="D108" s="21" t="str">
        <f>VLOOKUP(Ruimtestaat[[#This Row],[Code]],Locaties[#All],5,FALSE)</f>
        <v>7604 JG</v>
      </c>
      <c r="E108" s="200" t="str">
        <f>VLOOKUP(Ruimtestaat[[#This Row],[Code]],Locaties[#All],6,FALSE)</f>
        <v>Almelo</v>
      </c>
      <c r="F108" s="244"/>
      <c r="G108" s="200" t="s">
        <v>590</v>
      </c>
      <c r="H108" s="200" t="s">
        <v>591</v>
      </c>
      <c r="I108" s="244" t="s">
        <v>583</v>
      </c>
      <c r="J108" s="200">
        <v>2</v>
      </c>
      <c r="K108" s="200" t="s">
        <v>1040</v>
      </c>
      <c r="L108" s="200" t="s">
        <v>999</v>
      </c>
      <c r="M108" s="213">
        <v>24.5</v>
      </c>
      <c r="N108" s="213"/>
      <c r="O108" s="243" t="str">
        <f>VLOOKUP(Ruimtestaat[[#This Row],[Ruimte code]],Ruimtegroepen[#All],4,FALSE)</f>
        <v>B  (Bureauruimte)</v>
      </c>
      <c r="P108" s="214"/>
      <c r="Q108" s="215">
        <v>40</v>
      </c>
      <c r="R108" s="215" t="s">
        <v>17</v>
      </c>
      <c r="S108" s="215">
        <f>IF(R108&gt;0,IF(RIGHT(Ruimtestaat[[#This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8" s="215">
        <f>IF(S108&gt;0,VLOOKUP($J108,Ruimtegroepen[],3,FALSE)*VLOOKUP($K108,Vloersoorten[],3,FALSE)*VLOOKUP($R108,Frequenties[],3,FALSE)*VLOOKUP($A108,Locaties[],3,FALSE),0)</f>
        <v>0</v>
      </c>
      <c r="U108" s="215">
        <f>Ruimtestaat[[#This Row],[Uitvoeringen werkdagen]]*Ruimtestaat[[#This Row],[Oppervlak (netto)]]</f>
        <v>1960</v>
      </c>
      <c r="V108" s="259">
        <f>IF(T108&gt;0,Ruimtestaat[[#This Row],[Prest. (m2 /jaar) werkdagen]]/Ruimtestaat[[#This Row],[Norm (m2/uur) werkdagen]],0)</f>
        <v>0</v>
      </c>
      <c r="W108" s="260">
        <f>Ruimtestaat[[#This Row],[uren / jaar werkdagen]]*Tariefsopbouw!$D$38</f>
        <v>0</v>
      </c>
      <c r="X108" s="33"/>
      <c r="Y108" s="33">
        <f>IF(Ruimtestaat[[#This Row],[Frequentie weekend]]&gt;0,VALUE(LEFT(X108,1))*Q108,0)</f>
        <v>0</v>
      </c>
      <c r="Z108" s="33">
        <f>IF($Y108&gt;0,VLOOKUP($J108,Ruimtegroepen[],3,FALSE)*VLOOKUP($K108,Vloersoorten[],3,FALSE)*VLOOKUP($X108,Frequenties[],3,FALSE)*VLOOKUP(#REF!,Locaties[],3,FALSE),0)</f>
        <v>0</v>
      </c>
      <c r="AA108" s="33"/>
      <c r="AB108" s="33"/>
      <c r="AC108" s="33">
        <f>Ruimtestaat[[#This Row],[uren / jaar weekend]]*Tariefsopbouw!$D$40</f>
        <v>0</v>
      </c>
      <c r="AD108" s="88">
        <f>Ruimtestaat[[#This Row],[Prest. (m2 /jaar) weekend]]+Ruimtestaat[[#This Row],[Prest. (m2 /jaar) werkdagen]]</f>
        <v>1960</v>
      </c>
      <c r="AE108" s="88">
        <f>Ruimtestaat[[#This Row],[uren / jaar weekend]]+Ruimtestaat[[#This Row],[uren / jaar werkdagen]]</f>
        <v>0</v>
      </c>
      <c r="AF108" s="89">
        <f>Ruimtestaat[[#This Row],[kosten / jaar weekend]]+Ruimtestaat[[#This Row],[kosten / jaar werkdagen]]</f>
        <v>0</v>
      </c>
      <c r="HK108" s="87"/>
    </row>
    <row r="109" spans="1:219" ht="15" customHeight="1">
      <c r="A109" s="129">
        <v>1</v>
      </c>
      <c r="B109" s="21" t="str">
        <f>VLOOKUP(Ruimtestaat[[#This Row],[Code]],Locaties[#All],2,FALSE)</f>
        <v>PXC Aalderinkshoek</v>
      </c>
      <c r="C109" s="21" t="str">
        <f>VLOOKUP(Ruimtestaat[[#This Row],[Code]],Locaties[#All],4,FALSE)</f>
        <v>Cesar Frankstraat 4</v>
      </c>
      <c r="D109" s="21" t="str">
        <f>VLOOKUP(Ruimtestaat[[#This Row],[Code]],Locaties[#All],5,FALSE)</f>
        <v>7604 JG</v>
      </c>
      <c r="E109" s="200" t="str">
        <f>VLOOKUP(Ruimtestaat[[#This Row],[Code]],Locaties[#All],6,FALSE)</f>
        <v>Almelo</v>
      </c>
      <c r="F109" s="244"/>
      <c r="G109" s="200" t="s">
        <v>590</v>
      </c>
      <c r="H109" s="200" t="s">
        <v>592</v>
      </c>
      <c r="I109" s="244" t="s">
        <v>487</v>
      </c>
      <c r="J109" s="200">
        <v>2</v>
      </c>
      <c r="K109" s="200" t="s">
        <v>1040</v>
      </c>
      <c r="L109" s="200" t="s">
        <v>999</v>
      </c>
      <c r="M109" s="213">
        <v>22.55</v>
      </c>
      <c r="N109" s="213"/>
      <c r="O109" s="243" t="str">
        <f>VLOOKUP(Ruimtestaat[[#This Row],[Ruimte code]],Ruimtegroepen[#All],4,FALSE)</f>
        <v>B  (Bureauruimte)</v>
      </c>
      <c r="P109" s="214"/>
      <c r="Q109" s="215">
        <v>40</v>
      </c>
      <c r="R109" s="215" t="s">
        <v>17</v>
      </c>
      <c r="S109" s="215">
        <f>IF(R109&gt;0,IF(RIGHT(Ruimtestaat[[#This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09" s="215">
        <f>IF(S109&gt;0,VLOOKUP($J109,Ruimtegroepen[],3,FALSE)*VLOOKUP($K109,Vloersoorten[],3,FALSE)*VLOOKUP($R109,Frequenties[],3,FALSE)*VLOOKUP($A109,Locaties[],3,FALSE),0)</f>
        <v>0</v>
      </c>
      <c r="U109" s="215">
        <f>Ruimtestaat[[#This Row],[Uitvoeringen werkdagen]]*Ruimtestaat[[#This Row],[Oppervlak (netto)]]</f>
        <v>1804</v>
      </c>
      <c r="V109" s="259">
        <f>IF(T109&gt;0,Ruimtestaat[[#This Row],[Prest. (m2 /jaar) werkdagen]]/Ruimtestaat[[#This Row],[Norm (m2/uur) werkdagen]],0)</f>
        <v>0</v>
      </c>
      <c r="W109" s="260">
        <f>Ruimtestaat[[#This Row],[uren / jaar werkdagen]]*Tariefsopbouw!$D$38</f>
        <v>0</v>
      </c>
      <c r="X109" s="33"/>
      <c r="Y109" s="33">
        <f>IF(Ruimtestaat[[#This Row],[Frequentie weekend]]&gt;0,VALUE(LEFT(X109,1))*Q109,0)</f>
        <v>0</v>
      </c>
      <c r="Z109" s="33">
        <f>IF($Y109&gt;0,VLOOKUP($J109,Ruimtegroepen[],3,FALSE)*VLOOKUP($K109,Vloersoorten[],3,FALSE)*VLOOKUP($X109,Frequenties[],3,FALSE)*VLOOKUP(#REF!,Locaties[],3,FALSE),0)</f>
        <v>0</v>
      </c>
      <c r="AA109" s="33"/>
      <c r="AB109" s="33"/>
      <c r="AC109" s="33">
        <f>Ruimtestaat[[#This Row],[uren / jaar weekend]]*Tariefsopbouw!$D$40</f>
        <v>0</v>
      </c>
      <c r="AD109" s="88">
        <f>Ruimtestaat[[#This Row],[Prest. (m2 /jaar) weekend]]+Ruimtestaat[[#This Row],[Prest. (m2 /jaar) werkdagen]]</f>
        <v>1804</v>
      </c>
      <c r="AE109" s="88">
        <f>Ruimtestaat[[#This Row],[uren / jaar weekend]]+Ruimtestaat[[#This Row],[uren / jaar werkdagen]]</f>
        <v>0</v>
      </c>
      <c r="AF109" s="89">
        <f>Ruimtestaat[[#This Row],[kosten / jaar weekend]]+Ruimtestaat[[#This Row],[kosten / jaar werkdagen]]</f>
        <v>0</v>
      </c>
      <c r="HK109" s="87"/>
    </row>
    <row r="110" spans="1:219" ht="15" customHeight="1">
      <c r="A110" s="129">
        <v>1</v>
      </c>
      <c r="B110" s="21" t="str">
        <f>VLOOKUP(Ruimtestaat[[#This Row],[Code]],Locaties[#All],2,FALSE)</f>
        <v>PXC Aalderinkshoek</v>
      </c>
      <c r="C110" s="21" t="str">
        <f>VLOOKUP(Ruimtestaat[[#This Row],[Code]],Locaties[#All],4,FALSE)</f>
        <v>Cesar Frankstraat 4</v>
      </c>
      <c r="D110" s="21" t="str">
        <f>VLOOKUP(Ruimtestaat[[#This Row],[Code]],Locaties[#All],5,FALSE)</f>
        <v>7604 JG</v>
      </c>
      <c r="E110" s="200" t="str">
        <f>VLOOKUP(Ruimtestaat[[#This Row],[Code]],Locaties[#All],6,FALSE)</f>
        <v>Almelo</v>
      </c>
      <c r="F110" s="244"/>
      <c r="G110" s="200" t="s">
        <v>590</v>
      </c>
      <c r="H110" s="200" t="s">
        <v>593</v>
      </c>
      <c r="I110" s="244" t="s">
        <v>487</v>
      </c>
      <c r="J110" s="200">
        <v>2</v>
      </c>
      <c r="K110" s="200" t="s">
        <v>1040</v>
      </c>
      <c r="L110" s="200" t="s">
        <v>999</v>
      </c>
      <c r="M110" s="213">
        <v>22.92</v>
      </c>
      <c r="N110" s="213"/>
      <c r="O110" s="243" t="str">
        <f>VLOOKUP(Ruimtestaat[[#This Row],[Ruimte code]],Ruimtegroepen[#All],4,FALSE)</f>
        <v>B  (Bureauruimte)</v>
      </c>
      <c r="P110" s="214"/>
      <c r="Q110" s="215">
        <v>40</v>
      </c>
      <c r="R110" s="215" t="s">
        <v>17</v>
      </c>
      <c r="S110" s="215">
        <f>IF(R110&gt;0,IF(RIGHT(Ruimtestaat[[#This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10" s="215">
        <f>IF(S110&gt;0,VLOOKUP($J110,Ruimtegroepen[],3,FALSE)*VLOOKUP($K110,Vloersoorten[],3,FALSE)*VLOOKUP($R110,Frequenties[],3,FALSE)*VLOOKUP($A110,Locaties[],3,FALSE),0)</f>
        <v>0</v>
      </c>
      <c r="U110" s="215">
        <f>Ruimtestaat[[#This Row],[Uitvoeringen werkdagen]]*Ruimtestaat[[#This Row],[Oppervlak (netto)]]</f>
        <v>1833.6000000000001</v>
      </c>
      <c r="V110" s="259">
        <f>IF(T110&gt;0,Ruimtestaat[[#This Row],[Prest. (m2 /jaar) werkdagen]]/Ruimtestaat[[#This Row],[Norm (m2/uur) werkdagen]],0)</f>
        <v>0</v>
      </c>
      <c r="W110" s="260">
        <f>Ruimtestaat[[#This Row],[uren / jaar werkdagen]]*Tariefsopbouw!$D$38</f>
        <v>0</v>
      </c>
      <c r="X110" s="33"/>
      <c r="Y110" s="33">
        <f>IF(Ruimtestaat[[#This Row],[Frequentie weekend]]&gt;0,VALUE(LEFT(X110,1))*Q110,0)</f>
        <v>0</v>
      </c>
      <c r="Z110" s="33">
        <f>IF($Y110&gt;0,VLOOKUP($J110,Ruimtegroepen[],3,FALSE)*VLOOKUP($K110,Vloersoorten[],3,FALSE)*VLOOKUP($X110,Frequenties[],3,FALSE)*VLOOKUP(#REF!,Locaties[],3,FALSE),0)</f>
        <v>0</v>
      </c>
      <c r="AA110" s="33"/>
      <c r="AB110" s="33"/>
      <c r="AC110" s="33">
        <f>Ruimtestaat[[#This Row],[uren / jaar weekend]]*Tariefsopbouw!$D$40</f>
        <v>0</v>
      </c>
      <c r="AD110" s="88">
        <f>Ruimtestaat[[#This Row],[Prest. (m2 /jaar) weekend]]+Ruimtestaat[[#This Row],[Prest. (m2 /jaar) werkdagen]]</f>
        <v>1833.6000000000001</v>
      </c>
      <c r="AE110" s="88">
        <f>Ruimtestaat[[#This Row],[uren / jaar weekend]]+Ruimtestaat[[#This Row],[uren / jaar werkdagen]]</f>
        <v>0</v>
      </c>
      <c r="AF110" s="89">
        <f>Ruimtestaat[[#This Row],[kosten / jaar weekend]]+Ruimtestaat[[#This Row],[kosten / jaar werkdagen]]</f>
        <v>0</v>
      </c>
      <c r="HK110" s="87"/>
    </row>
    <row r="111" spans="1:219" ht="15" customHeight="1">
      <c r="A111" s="129">
        <v>1</v>
      </c>
      <c r="B111" s="21" t="str">
        <f>VLOOKUP(Ruimtestaat[[#This Row],[Code]],Locaties[#All],2,FALSE)</f>
        <v>PXC Aalderinkshoek</v>
      </c>
      <c r="C111" s="21" t="str">
        <f>VLOOKUP(Ruimtestaat[[#This Row],[Code]],Locaties[#All],4,FALSE)</f>
        <v>Cesar Frankstraat 4</v>
      </c>
      <c r="D111" s="21" t="str">
        <f>VLOOKUP(Ruimtestaat[[#This Row],[Code]],Locaties[#All],5,FALSE)</f>
        <v>7604 JG</v>
      </c>
      <c r="E111" s="200" t="str">
        <f>VLOOKUP(Ruimtestaat[[#This Row],[Code]],Locaties[#All],6,FALSE)</f>
        <v>Almelo</v>
      </c>
      <c r="F111" s="244"/>
      <c r="G111" s="200" t="s">
        <v>590</v>
      </c>
      <c r="H111" s="200" t="s">
        <v>594</v>
      </c>
      <c r="I111" s="244" t="s">
        <v>487</v>
      </c>
      <c r="J111" s="200">
        <v>2</v>
      </c>
      <c r="K111" s="200" t="s">
        <v>1040</v>
      </c>
      <c r="L111" s="200" t="s">
        <v>999</v>
      </c>
      <c r="M111" s="213">
        <v>22.24</v>
      </c>
      <c r="N111" s="213"/>
      <c r="O111" s="243" t="str">
        <f>VLOOKUP(Ruimtestaat[[#This Row],[Ruimte code]],Ruimtegroepen[#All],4,FALSE)</f>
        <v>B  (Bureauruimte)</v>
      </c>
      <c r="P111" s="214"/>
      <c r="Q111" s="215">
        <v>40</v>
      </c>
      <c r="R111" s="215" t="s">
        <v>17</v>
      </c>
      <c r="S111" s="215">
        <f>IF(R111&gt;0,IF(RIGHT(Ruimtestaat[[#This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11" s="215">
        <f>IF(S111&gt;0,VLOOKUP($J111,Ruimtegroepen[],3,FALSE)*VLOOKUP($K111,Vloersoorten[],3,FALSE)*VLOOKUP($R111,Frequenties[],3,FALSE)*VLOOKUP($A111,Locaties[],3,FALSE),0)</f>
        <v>0</v>
      </c>
      <c r="U111" s="215">
        <f>Ruimtestaat[[#This Row],[Uitvoeringen werkdagen]]*Ruimtestaat[[#This Row],[Oppervlak (netto)]]</f>
        <v>1779.1999999999998</v>
      </c>
      <c r="V111" s="259">
        <f>IF(T111&gt;0,Ruimtestaat[[#This Row],[Prest. (m2 /jaar) werkdagen]]/Ruimtestaat[[#This Row],[Norm (m2/uur) werkdagen]],0)</f>
        <v>0</v>
      </c>
      <c r="W111" s="260">
        <f>Ruimtestaat[[#This Row],[uren / jaar werkdagen]]*Tariefsopbouw!$D$38</f>
        <v>0</v>
      </c>
      <c r="X111" s="33"/>
      <c r="Y111" s="33">
        <f>IF(Ruimtestaat[[#This Row],[Frequentie weekend]]&gt;0,VALUE(LEFT(X111,1))*Q111,0)</f>
        <v>0</v>
      </c>
      <c r="Z111" s="33">
        <f>IF($Y111&gt;0,VLOOKUP($J111,Ruimtegroepen[],3,FALSE)*VLOOKUP($K111,Vloersoorten[],3,FALSE)*VLOOKUP($X111,Frequenties[],3,FALSE)*VLOOKUP(#REF!,Locaties[],3,FALSE),0)</f>
        <v>0</v>
      </c>
      <c r="AA111" s="33"/>
      <c r="AB111" s="33"/>
      <c r="AC111" s="33">
        <f>Ruimtestaat[[#This Row],[uren / jaar weekend]]*Tariefsopbouw!$D$40</f>
        <v>0</v>
      </c>
      <c r="AD111" s="88">
        <f>Ruimtestaat[[#This Row],[Prest. (m2 /jaar) weekend]]+Ruimtestaat[[#This Row],[Prest. (m2 /jaar) werkdagen]]</f>
        <v>1779.1999999999998</v>
      </c>
      <c r="AE111" s="88">
        <f>Ruimtestaat[[#This Row],[uren / jaar weekend]]+Ruimtestaat[[#This Row],[uren / jaar werkdagen]]</f>
        <v>0</v>
      </c>
      <c r="AF111" s="89">
        <f>Ruimtestaat[[#This Row],[kosten / jaar weekend]]+Ruimtestaat[[#This Row],[kosten / jaar werkdagen]]</f>
        <v>0</v>
      </c>
      <c r="HK111" s="87"/>
    </row>
    <row r="112" spans="1:219" ht="15" customHeight="1">
      <c r="A112" s="129">
        <v>1</v>
      </c>
      <c r="B112" s="21" t="str">
        <f>VLOOKUP(Ruimtestaat[[#This Row],[Code]],Locaties[#All],2,FALSE)</f>
        <v>PXC Aalderinkshoek</v>
      </c>
      <c r="C112" s="21" t="str">
        <f>VLOOKUP(Ruimtestaat[[#This Row],[Code]],Locaties[#All],4,FALSE)</f>
        <v>Cesar Frankstraat 4</v>
      </c>
      <c r="D112" s="21" t="str">
        <f>VLOOKUP(Ruimtestaat[[#This Row],[Code]],Locaties[#All],5,FALSE)</f>
        <v>7604 JG</v>
      </c>
      <c r="E112" s="200" t="str">
        <f>VLOOKUP(Ruimtestaat[[#This Row],[Code]],Locaties[#All],6,FALSE)</f>
        <v>Almelo</v>
      </c>
      <c r="F112" s="244"/>
      <c r="G112" s="200" t="s">
        <v>590</v>
      </c>
      <c r="H112" s="200" t="s">
        <v>595</v>
      </c>
      <c r="I112" s="244" t="s">
        <v>596</v>
      </c>
      <c r="J112" s="200">
        <v>5</v>
      </c>
      <c r="K112" s="215" t="s">
        <v>111</v>
      </c>
      <c r="L112" s="200" t="s">
        <v>1346</v>
      </c>
      <c r="M112" s="213">
        <v>4.26</v>
      </c>
      <c r="N112" s="213"/>
      <c r="O112" s="243" t="str">
        <f>VLOOKUP(Ruimtestaat[[#This Row],[Ruimte code]],Ruimtegroepen[#All],4,FALSE)</f>
        <v>S  (Sanitair)</v>
      </c>
      <c r="P112" s="214"/>
      <c r="Q112" s="215">
        <v>40</v>
      </c>
      <c r="R112" s="215" t="s">
        <v>2</v>
      </c>
      <c r="S112" s="215">
        <f>IF(R112&gt;0,IF(RIGHT(Ruimtestaat[[#This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2" s="215">
        <f>IF(S112&gt;0,VLOOKUP($J112,Ruimtegroepen[],3,FALSE)*VLOOKUP($K112,Vloersoorten[],3,FALSE)*VLOOKUP($R112,Frequenties[],3,FALSE)*VLOOKUP($A112,Locaties[],3,FALSE),0)</f>
        <v>0</v>
      </c>
      <c r="U112" s="215">
        <f>Ruimtestaat[[#This Row],[Uitvoeringen werkdagen]]*Ruimtestaat[[#This Row],[Oppervlak (netto)]]</f>
        <v>852</v>
      </c>
      <c r="V112" s="259">
        <f>IF(T112&gt;0,Ruimtestaat[[#This Row],[Prest. (m2 /jaar) werkdagen]]/Ruimtestaat[[#This Row],[Norm (m2/uur) werkdagen]],0)</f>
        <v>0</v>
      </c>
      <c r="W112" s="260">
        <f>Ruimtestaat[[#This Row],[uren / jaar werkdagen]]*Tariefsopbouw!$D$38</f>
        <v>0</v>
      </c>
      <c r="X112" s="33"/>
      <c r="Y112" s="33">
        <f>IF(Ruimtestaat[[#This Row],[Frequentie weekend]]&gt;0,VALUE(LEFT(X112,1))*Q112,0)</f>
        <v>0</v>
      </c>
      <c r="Z112" s="33">
        <f>IF($Y112&gt;0,VLOOKUP($J112,Ruimtegroepen[],3,FALSE)*VLOOKUP($K112,Vloersoorten[],3,FALSE)*VLOOKUP($X112,Frequenties[],3,FALSE)*VLOOKUP(#REF!,Locaties[],3,FALSE),0)</f>
        <v>0</v>
      </c>
      <c r="AA112" s="33"/>
      <c r="AB112" s="33"/>
      <c r="AC112" s="33">
        <f>Ruimtestaat[[#This Row],[uren / jaar weekend]]*Tariefsopbouw!$D$40</f>
        <v>0</v>
      </c>
      <c r="AD112" s="88">
        <f>Ruimtestaat[[#This Row],[Prest. (m2 /jaar) weekend]]+Ruimtestaat[[#This Row],[Prest. (m2 /jaar) werkdagen]]</f>
        <v>852</v>
      </c>
      <c r="AE112" s="88">
        <f>Ruimtestaat[[#This Row],[uren / jaar weekend]]+Ruimtestaat[[#This Row],[uren / jaar werkdagen]]</f>
        <v>0</v>
      </c>
      <c r="AF112" s="89">
        <f>Ruimtestaat[[#This Row],[kosten / jaar weekend]]+Ruimtestaat[[#This Row],[kosten / jaar werkdagen]]</f>
        <v>0</v>
      </c>
      <c r="HK112" s="87"/>
    </row>
    <row r="113" spans="1:219" ht="15" customHeight="1">
      <c r="A113" s="129">
        <v>1</v>
      </c>
      <c r="B113" s="21" t="str">
        <f>VLOOKUP(Ruimtestaat[[#This Row],[Code]],Locaties[#All],2,FALSE)</f>
        <v>PXC Aalderinkshoek</v>
      </c>
      <c r="C113" s="21" t="str">
        <f>VLOOKUP(Ruimtestaat[[#This Row],[Code]],Locaties[#All],4,FALSE)</f>
        <v>Cesar Frankstraat 4</v>
      </c>
      <c r="D113" s="21" t="str">
        <f>VLOOKUP(Ruimtestaat[[#This Row],[Code]],Locaties[#All],5,FALSE)</f>
        <v>7604 JG</v>
      </c>
      <c r="E113" s="200" t="str">
        <f>VLOOKUP(Ruimtestaat[[#This Row],[Code]],Locaties[#All],6,FALSE)</f>
        <v>Almelo</v>
      </c>
      <c r="F113" s="244"/>
      <c r="G113" s="200" t="s">
        <v>590</v>
      </c>
      <c r="H113" s="200" t="s">
        <v>597</v>
      </c>
      <c r="I113" s="244" t="s">
        <v>598</v>
      </c>
      <c r="J113" s="200">
        <v>5</v>
      </c>
      <c r="K113" s="215" t="s">
        <v>111</v>
      </c>
      <c r="L113" s="200" t="s">
        <v>1346</v>
      </c>
      <c r="M113" s="213">
        <v>7.15</v>
      </c>
      <c r="N113" s="213"/>
      <c r="O113" s="243" t="str">
        <f>VLOOKUP(Ruimtestaat[[#This Row],[Ruimte code]],Ruimtegroepen[#All],4,FALSE)</f>
        <v>S  (Sanitair)</v>
      </c>
      <c r="P113" s="214"/>
      <c r="Q113" s="215">
        <v>40</v>
      </c>
      <c r="R113" s="215" t="s">
        <v>2</v>
      </c>
      <c r="S113" s="215">
        <f>IF(R113&gt;0,IF(RIGHT(Ruimtestaat[[#This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3" s="215">
        <f>IF(S113&gt;0,VLOOKUP($J113,Ruimtegroepen[],3,FALSE)*VLOOKUP($K113,Vloersoorten[],3,FALSE)*VLOOKUP($R113,Frequenties[],3,FALSE)*VLOOKUP($A113,Locaties[],3,FALSE),0)</f>
        <v>0</v>
      </c>
      <c r="U113" s="215">
        <f>Ruimtestaat[[#This Row],[Uitvoeringen werkdagen]]*Ruimtestaat[[#This Row],[Oppervlak (netto)]]</f>
        <v>1430</v>
      </c>
      <c r="V113" s="259">
        <f>IF(T113&gt;0,Ruimtestaat[[#This Row],[Prest. (m2 /jaar) werkdagen]]/Ruimtestaat[[#This Row],[Norm (m2/uur) werkdagen]],0)</f>
        <v>0</v>
      </c>
      <c r="W113" s="260">
        <f>Ruimtestaat[[#This Row],[uren / jaar werkdagen]]*Tariefsopbouw!$D$38</f>
        <v>0</v>
      </c>
      <c r="X113" s="33"/>
      <c r="Y113" s="33">
        <f>IF(Ruimtestaat[[#This Row],[Frequentie weekend]]&gt;0,VALUE(LEFT(X113,1))*Q113,0)</f>
        <v>0</v>
      </c>
      <c r="Z113" s="33">
        <f>IF($Y113&gt;0,VLOOKUP($J113,Ruimtegroepen[],3,FALSE)*VLOOKUP($K113,Vloersoorten[],3,FALSE)*VLOOKUP($X113,Frequenties[],3,FALSE)*VLOOKUP(#REF!,Locaties[],3,FALSE),0)</f>
        <v>0</v>
      </c>
      <c r="AA113" s="33"/>
      <c r="AB113" s="33"/>
      <c r="AC113" s="33">
        <f>Ruimtestaat[[#This Row],[uren / jaar weekend]]*Tariefsopbouw!$D$40</f>
        <v>0</v>
      </c>
      <c r="AD113" s="88">
        <f>Ruimtestaat[[#This Row],[Prest. (m2 /jaar) weekend]]+Ruimtestaat[[#This Row],[Prest. (m2 /jaar) werkdagen]]</f>
        <v>1430</v>
      </c>
      <c r="AE113" s="88">
        <f>Ruimtestaat[[#This Row],[uren / jaar weekend]]+Ruimtestaat[[#This Row],[uren / jaar werkdagen]]</f>
        <v>0</v>
      </c>
      <c r="AF113" s="89">
        <f>Ruimtestaat[[#This Row],[kosten / jaar weekend]]+Ruimtestaat[[#This Row],[kosten / jaar werkdagen]]</f>
        <v>0</v>
      </c>
      <c r="HK113" s="87"/>
    </row>
    <row r="114" spans="1:219" ht="15" customHeight="1">
      <c r="A114" s="129">
        <v>1</v>
      </c>
      <c r="B114" s="21" t="str">
        <f>VLOOKUP(Ruimtestaat[[#This Row],[Code]],Locaties[#All],2,FALSE)</f>
        <v>PXC Aalderinkshoek</v>
      </c>
      <c r="C114" s="21" t="str">
        <f>VLOOKUP(Ruimtestaat[[#This Row],[Code]],Locaties[#All],4,FALSE)</f>
        <v>Cesar Frankstraat 4</v>
      </c>
      <c r="D114" s="21" t="str">
        <f>VLOOKUP(Ruimtestaat[[#This Row],[Code]],Locaties[#All],5,FALSE)</f>
        <v>7604 JG</v>
      </c>
      <c r="E114" s="200" t="str">
        <f>VLOOKUP(Ruimtestaat[[#This Row],[Code]],Locaties[#All],6,FALSE)</f>
        <v>Almelo</v>
      </c>
      <c r="F114" s="244"/>
      <c r="G114" s="200" t="s">
        <v>590</v>
      </c>
      <c r="H114" s="200" t="s">
        <v>599</v>
      </c>
      <c r="I114" s="244" t="s">
        <v>600</v>
      </c>
      <c r="J114" s="200">
        <v>5</v>
      </c>
      <c r="K114" s="215" t="s">
        <v>111</v>
      </c>
      <c r="L114" s="200" t="s">
        <v>1346</v>
      </c>
      <c r="M114" s="213">
        <v>10.01</v>
      </c>
      <c r="N114" s="213"/>
      <c r="O114" s="243" t="str">
        <f>VLOOKUP(Ruimtestaat[[#This Row],[Ruimte code]],Ruimtegroepen[#All],4,FALSE)</f>
        <v>S  (Sanitair)</v>
      </c>
      <c r="P114" s="214"/>
      <c r="Q114" s="215">
        <v>40</v>
      </c>
      <c r="R114" s="215" t="s">
        <v>2</v>
      </c>
      <c r="S114" s="215">
        <f>IF(R114&gt;0,IF(RIGHT(Ruimtestaat[[#This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4" s="215">
        <f>IF(S114&gt;0,VLOOKUP($J114,Ruimtegroepen[],3,FALSE)*VLOOKUP($K114,Vloersoorten[],3,FALSE)*VLOOKUP($R114,Frequenties[],3,FALSE)*VLOOKUP($A114,Locaties[],3,FALSE),0)</f>
        <v>0</v>
      </c>
      <c r="U114" s="215">
        <f>Ruimtestaat[[#This Row],[Uitvoeringen werkdagen]]*Ruimtestaat[[#This Row],[Oppervlak (netto)]]</f>
        <v>2002</v>
      </c>
      <c r="V114" s="259">
        <f>IF(T114&gt;0,Ruimtestaat[[#This Row],[Prest. (m2 /jaar) werkdagen]]/Ruimtestaat[[#This Row],[Norm (m2/uur) werkdagen]],0)</f>
        <v>0</v>
      </c>
      <c r="W114" s="260">
        <f>Ruimtestaat[[#This Row],[uren / jaar werkdagen]]*Tariefsopbouw!$D$38</f>
        <v>0</v>
      </c>
      <c r="X114" s="33"/>
      <c r="Y114" s="33">
        <f>IF(Ruimtestaat[[#This Row],[Frequentie weekend]]&gt;0,VALUE(LEFT(X114,1))*Q114,0)</f>
        <v>0</v>
      </c>
      <c r="Z114" s="33">
        <f>IF($Y114&gt;0,VLOOKUP($J114,Ruimtegroepen[],3,FALSE)*VLOOKUP($K114,Vloersoorten[],3,FALSE)*VLOOKUP($X114,Frequenties[],3,FALSE)*VLOOKUP(#REF!,Locaties[],3,FALSE),0)</f>
        <v>0</v>
      </c>
      <c r="AA114" s="33"/>
      <c r="AB114" s="33"/>
      <c r="AC114" s="33">
        <f>Ruimtestaat[[#This Row],[uren / jaar weekend]]*Tariefsopbouw!$D$40</f>
        <v>0</v>
      </c>
      <c r="AD114" s="88">
        <f>Ruimtestaat[[#This Row],[Prest. (m2 /jaar) weekend]]+Ruimtestaat[[#This Row],[Prest. (m2 /jaar) werkdagen]]</f>
        <v>2002</v>
      </c>
      <c r="AE114" s="88">
        <f>Ruimtestaat[[#This Row],[uren / jaar weekend]]+Ruimtestaat[[#This Row],[uren / jaar werkdagen]]</f>
        <v>0</v>
      </c>
      <c r="AF114" s="89">
        <f>Ruimtestaat[[#This Row],[kosten / jaar weekend]]+Ruimtestaat[[#This Row],[kosten / jaar werkdagen]]</f>
        <v>0</v>
      </c>
      <c r="HK114" s="87"/>
    </row>
    <row r="115" spans="1:219" ht="15" customHeight="1">
      <c r="A115" s="129">
        <v>1</v>
      </c>
      <c r="B115" s="21" t="str">
        <f>VLOOKUP(Ruimtestaat[[#This Row],[Code]],Locaties[#All],2,FALSE)</f>
        <v>PXC Aalderinkshoek</v>
      </c>
      <c r="C115" s="21" t="str">
        <f>VLOOKUP(Ruimtestaat[[#This Row],[Code]],Locaties[#All],4,FALSE)</f>
        <v>Cesar Frankstraat 4</v>
      </c>
      <c r="D115" s="21" t="str">
        <f>VLOOKUP(Ruimtestaat[[#This Row],[Code]],Locaties[#All],5,FALSE)</f>
        <v>7604 JG</v>
      </c>
      <c r="E115" s="200" t="str">
        <f>VLOOKUP(Ruimtestaat[[#This Row],[Code]],Locaties[#All],6,FALSE)</f>
        <v>Almelo</v>
      </c>
      <c r="F115" s="244"/>
      <c r="G115" s="200" t="s">
        <v>590</v>
      </c>
      <c r="H115" s="200" t="s">
        <v>601</v>
      </c>
      <c r="I115" s="244" t="s">
        <v>602</v>
      </c>
      <c r="J115" s="200">
        <v>15</v>
      </c>
      <c r="K115" s="215" t="s">
        <v>111</v>
      </c>
      <c r="L115" s="200" t="s">
        <v>128</v>
      </c>
      <c r="M115" s="213">
        <v>22.6</v>
      </c>
      <c r="N115" s="213"/>
      <c r="O115" s="243" t="str">
        <f>VLOOKUP(Ruimtestaat[[#This Row],[Ruimte code]],Ruimtegroepen[#All],4,FALSE)</f>
        <v>V  (Verkeersruimte)</v>
      </c>
      <c r="P115" s="214"/>
      <c r="Q115" s="215">
        <v>40</v>
      </c>
      <c r="R115" s="215" t="s">
        <v>2</v>
      </c>
      <c r="S115" s="215">
        <f>IF(R115&gt;0,IF(RIGHT(Ruimtestaat[[#This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5" s="215">
        <f>IF(S115&gt;0,VLOOKUP($J115,Ruimtegroepen[],3,FALSE)*VLOOKUP($K115,Vloersoorten[],3,FALSE)*VLOOKUP($R115,Frequenties[],3,FALSE)*VLOOKUP($A115,Locaties[],3,FALSE),0)</f>
        <v>0</v>
      </c>
      <c r="U115" s="215">
        <f>Ruimtestaat[[#This Row],[Uitvoeringen werkdagen]]*Ruimtestaat[[#This Row],[Oppervlak (netto)]]</f>
        <v>4520</v>
      </c>
      <c r="V115" s="259">
        <f>IF(T115&gt;0,Ruimtestaat[[#This Row],[Prest. (m2 /jaar) werkdagen]]/Ruimtestaat[[#This Row],[Norm (m2/uur) werkdagen]],0)</f>
        <v>0</v>
      </c>
      <c r="W115" s="260">
        <f>Ruimtestaat[[#This Row],[uren / jaar werkdagen]]*Tariefsopbouw!$D$38</f>
        <v>0</v>
      </c>
      <c r="X115" s="33"/>
      <c r="Y115" s="33">
        <f>IF(Ruimtestaat[[#This Row],[Frequentie weekend]]&gt;0,VALUE(LEFT(X115,1))*Q115,0)</f>
        <v>0</v>
      </c>
      <c r="Z115" s="33">
        <f>IF($Y115&gt;0,VLOOKUP($J115,Ruimtegroepen[],3,FALSE)*VLOOKUP($K115,Vloersoorten[],3,FALSE)*VLOOKUP($X115,Frequenties[],3,FALSE)*VLOOKUP(#REF!,Locaties[],3,FALSE),0)</f>
        <v>0</v>
      </c>
      <c r="AA115" s="33"/>
      <c r="AB115" s="33"/>
      <c r="AC115" s="33">
        <f>Ruimtestaat[[#This Row],[uren / jaar weekend]]*Tariefsopbouw!$D$40</f>
        <v>0</v>
      </c>
      <c r="AD115" s="88">
        <f>Ruimtestaat[[#This Row],[Prest. (m2 /jaar) weekend]]+Ruimtestaat[[#This Row],[Prest. (m2 /jaar) werkdagen]]</f>
        <v>4520</v>
      </c>
      <c r="AE115" s="88">
        <f>Ruimtestaat[[#This Row],[uren / jaar weekend]]+Ruimtestaat[[#This Row],[uren / jaar werkdagen]]</f>
        <v>0</v>
      </c>
      <c r="AF115" s="89">
        <f>Ruimtestaat[[#This Row],[kosten / jaar weekend]]+Ruimtestaat[[#This Row],[kosten / jaar werkdagen]]</f>
        <v>0</v>
      </c>
      <c r="HK115" s="87"/>
    </row>
    <row r="116" spans="1:219" ht="15" customHeight="1">
      <c r="A116" s="129">
        <v>1</v>
      </c>
      <c r="B116" s="21" t="str">
        <f>VLOOKUP(Ruimtestaat[[#This Row],[Code]],Locaties[#All],2,FALSE)</f>
        <v>PXC Aalderinkshoek</v>
      </c>
      <c r="C116" s="21" t="str">
        <f>VLOOKUP(Ruimtestaat[[#This Row],[Code]],Locaties[#All],4,FALSE)</f>
        <v>Cesar Frankstraat 4</v>
      </c>
      <c r="D116" s="21" t="str">
        <f>VLOOKUP(Ruimtestaat[[#This Row],[Code]],Locaties[#All],5,FALSE)</f>
        <v>7604 JG</v>
      </c>
      <c r="E116" s="200" t="str">
        <f>VLOOKUP(Ruimtestaat[[#This Row],[Code]],Locaties[#All],6,FALSE)</f>
        <v>Almelo</v>
      </c>
      <c r="F116" s="244"/>
      <c r="G116" s="200" t="s">
        <v>590</v>
      </c>
      <c r="H116" s="200" t="s">
        <v>603</v>
      </c>
      <c r="I116" s="244" t="s">
        <v>529</v>
      </c>
      <c r="J116" s="200">
        <v>5</v>
      </c>
      <c r="K116" s="215" t="s">
        <v>111</v>
      </c>
      <c r="L116" s="200" t="s">
        <v>1346</v>
      </c>
      <c r="M116" s="213">
        <v>13.16</v>
      </c>
      <c r="N116" s="213"/>
      <c r="O116" s="243" t="str">
        <f>VLOOKUP(Ruimtestaat[[#This Row],[Ruimte code]],Ruimtegroepen[#All],4,FALSE)</f>
        <v>S  (Sanitair)</v>
      </c>
      <c r="P116" s="214"/>
      <c r="Q116" s="215">
        <v>40</v>
      </c>
      <c r="R116" s="215" t="s">
        <v>2</v>
      </c>
      <c r="S116" s="215">
        <f>IF(R116&gt;0,IF(RIGHT(Ruimtestaat[[#This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6" s="215">
        <f>IF(S116&gt;0,VLOOKUP($J116,Ruimtegroepen[],3,FALSE)*VLOOKUP($K116,Vloersoorten[],3,FALSE)*VLOOKUP($R116,Frequenties[],3,FALSE)*VLOOKUP($A116,Locaties[],3,FALSE),0)</f>
        <v>0</v>
      </c>
      <c r="U116" s="215">
        <f>Ruimtestaat[[#This Row],[Uitvoeringen werkdagen]]*Ruimtestaat[[#This Row],[Oppervlak (netto)]]</f>
        <v>2632</v>
      </c>
      <c r="V116" s="259">
        <f>IF(T116&gt;0,Ruimtestaat[[#This Row],[Prest. (m2 /jaar) werkdagen]]/Ruimtestaat[[#This Row],[Norm (m2/uur) werkdagen]],0)</f>
        <v>0</v>
      </c>
      <c r="W116" s="260">
        <f>Ruimtestaat[[#This Row],[uren / jaar werkdagen]]*Tariefsopbouw!$D$38</f>
        <v>0</v>
      </c>
      <c r="X116" s="33"/>
      <c r="Y116" s="33">
        <f>IF(Ruimtestaat[[#This Row],[Frequentie weekend]]&gt;0,VALUE(LEFT(X116,1))*Q116,0)</f>
        <v>0</v>
      </c>
      <c r="Z116" s="33">
        <f>IF($Y116&gt;0,VLOOKUP($J116,Ruimtegroepen[],3,FALSE)*VLOOKUP($K116,Vloersoorten[],3,FALSE)*VLOOKUP($X116,Frequenties[],3,FALSE)*VLOOKUP(#REF!,Locaties[],3,FALSE),0)</f>
        <v>0</v>
      </c>
      <c r="AA116" s="33"/>
      <c r="AB116" s="33"/>
      <c r="AC116" s="33">
        <f>Ruimtestaat[[#This Row],[uren / jaar weekend]]*Tariefsopbouw!$D$40</f>
        <v>0</v>
      </c>
      <c r="AD116" s="88">
        <f>Ruimtestaat[[#This Row],[Prest. (m2 /jaar) weekend]]+Ruimtestaat[[#This Row],[Prest. (m2 /jaar) werkdagen]]</f>
        <v>2632</v>
      </c>
      <c r="AE116" s="88">
        <f>Ruimtestaat[[#This Row],[uren / jaar weekend]]+Ruimtestaat[[#This Row],[uren / jaar werkdagen]]</f>
        <v>0</v>
      </c>
      <c r="AF116" s="89">
        <f>Ruimtestaat[[#This Row],[kosten / jaar weekend]]+Ruimtestaat[[#This Row],[kosten / jaar werkdagen]]</f>
        <v>0</v>
      </c>
      <c r="HK116" s="87"/>
    </row>
    <row r="117" spans="1:219" ht="15" customHeight="1">
      <c r="A117" s="129">
        <v>1</v>
      </c>
      <c r="B117" s="21" t="str">
        <f>VLOOKUP(Ruimtestaat[[#This Row],[Code]],Locaties[#All],2,FALSE)</f>
        <v>PXC Aalderinkshoek</v>
      </c>
      <c r="C117" s="21" t="str">
        <f>VLOOKUP(Ruimtestaat[[#This Row],[Code]],Locaties[#All],4,FALSE)</f>
        <v>Cesar Frankstraat 4</v>
      </c>
      <c r="D117" s="21" t="str">
        <f>VLOOKUP(Ruimtestaat[[#This Row],[Code]],Locaties[#All],5,FALSE)</f>
        <v>7604 JG</v>
      </c>
      <c r="E117" s="200" t="str">
        <f>VLOOKUP(Ruimtestaat[[#This Row],[Code]],Locaties[#All],6,FALSE)</f>
        <v>Almelo</v>
      </c>
      <c r="F117" s="244"/>
      <c r="G117" s="200" t="s">
        <v>590</v>
      </c>
      <c r="H117" s="200" t="s">
        <v>604</v>
      </c>
      <c r="I117" s="244" t="s">
        <v>605</v>
      </c>
      <c r="J117" s="200">
        <v>5</v>
      </c>
      <c r="K117" s="215" t="s">
        <v>111</v>
      </c>
      <c r="L117" s="200" t="s">
        <v>1346</v>
      </c>
      <c r="M117" s="213">
        <v>3.63</v>
      </c>
      <c r="N117" s="213"/>
      <c r="O117" s="243" t="str">
        <f>VLOOKUP(Ruimtestaat[[#This Row],[Ruimte code]],Ruimtegroepen[#All],4,FALSE)</f>
        <v>S  (Sanitair)</v>
      </c>
      <c r="P117" s="214"/>
      <c r="Q117" s="215">
        <v>40</v>
      </c>
      <c r="R117" s="215" t="s">
        <v>2</v>
      </c>
      <c r="S117" s="215">
        <f>IF(R117&gt;0,IF(RIGHT(Ruimtestaat[[#This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17" s="215">
        <f>IF(S117&gt;0,VLOOKUP($J117,Ruimtegroepen[],3,FALSE)*VLOOKUP($K117,Vloersoorten[],3,FALSE)*VLOOKUP($R117,Frequenties[],3,FALSE)*VLOOKUP($A117,Locaties[],3,FALSE),0)</f>
        <v>0</v>
      </c>
      <c r="U117" s="215">
        <f>Ruimtestaat[[#This Row],[Uitvoeringen werkdagen]]*Ruimtestaat[[#This Row],[Oppervlak (netto)]]</f>
        <v>726</v>
      </c>
      <c r="V117" s="259">
        <f>IF(T117&gt;0,Ruimtestaat[[#This Row],[Prest. (m2 /jaar) werkdagen]]/Ruimtestaat[[#This Row],[Norm (m2/uur) werkdagen]],0)</f>
        <v>0</v>
      </c>
      <c r="W117" s="260">
        <f>Ruimtestaat[[#This Row],[uren / jaar werkdagen]]*Tariefsopbouw!$D$38</f>
        <v>0</v>
      </c>
      <c r="X117" s="33"/>
      <c r="Y117" s="33">
        <f>IF(Ruimtestaat[[#This Row],[Frequentie weekend]]&gt;0,VALUE(LEFT(X117,1))*Q117,0)</f>
        <v>0</v>
      </c>
      <c r="Z117" s="33">
        <f>IF($Y117&gt;0,VLOOKUP($J117,Ruimtegroepen[],3,FALSE)*VLOOKUP($K117,Vloersoorten[],3,FALSE)*VLOOKUP($X117,Frequenties[],3,FALSE)*VLOOKUP(#REF!,Locaties[],3,FALSE),0)</f>
        <v>0</v>
      </c>
      <c r="AA117" s="33"/>
      <c r="AB117" s="33"/>
      <c r="AC117" s="33">
        <f>Ruimtestaat[[#This Row],[uren / jaar weekend]]*Tariefsopbouw!$D$40</f>
        <v>0</v>
      </c>
      <c r="AD117" s="88">
        <f>Ruimtestaat[[#This Row],[Prest. (m2 /jaar) weekend]]+Ruimtestaat[[#This Row],[Prest. (m2 /jaar) werkdagen]]</f>
        <v>726</v>
      </c>
      <c r="AE117" s="88">
        <f>Ruimtestaat[[#This Row],[uren / jaar weekend]]+Ruimtestaat[[#This Row],[uren / jaar werkdagen]]</f>
        <v>0</v>
      </c>
      <c r="AF117" s="89">
        <f>Ruimtestaat[[#This Row],[kosten / jaar weekend]]+Ruimtestaat[[#This Row],[kosten / jaar werkdagen]]</f>
        <v>0</v>
      </c>
      <c r="HK117" s="87"/>
    </row>
    <row r="118" spans="1:219" ht="15" customHeight="1">
      <c r="A118" s="129">
        <v>1</v>
      </c>
      <c r="B118" s="21" t="str">
        <f>VLOOKUP(Ruimtestaat[[#This Row],[Code]],Locaties[#All],2,FALSE)</f>
        <v>PXC Aalderinkshoek</v>
      </c>
      <c r="C118" s="21" t="str">
        <f>VLOOKUP(Ruimtestaat[[#This Row],[Code]],Locaties[#All],4,FALSE)</f>
        <v>Cesar Frankstraat 4</v>
      </c>
      <c r="D118" s="243" t="str">
        <f>VLOOKUP(Ruimtestaat[[#This Row],[Code]],Locaties[#All],5,FALSE)</f>
        <v>7604 JG</v>
      </c>
      <c r="E118" s="243" t="str">
        <f>VLOOKUP(Ruimtestaat[[#This Row],[Code]],Locaties[#All],6,FALSE)</f>
        <v>Almelo</v>
      </c>
      <c r="F118" s="244"/>
      <c r="G118" s="200" t="s">
        <v>590</v>
      </c>
      <c r="H118" s="200" t="s">
        <v>606</v>
      </c>
      <c r="I118" s="244" t="s">
        <v>447</v>
      </c>
      <c r="J118" s="200">
        <v>1</v>
      </c>
      <c r="K118" s="215" t="s">
        <v>110</v>
      </c>
      <c r="L118" s="200" t="s">
        <v>132</v>
      </c>
      <c r="M118" s="213">
        <v>2.13</v>
      </c>
      <c r="N118" s="213"/>
      <c r="O118" s="243" t="str">
        <f>VLOOKUP(Ruimtestaat[[#This Row],[Ruimte code]],Ruimtegroepen[#All],4,FALSE)</f>
        <v>V  (Verkeersruimte)</v>
      </c>
      <c r="P118" s="214"/>
      <c r="Q118" s="215">
        <v>40</v>
      </c>
      <c r="R118" s="215" t="s">
        <v>16</v>
      </c>
      <c r="S118" s="215">
        <f>IF(R118&gt;0,IF(RIGHT(Ruimtestaat[[#This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18" s="215">
        <f>IF(S118&gt;0,VLOOKUP($J118,Ruimtegroepen[],3,FALSE)*VLOOKUP($K118,Vloersoorten[],3,FALSE)*VLOOKUP($R118,Frequenties[],3,FALSE)*VLOOKUP($A118,Locaties[],3,FALSE),0)</f>
        <v>0</v>
      </c>
      <c r="U118" s="215">
        <f>Ruimtestaat[[#This Row],[Uitvoeringen werkdagen]]*Ruimtestaat[[#This Row],[Oppervlak (netto)]]</f>
        <v>25.56</v>
      </c>
      <c r="V118" s="259">
        <f>IF(T118&gt;0,Ruimtestaat[[#This Row],[Prest. (m2 /jaar) werkdagen]]/Ruimtestaat[[#This Row],[Norm (m2/uur) werkdagen]],0)</f>
        <v>0</v>
      </c>
      <c r="W118" s="260">
        <f>Ruimtestaat[[#This Row],[uren / jaar werkdagen]]*Tariefsopbouw!$D$38</f>
        <v>0</v>
      </c>
      <c r="X118" s="33"/>
      <c r="Y118" s="33">
        <f>IF(Ruimtestaat[[#This Row],[Frequentie weekend]]&gt;0,VALUE(LEFT(X118,1))*Q118,0)</f>
        <v>0</v>
      </c>
      <c r="Z118" s="33">
        <f>IF($Y118&gt;0,VLOOKUP($J118,Ruimtegroepen[],3,FALSE)*VLOOKUP($K118,Vloersoorten[],3,FALSE)*VLOOKUP($X118,Frequenties[],3,FALSE)*VLOOKUP(#REF!,Locaties[],3,FALSE),0)</f>
        <v>0</v>
      </c>
      <c r="AA118" s="33"/>
      <c r="AB118" s="33"/>
      <c r="AC118" s="33">
        <f>Ruimtestaat[[#This Row],[uren / jaar weekend]]*Tariefsopbouw!$D$40</f>
        <v>0</v>
      </c>
      <c r="AD118" s="88">
        <f>Ruimtestaat[[#This Row],[Prest. (m2 /jaar) weekend]]+Ruimtestaat[[#This Row],[Prest. (m2 /jaar) werkdagen]]</f>
        <v>25.56</v>
      </c>
      <c r="AE118" s="88">
        <f>Ruimtestaat[[#This Row],[uren / jaar weekend]]+Ruimtestaat[[#This Row],[uren / jaar werkdagen]]</f>
        <v>0</v>
      </c>
      <c r="AF118" s="89">
        <f>Ruimtestaat[[#This Row],[kosten / jaar weekend]]+Ruimtestaat[[#This Row],[kosten / jaar werkdagen]]</f>
        <v>0</v>
      </c>
      <c r="HK118" s="87"/>
    </row>
    <row r="119" spans="1:219" ht="15" customHeight="1">
      <c r="A119" s="129">
        <v>1</v>
      </c>
      <c r="B119" s="21" t="str">
        <f>VLOOKUP(Ruimtestaat[[#This Row],[Code]],Locaties[#All],2,FALSE)</f>
        <v>PXC Aalderinkshoek</v>
      </c>
      <c r="C119" s="21" t="str">
        <f>VLOOKUP(Ruimtestaat[[#This Row],[Code]],Locaties[#All],4,FALSE)</f>
        <v>Cesar Frankstraat 4</v>
      </c>
      <c r="D119" s="243" t="str">
        <f>VLOOKUP(Ruimtestaat[[#This Row],[Code]],Locaties[#All],5,FALSE)</f>
        <v>7604 JG</v>
      </c>
      <c r="E119" s="243" t="str">
        <f>VLOOKUP(Ruimtestaat[[#This Row],[Code]],Locaties[#All],6,FALSE)</f>
        <v>Almelo</v>
      </c>
      <c r="F119" s="244" t="s">
        <v>429</v>
      </c>
      <c r="G119" s="200" t="s">
        <v>590</v>
      </c>
      <c r="H119" s="200" t="s">
        <v>607</v>
      </c>
      <c r="I119" s="244" t="s">
        <v>469</v>
      </c>
      <c r="J119" s="200">
        <v>6</v>
      </c>
      <c r="K119" s="200" t="s">
        <v>110</v>
      </c>
      <c r="L119" s="200" t="s">
        <v>132</v>
      </c>
      <c r="M119" s="213">
        <v>62.29</v>
      </c>
      <c r="N119" s="213"/>
      <c r="O119" s="243" t="str">
        <f>VLOOKUP(Ruimtestaat[[#This Row],[Ruimte code]],Ruimtegroepen[#All],4,FALSE)</f>
        <v>V  (Verkeersruimte)</v>
      </c>
      <c r="P119" s="214"/>
      <c r="Q119" s="215">
        <v>40</v>
      </c>
      <c r="R119" s="215" t="s">
        <v>15</v>
      </c>
      <c r="S119" s="215">
        <f>IF(R119&gt;0,IF(RIGHT(Ruimtestaat[[#This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19" s="215">
        <f>IF(S119&gt;0,VLOOKUP($J119,Ruimtegroepen[],3,FALSE)*VLOOKUP($K119,Vloersoorten[],3,FALSE)*VLOOKUP($R119,Frequenties[],3,FALSE)*VLOOKUP($A119,Locaties[],3,FALSE),0)</f>
        <v>0</v>
      </c>
      <c r="U119" s="215">
        <f>Ruimtestaat[[#This Row],[Uitvoeringen werkdagen]]*Ruimtestaat[[#This Row],[Oppervlak (netto)]]</f>
        <v>2491.6</v>
      </c>
      <c r="V119" s="259">
        <f>IF(T119&gt;0,Ruimtestaat[[#This Row],[Prest. (m2 /jaar) werkdagen]]/Ruimtestaat[[#This Row],[Norm (m2/uur) werkdagen]],0)</f>
        <v>0</v>
      </c>
      <c r="W119" s="260">
        <f>Ruimtestaat[[#This Row],[uren / jaar werkdagen]]*Tariefsopbouw!$D$38</f>
        <v>0</v>
      </c>
      <c r="X119" s="33"/>
      <c r="Y119" s="33">
        <f>IF(Ruimtestaat[[#This Row],[Frequentie weekend]]&gt;0,VALUE(LEFT(X119,1))*Q119,0)</f>
        <v>0</v>
      </c>
      <c r="Z119" s="33">
        <f>IF($Y119&gt;0,VLOOKUP($J119,Ruimtegroepen[],3,FALSE)*VLOOKUP($K119,Vloersoorten[],3,FALSE)*VLOOKUP($X119,Frequenties[],3,FALSE)*VLOOKUP(#REF!,Locaties[],3,FALSE),0)</f>
        <v>0</v>
      </c>
      <c r="AA119" s="33"/>
      <c r="AB119" s="33"/>
      <c r="AC119" s="33">
        <f>Ruimtestaat[[#This Row],[uren / jaar weekend]]*Tariefsopbouw!$D$40</f>
        <v>0</v>
      </c>
      <c r="AD119" s="88">
        <f>Ruimtestaat[[#This Row],[Prest. (m2 /jaar) weekend]]+Ruimtestaat[[#This Row],[Prest. (m2 /jaar) werkdagen]]</f>
        <v>2491.6</v>
      </c>
      <c r="AE119" s="88">
        <f>Ruimtestaat[[#This Row],[uren / jaar weekend]]+Ruimtestaat[[#This Row],[uren / jaar werkdagen]]</f>
        <v>0</v>
      </c>
      <c r="AF119" s="89">
        <f>Ruimtestaat[[#This Row],[kosten / jaar weekend]]+Ruimtestaat[[#This Row],[kosten / jaar werkdagen]]</f>
        <v>0</v>
      </c>
      <c r="HK119" s="87"/>
    </row>
    <row r="120" spans="1:219" ht="15" customHeight="1">
      <c r="A120" s="129">
        <v>1</v>
      </c>
      <c r="B120" s="21" t="str">
        <f>VLOOKUP(Ruimtestaat[[#This Row],[Code]],Locaties[#All],2,FALSE)</f>
        <v>PXC Aalderinkshoek</v>
      </c>
      <c r="C120" s="21" t="str">
        <f>VLOOKUP(Ruimtestaat[[#This Row],[Code]],Locaties[#All],4,FALSE)</f>
        <v>Cesar Frankstraat 4</v>
      </c>
      <c r="D120" s="243" t="str">
        <f>VLOOKUP(Ruimtestaat[[#This Row],[Code]],Locaties[#All],5,FALSE)</f>
        <v>7604 JG</v>
      </c>
      <c r="E120" s="243" t="str">
        <f>VLOOKUP(Ruimtestaat[[#This Row],[Code]],Locaties[#All],6,FALSE)</f>
        <v>Almelo</v>
      </c>
      <c r="F120" s="244" t="s">
        <v>429</v>
      </c>
      <c r="G120" s="200" t="s">
        <v>590</v>
      </c>
      <c r="H120" s="200" t="s">
        <v>608</v>
      </c>
      <c r="I120" s="244" t="s">
        <v>469</v>
      </c>
      <c r="J120" s="200">
        <v>6</v>
      </c>
      <c r="K120" s="200" t="s">
        <v>110</v>
      </c>
      <c r="L120" s="200" t="s">
        <v>132</v>
      </c>
      <c r="M120" s="213">
        <v>341.36</v>
      </c>
      <c r="N120" s="213"/>
      <c r="O120" s="243" t="str">
        <f>VLOOKUP(Ruimtestaat[[#This Row],[Ruimte code]],Ruimtegroepen[#All],4,FALSE)</f>
        <v>V  (Verkeersruimte)</v>
      </c>
      <c r="P120" s="214"/>
      <c r="Q120" s="215">
        <v>40</v>
      </c>
      <c r="R120" s="215" t="s">
        <v>2</v>
      </c>
      <c r="S120" s="215">
        <f>IF(R120&gt;0,IF(RIGHT(Ruimtestaat[[#This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0" s="215">
        <f>IF(S120&gt;0,VLOOKUP($J120,Ruimtegroepen[],3,FALSE)*VLOOKUP($K120,Vloersoorten[],3,FALSE)*VLOOKUP($R120,Frequenties[],3,FALSE)*VLOOKUP($A120,Locaties[],3,FALSE),0)</f>
        <v>0</v>
      </c>
      <c r="U120" s="215">
        <f>Ruimtestaat[[#This Row],[Uitvoeringen werkdagen]]*Ruimtestaat[[#This Row],[Oppervlak (netto)]]</f>
        <v>68272</v>
      </c>
      <c r="V120" s="259">
        <f>IF(T120&gt;0,Ruimtestaat[[#This Row],[Prest. (m2 /jaar) werkdagen]]/Ruimtestaat[[#This Row],[Norm (m2/uur) werkdagen]],0)</f>
        <v>0</v>
      </c>
      <c r="W120" s="260">
        <f>Ruimtestaat[[#This Row],[uren / jaar werkdagen]]*Tariefsopbouw!$D$38</f>
        <v>0</v>
      </c>
      <c r="X120" s="33"/>
      <c r="Y120" s="33">
        <f>IF(Ruimtestaat[[#This Row],[Frequentie weekend]]&gt;0,VALUE(LEFT(X120,1))*Q120,0)</f>
        <v>0</v>
      </c>
      <c r="Z120" s="33">
        <f>IF($Y120&gt;0,VLOOKUP($J120,Ruimtegroepen[],3,FALSE)*VLOOKUP($K120,Vloersoorten[],3,FALSE)*VLOOKUP($X120,Frequenties[],3,FALSE)*VLOOKUP(#REF!,Locaties[],3,FALSE),0)</f>
        <v>0</v>
      </c>
      <c r="AA120" s="33"/>
      <c r="AB120" s="33"/>
      <c r="AC120" s="33">
        <f>Ruimtestaat[[#This Row],[uren / jaar weekend]]*Tariefsopbouw!$D$40</f>
        <v>0</v>
      </c>
      <c r="AD120" s="88">
        <f>Ruimtestaat[[#This Row],[Prest. (m2 /jaar) weekend]]+Ruimtestaat[[#This Row],[Prest. (m2 /jaar) werkdagen]]</f>
        <v>68272</v>
      </c>
      <c r="AE120" s="88">
        <f>Ruimtestaat[[#This Row],[uren / jaar weekend]]+Ruimtestaat[[#This Row],[uren / jaar werkdagen]]</f>
        <v>0</v>
      </c>
      <c r="AF120" s="89">
        <f>Ruimtestaat[[#This Row],[kosten / jaar weekend]]+Ruimtestaat[[#This Row],[kosten / jaar werkdagen]]</f>
        <v>0</v>
      </c>
      <c r="HK120" s="87"/>
    </row>
    <row r="121" spans="1:219" ht="15" customHeight="1">
      <c r="A121" s="129">
        <v>1</v>
      </c>
      <c r="B121" s="21" t="str">
        <f>VLOOKUP(Ruimtestaat[[#This Row],[Code]],Locaties[#All],2,FALSE)</f>
        <v>PXC Aalderinkshoek</v>
      </c>
      <c r="C121" s="21" t="str">
        <f>VLOOKUP(Ruimtestaat[[#This Row],[Code]],Locaties[#All],4,FALSE)</f>
        <v>Cesar Frankstraat 4</v>
      </c>
      <c r="D121" s="243" t="str">
        <f>VLOOKUP(Ruimtestaat[[#This Row],[Code]],Locaties[#All],5,FALSE)</f>
        <v>7604 JG</v>
      </c>
      <c r="E121" s="243" t="str">
        <f>VLOOKUP(Ruimtestaat[[#This Row],[Code]],Locaties[#All],6,FALSE)</f>
        <v>Almelo</v>
      </c>
      <c r="F121" s="244" t="s">
        <v>429</v>
      </c>
      <c r="G121" s="200" t="s">
        <v>590</v>
      </c>
      <c r="H121" s="200" t="s">
        <v>609</v>
      </c>
      <c r="I121" s="244" t="s">
        <v>469</v>
      </c>
      <c r="J121" s="200">
        <v>6</v>
      </c>
      <c r="K121" s="200" t="s">
        <v>110</v>
      </c>
      <c r="L121" s="200" t="s">
        <v>132</v>
      </c>
      <c r="M121" s="213">
        <v>46.1</v>
      </c>
      <c r="N121" s="213"/>
      <c r="O121" s="243" t="str">
        <f>VLOOKUP(Ruimtestaat[[#This Row],[Ruimte code]],Ruimtegroepen[#All],4,FALSE)</f>
        <v>V  (Verkeersruimte)</v>
      </c>
      <c r="P121" s="214"/>
      <c r="Q121" s="215">
        <v>40</v>
      </c>
      <c r="R121" s="215" t="s">
        <v>2</v>
      </c>
      <c r="S121" s="215">
        <f>IF(R121&gt;0,IF(RIGHT(Ruimtestaat[[#This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1" s="215">
        <f>IF(S121&gt;0,VLOOKUP($J121,Ruimtegroepen[],3,FALSE)*VLOOKUP($K121,Vloersoorten[],3,FALSE)*VLOOKUP($R121,Frequenties[],3,FALSE)*VLOOKUP($A121,Locaties[],3,FALSE),0)</f>
        <v>0</v>
      </c>
      <c r="U121" s="215">
        <f>Ruimtestaat[[#This Row],[Uitvoeringen werkdagen]]*Ruimtestaat[[#This Row],[Oppervlak (netto)]]</f>
        <v>9220</v>
      </c>
      <c r="V121" s="259">
        <f>IF(T121&gt;0,Ruimtestaat[[#This Row],[Prest. (m2 /jaar) werkdagen]]/Ruimtestaat[[#This Row],[Norm (m2/uur) werkdagen]],0)</f>
        <v>0</v>
      </c>
      <c r="W121" s="260">
        <f>Ruimtestaat[[#This Row],[uren / jaar werkdagen]]*Tariefsopbouw!$D$38</f>
        <v>0</v>
      </c>
      <c r="X121" s="33"/>
      <c r="Y121" s="33">
        <f>IF(Ruimtestaat[[#This Row],[Frequentie weekend]]&gt;0,VALUE(LEFT(X121,1))*Q121,0)</f>
        <v>0</v>
      </c>
      <c r="Z121" s="33">
        <f>IF($Y121&gt;0,VLOOKUP($J121,Ruimtegroepen[],3,FALSE)*VLOOKUP($K121,Vloersoorten[],3,FALSE)*VLOOKUP($X121,Frequenties[],3,FALSE)*VLOOKUP(#REF!,Locaties[],3,FALSE),0)</f>
        <v>0</v>
      </c>
      <c r="AA121" s="33"/>
      <c r="AB121" s="33"/>
      <c r="AC121" s="33">
        <f>Ruimtestaat[[#This Row],[uren / jaar weekend]]*Tariefsopbouw!$D$40</f>
        <v>0</v>
      </c>
      <c r="AD121" s="88">
        <f>Ruimtestaat[[#This Row],[Prest. (m2 /jaar) weekend]]+Ruimtestaat[[#This Row],[Prest. (m2 /jaar) werkdagen]]</f>
        <v>9220</v>
      </c>
      <c r="AE121" s="88">
        <f>Ruimtestaat[[#This Row],[uren / jaar weekend]]+Ruimtestaat[[#This Row],[uren / jaar werkdagen]]</f>
        <v>0</v>
      </c>
      <c r="AF121" s="89">
        <f>Ruimtestaat[[#This Row],[kosten / jaar weekend]]+Ruimtestaat[[#This Row],[kosten / jaar werkdagen]]</f>
        <v>0</v>
      </c>
      <c r="HK121" s="87"/>
    </row>
    <row r="122" spans="1:219" ht="15" customHeight="1">
      <c r="A122" s="129">
        <v>1</v>
      </c>
      <c r="B122" s="21" t="str">
        <f>VLOOKUP(Ruimtestaat[[#This Row],[Code]],Locaties[#All],2,FALSE)</f>
        <v>PXC Aalderinkshoek</v>
      </c>
      <c r="C122" s="21" t="str">
        <f>VLOOKUP(Ruimtestaat[[#This Row],[Code]],Locaties[#All],4,FALSE)</f>
        <v>Cesar Frankstraat 4</v>
      </c>
      <c r="D122" s="243" t="str">
        <f>VLOOKUP(Ruimtestaat[[#This Row],[Code]],Locaties[#All],5,FALSE)</f>
        <v>7604 JG</v>
      </c>
      <c r="E122" s="243" t="str">
        <f>VLOOKUP(Ruimtestaat[[#This Row],[Code]],Locaties[#All],6,FALSE)</f>
        <v>Almelo</v>
      </c>
      <c r="F122" s="244"/>
      <c r="G122" s="200" t="s">
        <v>590</v>
      </c>
      <c r="H122" s="215" t="s">
        <v>610</v>
      </c>
      <c r="I122" s="244" t="s">
        <v>539</v>
      </c>
      <c r="J122" s="200">
        <v>5</v>
      </c>
      <c r="K122" s="215" t="s">
        <v>111</v>
      </c>
      <c r="L122" s="200" t="s">
        <v>1346</v>
      </c>
      <c r="M122" s="213">
        <v>13.16</v>
      </c>
      <c r="N122" s="213"/>
      <c r="O122" s="243" t="str">
        <f>VLOOKUP(Ruimtestaat[[#This Row],[Ruimte code]],Ruimtegroepen[#All],4,FALSE)</f>
        <v>S  (Sanitair)</v>
      </c>
      <c r="P122" s="214"/>
      <c r="Q122" s="215">
        <v>40</v>
      </c>
      <c r="R122" s="215" t="s">
        <v>2</v>
      </c>
      <c r="S122" s="215">
        <f>IF(R122&gt;0,IF(RIGHT(Ruimtestaat[[#This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2" s="215">
        <f>IF(S122&gt;0,VLOOKUP($J122,Ruimtegroepen[],3,FALSE)*VLOOKUP($K122,Vloersoorten[],3,FALSE)*VLOOKUP($R122,Frequenties[],3,FALSE)*VLOOKUP($A122,Locaties[],3,FALSE),0)</f>
        <v>0</v>
      </c>
      <c r="U122" s="215">
        <f>Ruimtestaat[[#This Row],[Uitvoeringen werkdagen]]*Ruimtestaat[[#This Row],[Oppervlak (netto)]]</f>
        <v>2632</v>
      </c>
      <c r="V122" s="259">
        <f>IF(T122&gt;0,Ruimtestaat[[#This Row],[Prest. (m2 /jaar) werkdagen]]/Ruimtestaat[[#This Row],[Norm (m2/uur) werkdagen]],0)</f>
        <v>0</v>
      </c>
      <c r="W122" s="260">
        <f>Ruimtestaat[[#This Row],[uren / jaar werkdagen]]*Tariefsopbouw!$D$38</f>
        <v>0</v>
      </c>
      <c r="X122" s="33"/>
      <c r="Y122" s="33">
        <f>IF(Ruimtestaat[[#This Row],[Frequentie weekend]]&gt;0,VALUE(LEFT(X122,1))*Q122,0)</f>
        <v>0</v>
      </c>
      <c r="Z122" s="33">
        <f>IF($Y122&gt;0,VLOOKUP($J122,Ruimtegroepen[],3,FALSE)*VLOOKUP($K122,Vloersoorten[],3,FALSE)*VLOOKUP($X122,Frequenties[],3,FALSE)*VLOOKUP(#REF!,Locaties[],3,FALSE),0)</f>
        <v>0</v>
      </c>
      <c r="AA122" s="33"/>
      <c r="AB122" s="33"/>
      <c r="AC122" s="33">
        <f>Ruimtestaat[[#This Row],[uren / jaar weekend]]*Tariefsopbouw!$D$40</f>
        <v>0</v>
      </c>
      <c r="AD122" s="88">
        <f>Ruimtestaat[[#This Row],[Prest. (m2 /jaar) weekend]]+Ruimtestaat[[#This Row],[Prest. (m2 /jaar) werkdagen]]</f>
        <v>2632</v>
      </c>
      <c r="AE122" s="88">
        <f>Ruimtestaat[[#This Row],[uren / jaar weekend]]+Ruimtestaat[[#This Row],[uren / jaar werkdagen]]</f>
        <v>0</v>
      </c>
      <c r="AF122" s="89">
        <f>Ruimtestaat[[#This Row],[kosten / jaar weekend]]+Ruimtestaat[[#This Row],[kosten / jaar werkdagen]]</f>
        <v>0</v>
      </c>
      <c r="HK122" s="87"/>
    </row>
    <row r="123" spans="1:219" ht="15" customHeight="1">
      <c r="A123" s="129">
        <v>1</v>
      </c>
      <c r="B123" s="21" t="str">
        <f>VLOOKUP(Ruimtestaat[[#This Row],[Code]],Locaties[#All],2,FALSE)</f>
        <v>PXC Aalderinkshoek</v>
      </c>
      <c r="C123" s="21" t="str">
        <f>VLOOKUP(Ruimtestaat[[#This Row],[Code]],Locaties[#All],4,FALSE)</f>
        <v>Cesar Frankstraat 4</v>
      </c>
      <c r="D123" s="243" t="str">
        <f>VLOOKUP(Ruimtestaat[[#This Row],[Code]],Locaties[#All],5,FALSE)</f>
        <v>7604 JG</v>
      </c>
      <c r="E123" s="243" t="str">
        <f>VLOOKUP(Ruimtestaat[[#This Row],[Code]],Locaties[#All],6,FALSE)</f>
        <v>Almelo</v>
      </c>
      <c r="F123" s="244"/>
      <c r="G123" s="200" t="s">
        <v>590</v>
      </c>
      <c r="H123" s="200" t="s">
        <v>611</v>
      </c>
      <c r="I123" s="244" t="s">
        <v>612</v>
      </c>
      <c r="J123" s="200">
        <v>14</v>
      </c>
      <c r="K123" s="243" t="s">
        <v>112</v>
      </c>
      <c r="L123" s="200" t="s">
        <v>129</v>
      </c>
      <c r="M123" s="213">
        <v>91.82</v>
      </c>
      <c r="N123" s="213"/>
      <c r="O123" s="243" t="str">
        <f>VLOOKUP(Ruimtestaat[[#This Row],[Ruimte code]],Ruimtegroepen[#All],4,FALSE)</f>
        <v>V  (Verkeersruimte)</v>
      </c>
      <c r="P123" s="214"/>
      <c r="Q123" s="215">
        <v>40</v>
      </c>
      <c r="R123" s="215" t="s">
        <v>2</v>
      </c>
      <c r="S123" s="215">
        <f>IF(R123&gt;0,IF(RIGHT(Ruimtestaat[[#This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3" s="215">
        <f>IF(S123&gt;0,VLOOKUP($J123,Ruimtegroepen[],3,FALSE)*VLOOKUP($K123,Vloersoorten[],3,FALSE)*VLOOKUP($R123,Frequenties[],3,FALSE)*VLOOKUP($A123,Locaties[],3,FALSE),0)</f>
        <v>0</v>
      </c>
      <c r="U123" s="215">
        <f>Ruimtestaat[[#This Row],[Uitvoeringen werkdagen]]*Ruimtestaat[[#This Row],[Oppervlak (netto)]]</f>
        <v>18364</v>
      </c>
      <c r="V123" s="259">
        <f>IF(T123&gt;0,Ruimtestaat[[#This Row],[Prest. (m2 /jaar) werkdagen]]/Ruimtestaat[[#This Row],[Norm (m2/uur) werkdagen]],0)</f>
        <v>0</v>
      </c>
      <c r="W123" s="260">
        <f>Ruimtestaat[[#This Row],[uren / jaar werkdagen]]*Tariefsopbouw!$D$38</f>
        <v>0</v>
      </c>
      <c r="X123" s="33"/>
      <c r="Y123" s="33">
        <f>IF(Ruimtestaat[[#This Row],[Frequentie weekend]]&gt;0,VALUE(LEFT(X123,1))*Q123,0)</f>
        <v>0</v>
      </c>
      <c r="Z123" s="33">
        <f>IF($Y123&gt;0,VLOOKUP($J123,Ruimtegroepen[],3,FALSE)*VLOOKUP($K123,Vloersoorten[],3,FALSE)*VLOOKUP($X123,Frequenties[],3,FALSE)*VLOOKUP(#REF!,Locaties[],3,FALSE),0)</f>
        <v>0</v>
      </c>
      <c r="AA123" s="33"/>
      <c r="AB123" s="33"/>
      <c r="AC123" s="33">
        <f>Ruimtestaat[[#This Row],[uren / jaar weekend]]*Tariefsopbouw!$D$40</f>
        <v>0</v>
      </c>
      <c r="AD123" s="88">
        <f>Ruimtestaat[[#This Row],[Prest. (m2 /jaar) weekend]]+Ruimtestaat[[#This Row],[Prest. (m2 /jaar) werkdagen]]</f>
        <v>18364</v>
      </c>
      <c r="AE123" s="88">
        <f>Ruimtestaat[[#This Row],[uren / jaar weekend]]+Ruimtestaat[[#This Row],[uren / jaar werkdagen]]</f>
        <v>0</v>
      </c>
      <c r="AF123" s="89">
        <f>Ruimtestaat[[#This Row],[kosten / jaar weekend]]+Ruimtestaat[[#This Row],[kosten / jaar werkdagen]]</f>
        <v>0</v>
      </c>
      <c r="HK123" s="87"/>
    </row>
    <row r="124" spans="1:219" ht="15" customHeight="1">
      <c r="A124" s="129">
        <v>1</v>
      </c>
      <c r="B124" s="21" t="str">
        <f>VLOOKUP(Ruimtestaat[[#This Row],[Code]],Locaties[#All],2,FALSE)</f>
        <v>PXC Aalderinkshoek</v>
      </c>
      <c r="C124" s="21" t="str">
        <f>VLOOKUP(Ruimtestaat[[#This Row],[Code]],Locaties[#All],4,FALSE)</f>
        <v>Cesar Frankstraat 4</v>
      </c>
      <c r="D124" s="243" t="str">
        <f>VLOOKUP(Ruimtestaat[[#This Row],[Code]],Locaties[#All],5,FALSE)</f>
        <v>7604 JG</v>
      </c>
      <c r="E124" s="243" t="str">
        <f>VLOOKUP(Ruimtestaat[[#This Row],[Code]],Locaties[#All],6,FALSE)</f>
        <v>Almelo</v>
      </c>
      <c r="F124" s="244"/>
      <c r="G124" s="200" t="s">
        <v>590</v>
      </c>
      <c r="H124" s="200" t="s">
        <v>613</v>
      </c>
      <c r="I124" s="244" t="s">
        <v>614</v>
      </c>
      <c r="J124" s="200">
        <v>2</v>
      </c>
      <c r="K124" s="200" t="s">
        <v>1040</v>
      </c>
      <c r="L124" s="200" t="s">
        <v>999</v>
      </c>
      <c r="M124" s="213">
        <v>21.89</v>
      </c>
      <c r="N124" s="213"/>
      <c r="O124" s="243" t="str">
        <f>VLOOKUP(Ruimtestaat[[#This Row],[Ruimte code]],Ruimtegroepen[#All],4,FALSE)</f>
        <v>B  (Bureauruimte)</v>
      </c>
      <c r="P124" s="214"/>
      <c r="Q124" s="215">
        <v>40</v>
      </c>
      <c r="R124" s="215" t="s">
        <v>17</v>
      </c>
      <c r="S124" s="215">
        <f>IF(R124&gt;0,IF(RIGHT(Ruimtestaat[[#This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24" s="215">
        <f>IF(S124&gt;0,VLOOKUP($J124,Ruimtegroepen[],3,FALSE)*VLOOKUP($K124,Vloersoorten[],3,FALSE)*VLOOKUP($R124,Frequenties[],3,FALSE)*VLOOKUP($A124,Locaties[],3,FALSE),0)</f>
        <v>0</v>
      </c>
      <c r="U124" s="215">
        <f>Ruimtestaat[[#This Row],[Uitvoeringen werkdagen]]*Ruimtestaat[[#This Row],[Oppervlak (netto)]]</f>
        <v>1751.2</v>
      </c>
      <c r="V124" s="259">
        <f>IF(T124&gt;0,Ruimtestaat[[#This Row],[Prest. (m2 /jaar) werkdagen]]/Ruimtestaat[[#This Row],[Norm (m2/uur) werkdagen]],0)</f>
        <v>0</v>
      </c>
      <c r="W124" s="260">
        <f>Ruimtestaat[[#This Row],[uren / jaar werkdagen]]*Tariefsopbouw!$D$38</f>
        <v>0</v>
      </c>
      <c r="X124" s="33"/>
      <c r="Y124" s="33">
        <f>IF(Ruimtestaat[[#This Row],[Frequentie weekend]]&gt;0,VALUE(LEFT(X124,1))*Q124,0)</f>
        <v>0</v>
      </c>
      <c r="Z124" s="33">
        <f>IF($Y124&gt;0,VLOOKUP($J124,Ruimtegroepen[],3,FALSE)*VLOOKUP($K124,Vloersoorten[],3,FALSE)*VLOOKUP($X124,Frequenties[],3,FALSE)*VLOOKUP(#REF!,Locaties[],3,FALSE),0)</f>
        <v>0</v>
      </c>
      <c r="AA124" s="33"/>
      <c r="AB124" s="33"/>
      <c r="AC124" s="33">
        <f>Ruimtestaat[[#This Row],[uren / jaar weekend]]*Tariefsopbouw!$D$40</f>
        <v>0</v>
      </c>
      <c r="AD124" s="88">
        <f>Ruimtestaat[[#This Row],[Prest. (m2 /jaar) weekend]]+Ruimtestaat[[#This Row],[Prest. (m2 /jaar) werkdagen]]</f>
        <v>1751.2</v>
      </c>
      <c r="AE124" s="88">
        <f>Ruimtestaat[[#This Row],[uren / jaar weekend]]+Ruimtestaat[[#This Row],[uren / jaar werkdagen]]</f>
        <v>0</v>
      </c>
      <c r="AF124" s="89">
        <f>Ruimtestaat[[#This Row],[kosten / jaar weekend]]+Ruimtestaat[[#This Row],[kosten / jaar werkdagen]]</f>
        <v>0</v>
      </c>
      <c r="HK124" s="87"/>
    </row>
    <row r="125" spans="1:219" ht="15" customHeight="1">
      <c r="A125" s="129">
        <v>1</v>
      </c>
      <c r="B125" s="21" t="str">
        <f>VLOOKUP(Ruimtestaat[[#This Row],[Code]],Locaties[#All],2,FALSE)</f>
        <v>PXC Aalderinkshoek</v>
      </c>
      <c r="C125" s="21" t="str">
        <f>VLOOKUP(Ruimtestaat[[#This Row],[Code]],Locaties[#All],4,FALSE)</f>
        <v>Cesar Frankstraat 4</v>
      </c>
      <c r="D125" s="243" t="str">
        <f>VLOOKUP(Ruimtestaat[[#This Row],[Code]],Locaties[#All],5,FALSE)</f>
        <v>7604 JG</v>
      </c>
      <c r="E125" s="243" t="str">
        <f>VLOOKUP(Ruimtestaat[[#This Row],[Code]],Locaties[#All],6,FALSE)</f>
        <v>Almelo</v>
      </c>
      <c r="F125" s="244"/>
      <c r="G125" s="200" t="s">
        <v>590</v>
      </c>
      <c r="H125" s="200" t="s">
        <v>615</v>
      </c>
      <c r="I125" s="244" t="s">
        <v>616</v>
      </c>
      <c r="J125" s="243">
        <v>2</v>
      </c>
      <c r="K125" s="200" t="s">
        <v>1040</v>
      </c>
      <c r="L125" s="200" t="s">
        <v>999</v>
      </c>
      <c r="M125" s="213">
        <v>24.5</v>
      </c>
      <c r="N125" s="213"/>
      <c r="O125" s="243" t="str">
        <f>VLOOKUP(Ruimtestaat[[#This Row],[Ruimte code]],Ruimtegroepen[#All],4,FALSE)</f>
        <v>B  (Bureauruimte)</v>
      </c>
      <c r="P125" s="214"/>
      <c r="Q125" s="215">
        <v>40</v>
      </c>
      <c r="R125" s="215" t="s">
        <v>17</v>
      </c>
      <c r="S125" s="215">
        <f>IF(R125&gt;0,IF(RIGHT(Ruimtestaat[[#This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25" s="215">
        <f>IF(S125&gt;0,VLOOKUP($J125,Ruimtegroepen[],3,FALSE)*VLOOKUP($K125,Vloersoorten[],3,FALSE)*VLOOKUP($R125,Frequenties[],3,FALSE)*VLOOKUP($A125,Locaties[],3,FALSE),0)</f>
        <v>0</v>
      </c>
      <c r="U125" s="215">
        <f>Ruimtestaat[[#This Row],[Uitvoeringen werkdagen]]*Ruimtestaat[[#This Row],[Oppervlak (netto)]]</f>
        <v>1960</v>
      </c>
      <c r="V125" s="259">
        <f>IF(T125&gt;0,Ruimtestaat[[#This Row],[Prest. (m2 /jaar) werkdagen]]/Ruimtestaat[[#This Row],[Norm (m2/uur) werkdagen]],0)</f>
        <v>0</v>
      </c>
      <c r="W125" s="260">
        <f>Ruimtestaat[[#This Row],[uren / jaar werkdagen]]*Tariefsopbouw!$D$38</f>
        <v>0</v>
      </c>
      <c r="X125" s="33"/>
      <c r="Y125" s="33">
        <f>IF(Ruimtestaat[[#This Row],[Frequentie weekend]]&gt;0,VALUE(LEFT(X125,1))*Q125,0)</f>
        <v>0</v>
      </c>
      <c r="Z125" s="33">
        <f>IF($Y125&gt;0,VLOOKUP($J125,Ruimtegroepen[],3,FALSE)*VLOOKUP($K125,Vloersoorten[],3,FALSE)*VLOOKUP($X125,Frequenties[],3,FALSE)*VLOOKUP(#REF!,Locaties[],3,FALSE),0)</f>
        <v>0</v>
      </c>
      <c r="AA125" s="33"/>
      <c r="AB125" s="33"/>
      <c r="AC125" s="33">
        <f>Ruimtestaat[[#This Row],[uren / jaar weekend]]*Tariefsopbouw!$D$40</f>
        <v>0</v>
      </c>
      <c r="AD125" s="88">
        <f>Ruimtestaat[[#This Row],[Prest. (m2 /jaar) weekend]]+Ruimtestaat[[#This Row],[Prest. (m2 /jaar) werkdagen]]</f>
        <v>1960</v>
      </c>
      <c r="AE125" s="88">
        <f>Ruimtestaat[[#This Row],[uren / jaar weekend]]+Ruimtestaat[[#This Row],[uren / jaar werkdagen]]</f>
        <v>0</v>
      </c>
      <c r="AF125" s="89">
        <f>Ruimtestaat[[#This Row],[kosten / jaar weekend]]+Ruimtestaat[[#This Row],[kosten / jaar werkdagen]]</f>
        <v>0</v>
      </c>
      <c r="HK125" s="87"/>
    </row>
    <row r="126" spans="1:219" ht="15" customHeight="1">
      <c r="A126" s="129">
        <v>1</v>
      </c>
      <c r="B126" s="21" t="str">
        <f>VLOOKUP(Ruimtestaat[[#This Row],[Code]],Locaties[#All],2,FALSE)</f>
        <v>PXC Aalderinkshoek</v>
      </c>
      <c r="C126" s="21" t="str">
        <f>VLOOKUP(Ruimtestaat[[#This Row],[Code]],Locaties[#All],4,FALSE)</f>
        <v>Cesar Frankstraat 4</v>
      </c>
      <c r="D126" s="243" t="str">
        <f>VLOOKUP(Ruimtestaat[[#This Row],[Code]],Locaties[#All],5,FALSE)</f>
        <v>7604 JG</v>
      </c>
      <c r="E126" s="243" t="str">
        <f>VLOOKUP(Ruimtestaat[[#This Row],[Code]],Locaties[#All],6,FALSE)</f>
        <v>Almelo</v>
      </c>
      <c r="F126" s="244"/>
      <c r="G126" s="200" t="s">
        <v>590</v>
      </c>
      <c r="H126" s="200" t="s">
        <v>617</v>
      </c>
      <c r="I126" s="244" t="s">
        <v>550</v>
      </c>
      <c r="J126" s="200">
        <v>21</v>
      </c>
      <c r="K126" s="243"/>
      <c r="L126" s="200"/>
      <c r="M126" s="213"/>
      <c r="N126" s="213">
        <v>2.0099999999999998</v>
      </c>
      <c r="O126" s="243" t="str">
        <f>VLOOKUP(Ruimtestaat[[#This Row],[Ruimte code]],Ruimtegroepen[#All],4,FALSE)</f>
        <v>Niet in onderhoud</v>
      </c>
      <c r="P126" s="214"/>
      <c r="Q126" s="215"/>
      <c r="R126" s="215"/>
      <c r="S126" s="215">
        <f>IF(R126&gt;0,IF(RIGHT(Ruimtestaat[[#This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26" s="215">
        <f>IF(S126&gt;0,VLOOKUP($J126,Ruimtegroepen[],3,FALSE)*VLOOKUP($K126,Vloersoorten[],3,FALSE)*VLOOKUP($R126,Frequenties[],3,FALSE)*VLOOKUP($A126,Locaties[],3,FALSE),0)</f>
        <v>0</v>
      </c>
      <c r="U126" s="215">
        <f>Ruimtestaat[[#This Row],[Uitvoeringen werkdagen]]*Ruimtestaat[[#This Row],[Oppervlak (netto)]]</f>
        <v>0</v>
      </c>
      <c r="V126" s="259">
        <f>IF(T126&gt;0,Ruimtestaat[[#This Row],[Prest. (m2 /jaar) werkdagen]]/Ruimtestaat[[#This Row],[Norm (m2/uur) werkdagen]],0)</f>
        <v>0</v>
      </c>
      <c r="W126" s="260">
        <f>Ruimtestaat[[#This Row],[uren / jaar werkdagen]]*Tariefsopbouw!$D$38</f>
        <v>0</v>
      </c>
      <c r="X126" s="33"/>
      <c r="Y126" s="33">
        <f>IF(Ruimtestaat[[#This Row],[Frequentie weekend]]&gt;0,VALUE(LEFT(X126,1))*Q126,0)</f>
        <v>0</v>
      </c>
      <c r="Z126" s="33">
        <f>IF($Y126&gt;0,VLOOKUP($J126,Ruimtegroepen[],3,FALSE)*VLOOKUP($K126,Vloersoorten[],3,FALSE)*VLOOKUP($X126,Frequenties[],3,FALSE)*VLOOKUP(#REF!,Locaties[],3,FALSE),0)</f>
        <v>0</v>
      </c>
      <c r="AA126" s="33"/>
      <c r="AB126" s="33"/>
      <c r="AC126" s="33">
        <f>Ruimtestaat[[#This Row],[uren / jaar weekend]]*Tariefsopbouw!$D$40</f>
        <v>0</v>
      </c>
      <c r="AD126" s="88">
        <f>Ruimtestaat[[#This Row],[Prest. (m2 /jaar) weekend]]+Ruimtestaat[[#This Row],[Prest. (m2 /jaar) werkdagen]]</f>
        <v>0</v>
      </c>
      <c r="AE126" s="88">
        <f>Ruimtestaat[[#This Row],[uren / jaar weekend]]+Ruimtestaat[[#This Row],[uren / jaar werkdagen]]</f>
        <v>0</v>
      </c>
      <c r="AF126" s="89">
        <f>Ruimtestaat[[#This Row],[kosten / jaar weekend]]+Ruimtestaat[[#This Row],[kosten / jaar werkdagen]]</f>
        <v>0</v>
      </c>
      <c r="HK126" s="87"/>
    </row>
    <row r="127" spans="1:219" ht="15" customHeight="1">
      <c r="A127" s="129">
        <v>1</v>
      </c>
      <c r="B127" s="21" t="str">
        <f>VLOOKUP(Ruimtestaat[[#This Row],[Code]],Locaties[#All],2,FALSE)</f>
        <v>PXC Aalderinkshoek</v>
      </c>
      <c r="C127" s="21" t="str">
        <f>VLOOKUP(Ruimtestaat[[#This Row],[Code]],Locaties[#All],4,FALSE)</f>
        <v>Cesar Frankstraat 4</v>
      </c>
      <c r="D127" s="243" t="str">
        <f>VLOOKUP(Ruimtestaat[[#This Row],[Code]],Locaties[#All],5,FALSE)</f>
        <v>7604 JG</v>
      </c>
      <c r="E127" s="243" t="str">
        <f>VLOOKUP(Ruimtestaat[[#This Row],[Code]],Locaties[#All],6,FALSE)</f>
        <v>Almelo</v>
      </c>
      <c r="F127" s="244"/>
      <c r="G127" s="200" t="s">
        <v>590</v>
      </c>
      <c r="H127" s="200" t="s">
        <v>618</v>
      </c>
      <c r="I127" s="244" t="s">
        <v>552</v>
      </c>
      <c r="J127" s="200">
        <v>21</v>
      </c>
      <c r="K127" s="243"/>
      <c r="L127" s="200"/>
      <c r="M127" s="213"/>
      <c r="N127" s="213">
        <v>0.52</v>
      </c>
      <c r="O127" s="243" t="str">
        <f>VLOOKUP(Ruimtestaat[[#This Row],[Ruimte code]],Ruimtegroepen[#All],4,FALSE)</f>
        <v>Niet in onderhoud</v>
      </c>
      <c r="P127" s="214"/>
      <c r="Q127" s="215"/>
      <c r="R127" s="215"/>
      <c r="S127" s="215">
        <f>IF(R127&gt;0,IF(RIGHT(Ruimtestaat[[#This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27" s="215">
        <f>IF(S127&gt;0,VLOOKUP($J127,Ruimtegroepen[],3,FALSE)*VLOOKUP($K127,Vloersoorten[],3,FALSE)*VLOOKUP($R127,Frequenties[],3,FALSE)*VLOOKUP($A127,Locaties[],3,FALSE),0)</f>
        <v>0</v>
      </c>
      <c r="U127" s="215">
        <f>Ruimtestaat[[#This Row],[Uitvoeringen werkdagen]]*Ruimtestaat[[#This Row],[Oppervlak (netto)]]</f>
        <v>0</v>
      </c>
      <c r="V127" s="259">
        <f>IF(T127&gt;0,Ruimtestaat[[#This Row],[Prest. (m2 /jaar) werkdagen]]/Ruimtestaat[[#This Row],[Norm (m2/uur) werkdagen]],0)</f>
        <v>0</v>
      </c>
      <c r="W127" s="260">
        <f>Ruimtestaat[[#This Row],[uren / jaar werkdagen]]*Tariefsopbouw!$D$38</f>
        <v>0</v>
      </c>
      <c r="X127" s="33"/>
      <c r="Y127" s="33">
        <f>IF(Ruimtestaat[[#This Row],[Frequentie weekend]]&gt;0,VALUE(LEFT(X127,1))*Q127,0)</f>
        <v>0</v>
      </c>
      <c r="Z127" s="33">
        <f>IF($Y127&gt;0,VLOOKUP($J127,Ruimtegroepen[],3,FALSE)*VLOOKUP($K127,Vloersoorten[],3,FALSE)*VLOOKUP($X127,Frequenties[],3,FALSE)*VLOOKUP(#REF!,Locaties[],3,FALSE),0)</f>
        <v>0</v>
      </c>
      <c r="AA127" s="33"/>
      <c r="AB127" s="33"/>
      <c r="AC127" s="33">
        <f>Ruimtestaat[[#This Row],[uren / jaar weekend]]*Tariefsopbouw!$D$40</f>
        <v>0</v>
      </c>
      <c r="AD127" s="88">
        <f>Ruimtestaat[[#This Row],[Prest. (m2 /jaar) weekend]]+Ruimtestaat[[#This Row],[Prest. (m2 /jaar) werkdagen]]</f>
        <v>0</v>
      </c>
      <c r="AE127" s="88">
        <f>Ruimtestaat[[#This Row],[uren / jaar weekend]]+Ruimtestaat[[#This Row],[uren / jaar werkdagen]]</f>
        <v>0</v>
      </c>
      <c r="AF127" s="89">
        <f>Ruimtestaat[[#This Row],[kosten / jaar weekend]]+Ruimtestaat[[#This Row],[kosten / jaar werkdagen]]</f>
        <v>0</v>
      </c>
      <c r="HK127" s="87"/>
    </row>
    <row r="128" spans="1:219" ht="15" customHeight="1">
      <c r="A128" s="129">
        <v>1</v>
      </c>
      <c r="B128" s="21" t="str">
        <f>VLOOKUP(Ruimtestaat[[#This Row],[Code]],Locaties[#All],2,FALSE)</f>
        <v>PXC Aalderinkshoek</v>
      </c>
      <c r="C128" s="21" t="str">
        <f>VLOOKUP(Ruimtestaat[[#This Row],[Code]],Locaties[#All],4,FALSE)</f>
        <v>Cesar Frankstraat 4</v>
      </c>
      <c r="D128" s="243" t="str">
        <f>VLOOKUP(Ruimtestaat[[#This Row],[Code]],Locaties[#All],5,FALSE)</f>
        <v>7604 JG</v>
      </c>
      <c r="E128" s="243" t="str">
        <f>VLOOKUP(Ruimtestaat[[#This Row],[Code]],Locaties[#All],6,FALSE)</f>
        <v>Almelo</v>
      </c>
      <c r="F128" s="244"/>
      <c r="G128" s="200" t="s">
        <v>590</v>
      </c>
      <c r="H128" s="200" t="s">
        <v>619</v>
      </c>
      <c r="I128" s="244" t="s">
        <v>620</v>
      </c>
      <c r="J128" s="200">
        <v>10</v>
      </c>
      <c r="K128" s="200" t="s">
        <v>111</v>
      </c>
      <c r="L128" s="200" t="s">
        <v>128</v>
      </c>
      <c r="M128" s="213">
        <v>69.040000000000006</v>
      </c>
      <c r="N128" s="213"/>
      <c r="O128" s="243" t="str">
        <f>VLOOKUP(Ruimtestaat[[#This Row],[Ruimte code]],Ruimtegroepen[#All],4,FALSE)</f>
        <v>V  (Verkeersruimte)</v>
      </c>
      <c r="P128" s="214"/>
      <c r="Q128" s="215">
        <v>40</v>
      </c>
      <c r="R128" s="215" t="s">
        <v>2</v>
      </c>
      <c r="S128" s="215">
        <f>IF(R128&gt;0,IF(RIGHT(Ruimtestaat[[#This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28" s="215">
        <f>IF(S128&gt;0,VLOOKUP($J128,Ruimtegroepen[],3,FALSE)*VLOOKUP($K128,Vloersoorten[],3,FALSE)*VLOOKUP($R128,Frequenties[],3,FALSE)*VLOOKUP($A128,Locaties[],3,FALSE),0)</f>
        <v>0</v>
      </c>
      <c r="U128" s="215">
        <f>Ruimtestaat[[#This Row],[Uitvoeringen werkdagen]]*Ruimtestaat[[#This Row],[Oppervlak (netto)]]</f>
        <v>13808.000000000002</v>
      </c>
      <c r="V128" s="259">
        <f>IF(T128&gt;0,Ruimtestaat[[#This Row],[Prest. (m2 /jaar) werkdagen]]/Ruimtestaat[[#This Row],[Norm (m2/uur) werkdagen]],0)</f>
        <v>0</v>
      </c>
      <c r="W128" s="260">
        <f>Ruimtestaat[[#This Row],[uren / jaar werkdagen]]*Tariefsopbouw!$D$38</f>
        <v>0</v>
      </c>
      <c r="X128" s="33"/>
      <c r="Y128" s="33">
        <f>IF(Ruimtestaat[[#This Row],[Frequentie weekend]]&gt;0,VALUE(LEFT(X128,1))*Q128,0)</f>
        <v>0</v>
      </c>
      <c r="Z128" s="33">
        <f>IF($Y128&gt;0,VLOOKUP($J128,Ruimtegroepen[],3,FALSE)*VLOOKUP($K128,Vloersoorten[],3,FALSE)*VLOOKUP($X128,Frequenties[],3,FALSE)*VLOOKUP(#REF!,Locaties[],3,FALSE),0)</f>
        <v>0</v>
      </c>
      <c r="AA128" s="33"/>
      <c r="AB128" s="33"/>
      <c r="AC128" s="33">
        <f>Ruimtestaat[[#This Row],[uren / jaar weekend]]*Tariefsopbouw!$D$40</f>
        <v>0</v>
      </c>
      <c r="AD128" s="88">
        <f>Ruimtestaat[[#This Row],[Prest. (m2 /jaar) weekend]]+Ruimtestaat[[#This Row],[Prest. (m2 /jaar) werkdagen]]</f>
        <v>13808.000000000002</v>
      </c>
      <c r="AE128" s="88">
        <f>Ruimtestaat[[#This Row],[uren / jaar weekend]]+Ruimtestaat[[#This Row],[uren / jaar werkdagen]]</f>
        <v>0</v>
      </c>
      <c r="AF128" s="89">
        <f>Ruimtestaat[[#This Row],[kosten / jaar weekend]]+Ruimtestaat[[#This Row],[kosten / jaar werkdagen]]</f>
        <v>0</v>
      </c>
      <c r="HK128" s="87"/>
    </row>
    <row r="129" spans="1:219" ht="15" customHeight="1">
      <c r="A129" s="129">
        <v>1</v>
      </c>
      <c r="B129" s="21" t="str">
        <f>VLOOKUP(Ruimtestaat[[#This Row],[Code]],Locaties[#All],2,FALSE)</f>
        <v>PXC Aalderinkshoek</v>
      </c>
      <c r="C129" s="21" t="str">
        <f>VLOOKUP(Ruimtestaat[[#This Row],[Code]],Locaties[#All],4,FALSE)</f>
        <v>Cesar Frankstraat 4</v>
      </c>
      <c r="D129" s="243" t="str">
        <f>VLOOKUP(Ruimtestaat[[#This Row],[Code]],Locaties[#All],5,FALSE)</f>
        <v>7604 JG</v>
      </c>
      <c r="E129" s="243" t="str">
        <f>VLOOKUP(Ruimtestaat[[#This Row],[Code]],Locaties[#All],6,FALSE)</f>
        <v>Almelo</v>
      </c>
      <c r="F129" s="244"/>
      <c r="G129" s="200" t="s">
        <v>590</v>
      </c>
      <c r="H129" s="200" t="s">
        <v>621</v>
      </c>
      <c r="I129" s="244" t="s">
        <v>455</v>
      </c>
      <c r="J129" s="200">
        <v>10</v>
      </c>
      <c r="K129" s="200" t="s">
        <v>111</v>
      </c>
      <c r="L129" s="200" t="s">
        <v>128</v>
      </c>
      <c r="M129" s="213">
        <v>27.09</v>
      </c>
      <c r="N129" s="213"/>
      <c r="O129" s="243" t="str">
        <f>VLOOKUP(Ruimtestaat[[#This Row],[Ruimte code]],Ruimtegroepen[#All],4,FALSE)</f>
        <v>V  (Verkeersruimte)</v>
      </c>
      <c r="P129" s="214"/>
      <c r="Q129" s="215">
        <v>40</v>
      </c>
      <c r="R129" s="215" t="s">
        <v>15</v>
      </c>
      <c r="S129" s="215">
        <f>IF(R129&gt;0,IF(RIGHT(Ruimtestaat[[#This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29" s="215">
        <f>IF(S129&gt;0,VLOOKUP($J129,Ruimtegroepen[],3,FALSE)*VLOOKUP($K129,Vloersoorten[],3,FALSE)*VLOOKUP($R129,Frequenties[],3,FALSE)*VLOOKUP($A129,Locaties[],3,FALSE),0)</f>
        <v>0</v>
      </c>
      <c r="U129" s="215">
        <f>Ruimtestaat[[#This Row],[Uitvoeringen werkdagen]]*Ruimtestaat[[#This Row],[Oppervlak (netto)]]</f>
        <v>1083.5999999999999</v>
      </c>
      <c r="V129" s="259">
        <f>IF(T129&gt;0,Ruimtestaat[[#This Row],[Prest. (m2 /jaar) werkdagen]]/Ruimtestaat[[#This Row],[Norm (m2/uur) werkdagen]],0)</f>
        <v>0</v>
      </c>
      <c r="W129" s="260">
        <f>Ruimtestaat[[#This Row],[uren / jaar werkdagen]]*Tariefsopbouw!$D$38</f>
        <v>0</v>
      </c>
      <c r="X129" s="33"/>
      <c r="Y129" s="33">
        <f>IF(Ruimtestaat[[#This Row],[Frequentie weekend]]&gt;0,VALUE(LEFT(X129,1))*Q129,0)</f>
        <v>0</v>
      </c>
      <c r="Z129" s="33">
        <f>IF($Y129&gt;0,VLOOKUP($J129,Ruimtegroepen[],3,FALSE)*VLOOKUP($K129,Vloersoorten[],3,FALSE)*VLOOKUP($X129,Frequenties[],3,FALSE)*VLOOKUP(#REF!,Locaties[],3,FALSE),0)</f>
        <v>0</v>
      </c>
      <c r="AA129" s="33"/>
      <c r="AB129" s="33"/>
      <c r="AC129" s="33">
        <f>Ruimtestaat[[#This Row],[uren / jaar weekend]]*Tariefsopbouw!$D$40</f>
        <v>0</v>
      </c>
      <c r="AD129" s="88">
        <f>Ruimtestaat[[#This Row],[Prest. (m2 /jaar) weekend]]+Ruimtestaat[[#This Row],[Prest. (m2 /jaar) werkdagen]]</f>
        <v>1083.5999999999999</v>
      </c>
      <c r="AE129" s="88">
        <f>Ruimtestaat[[#This Row],[uren / jaar weekend]]+Ruimtestaat[[#This Row],[uren / jaar werkdagen]]</f>
        <v>0</v>
      </c>
      <c r="AF129" s="89">
        <f>Ruimtestaat[[#This Row],[kosten / jaar weekend]]+Ruimtestaat[[#This Row],[kosten / jaar werkdagen]]</f>
        <v>0</v>
      </c>
      <c r="HK129" s="87"/>
    </row>
    <row r="130" spans="1:219" ht="15" customHeight="1">
      <c r="A130" s="129">
        <v>1</v>
      </c>
      <c r="B130" s="21" t="str">
        <f>VLOOKUP(Ruimtestaat[[#This Row],[Code]],Locaties[#All],2,FALSE)</f>
        <v>PXC Aalderinkshoek</v>
      </c>
      <c r="C130" s="21" t="str">
        <f>VLOOKUP(Ruimtestaat[[#This Row],[Code]],Locaties[#All],4,FALSE)</f>
        <v>Cesar Frankstraat 4</v>
      </c>
      <c r="D130" s="243" t="str">
        <f>VLOOKUP(Ruimtestaat[[#This Row],[Code]],Locaties[#All],5,FALSE)</f>
        <v>7604 JG</v>
      </c>
      <c r="E130" s="243" t="str">
        <f>VLOOKUP(Ruimtestaat[[#This Row],[Code]],Locaties[#All],6,FALSE)</f>
        <v>Almelo</v>
      </c>
      <c r="F130" s="244"/>
      <c r="G130" s="200" t="s">
        <v>590</v>
      </c>
      <c r="H130" s="200" t="s">
        <v>622</v>
      </c>
      <c r="I130" s="244" t="s">
        <v>463</v>
      </c>
      <c r="J130" s="200">
        <v>16</v>
      </c>
      <c r="K130" s="200" t="s">
        <v>110</v>
      </c>
      <c r="L130" s="200" t="s">
        <v>132</v>
      </c>
      <c r="M130" s="213">
        <v>47.94</v>
      </c>
      <c r="N130" s="213"/>
      <c r="O130" s="243" t="str">
        <f>VLOOKUP(Ruimtestaat[[#This Row],[Ruimte code]],Ruimtegroepen[#All],4,FALSE)</f>
        <v>L  (Lesruimte)</v>
      </c>
      <c r="P130" s="214"/>
      <c r="Q130" s="215">
        <v>40</v>
      </c>
      <c r="R130" s="215" t="s">
        <v>1344</v>
      </c>
      <c r="S130" s="215">
        <f>IF(R130&gt;0,IF(RIGHT(Ruimtestaat[[#This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30" s="215">
        <f>IF(S130&gt;0,VLOOKUP($J130,Ruimtegroepen[],3,FALSE)*VLOOKUP($K130,Vloersoorten[],3,FALSE)*VLOOKUP($R130,Frequenties[],3,FALSE)*VLOOKUP($A130,Locaties[],3,FALSE),0)</f>
        <v>0</v>
      </c>
      <c r="U130" s="215">
        <f>Ruimtestaat[[#This Row],[Uitvoeringen werkdagen]]*Ruimtestaat[[#This Row],[Oppervlak (netto)]]</f>
        <v>1150.56</v>
      </c>
      <c r="V130" s="259">
        <f>IF(T130&gt;0,Ruimtestaat[[#This Row],[Prest. (m2 /jaar) werkdagen]]/Ruimtestaat[[#This Row],[Norm (m2/uur) werkdagen]],0)</f>
        <v>0</v>
      </c>
      <c r="W130" s="260">
        <f>Ruimtestaat[[#This Row],[uren / jaar werkdagen]]*Tariefsopbouw!$D$38</f>
        <v>0</v>
      </c>
      <c r="X130" s="33"/>
      <c r="Y130" s="33">
        <f>IF(Ruimtestaat[[#This Row],[Frequentie weekend]]&gt;0,VALUE(LEFT(X130,1))*Q130,0)</f>
        <v>0</v>
      </c>
      <c r="Z130" s="33">
        <f>IF($Y130&gt;0,VLOOKUP($J130,Ruimtegroepen[],3,FALSE)*VLOOKUP($K130,Vloersoorten[],3,FALSE)*VLOOKUP($X130,Frequenties[],3,FALSE)*VLOOKUP(#REF!,Locaties[],3,FALSE),0)</f>
        <v>0</v>
      </c>
      <c r="AA130" s="33"/>
      <c r="AB130" s="33"/>
      <c r="AC130" s="33">
        <f>Ruimtestaat[[#This Row],[uren / jaar weekend]]*Tariefsopbouw!$D$40</f>
        <v>0</v>
      </c>
      <c r="AD130" s="88">
        <f>Ruimtestaat[[#This Row],[Prest. (m2 /jaar) weekend]]+Ruimtestaat[[#This Row],[Prest. (m2 /jaar) werkdagen]]</f>
        <v>1150.56</v>
      </c>
      <c r="AE130" s="88">
        <f>Ruimtestaat[[#This Row],[uren / jaar weekend]]+Ruimtestaat[[#This Row],[uren / jaar werkdagen]]</f>
        <v>0</v>
      </c>
      <c r="AF130" s="89">
        <f>Ruimtestaat[[#This Row],[kosten / jaar weekend]]+Ruimtestaat[[#This Row],[kosten / jaar werkdagen]]</f>
        <v>0</v>
      </c>
      <c r="HK130" s="87"/>
    </row>
    <row r="131" spans="1:219" ht="15" customHeight="1">
      <c r="A131" s="129">
        <v>1</v>
      </c>
      <c r="B131" s="21" t="str">
        <f>VLOOKUP(Ruimtestaat[[#This Row],[Code]],Locaties[#All],2,FALSE)</f>
        <v>PXC Aalderinkshoek</v>
      </c>
      <c r="C131" s="21" t="str">
        <f>VLOOKUP(Ruimtestaat[[#This Row],[Code]],Locaties[#All],4,FALSE)</f>
        <v>Cesar Frankstraat 4</v>
      </c>
      <c r="D131" s="243" t="str">
        <f>VLOOKUP(Ruimtestaat[[#This Row],[Code]],Locaties[#All],5,FALSE)</f>
        <v>7604 JG</v>
      </c>
      <c r="E131" s="243" t="str">
        <f>VLOOKUP(Ruimtestaat[[#This Row],[Code]],Locaties[#All],6,FALSE)</f>
        <v>Almelo</v>
      </c>
      <c r="F131" s="244"/>
      <c r="G131" s="200" t="s">
        <v>590</v>
      </c>
      <c r="H131" s="200" t="s">
        <v>623</v>
      </c>
      <c r="I131" s="244" t="s">
        <v>463</v>
      </c>
      <c r="J131" s="200">
        <v>16</v>
      </c>
      <c r="K131" s="200" t="s">
        <v>110</v>
      </c>
      <c r="L131" s="200" t="s">
        <v>132</v>
      </c>
      <c r="M131" s="213">
        <v>45.33</v>
      </c>
      <c r="N131" s="213"/>
      <c r="O131" s="243" t="str">
        <f>VLOOKUP(Ruimtestaat[[#This Row],[Ruimte code]],Ruimtegroepen[#All],4,FALSE)</f>
        <v>L  (Lesruimte)</v>
      </c>
      <c r="P131" s="214"/>
      <c r="Q131" s="215">
        <v>40</v>
      </c>
      <c r="R131" s="215" t="s">
        <v>1344</v>
      </c>
      <c r="S131" s="215">
        <f>IF(R131&gt;0,IF(RIGHT(Ruimtestaat[[#This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31" s="215">
        <f>IF(S131&gt;0,VLOOKUP($J131,Ruimtegroepen[],3,FALSE)*VLOOKUP($K131,Vloersoorten[],3,FALSE)*VLOOKUP($R131,Frequenties[],3,FALSE)*VLOOKUP($A131,Locaties[],3,FALSE),0)</f>
        <v>0</v>
      </c>
      <c r="U131" s="215">
        <f>Ruimtestaat[[#This Row],[Uitvoeringen werkdagen]]*Ruimtestaat[[#This Row],[Oppervlak (netto)]]</f>
        <v>1087.92</v>
      </c>
      <c r="V131" s="259">
        <f>IF(T131&gt;0,Ruimtestaat[[#This Row],[Prest. (m2 /jaar) werkdagen]]/Ruimtestaat[[#This Row],[Norm (m2/uur) werkdagen]],0)</f>
        <v>0</v>
      </c>
      <c r="W131" s="260">
        <f>Ruimtestaat[[#This Row],[uren / jaar werkdagen]]*Tariefsopbouw!$D$38</f>
        <v>0</v>
      </c>
      <c r="X131" s="33"/>
      <c r="Y131" s="33">
        <f>IF(Ruimtestaat[[#This Row],[Frequentie weekend]]&gt;0,VALUE(LEFT(X131,1))*Q131,0)</f>
        <v>0</v>
      </c>
      <c r="Z131" s="33">
        <f>IF($Y131&gt;0,VLOOKUP($J131,Ruimtegroepen[],3,FALSE)*VLOOKUP($K131,Vloersoorten[],3,FALSE)*VLOOKUP($X131,Frequenties[],3,FALSE)*VLOOKUP(#REF!,Locaties[],3,FALSE),0)</f>
        <v>0</v>
      </c>
      <c r="AA131" s="33"/>
      <c r="AB131" s="33"/>
      <c r="AC131" s="33">
        <f>Ruimtestaat[[#This Row],[uren / jaar weekend]]*Tariefsopbouw!$D$40</f>
        <v>0</v>
      </c>
      <c r="AD131" s="88">
        <f>Ruimtestaat[[#This Row],[Prest. (m2 /jaar) weekend]]+Ruimtestaat[[#This Row],[Prest. (m2 /jaar) werkdagen]]</f>
        <v>1087.92</v>
      </c>
      <c r="AE131" s="88">
        <f>Ruimtestaat[[#This Row],[uren / jaar weekend]]+Ruimtestaat[[#This Row],[uren / jaar werkdagen]]</f>
        <v>0</v>
      </c>
      <c r="AF131" s="89">
        <f>Ruimtestaat[[#This Row],[kosten / jaar weekend]]+Ruimtestaat[[#This Row],[kosten / jaar werkdagen]]</f>
        <v>0</v>
      </c>
      <c r="HK131" s="87"/>
    </row>
    <row r="132" spans="1:219" ht="15" customHeight="1">
      <c r="A132" s="129">
        <v>1</v>
      </c>
      <c r="B132" s="21" t="str">
        <f>VLOOKUP(Ruimtestaat[[#This Row],[Code]],Locaties[#All],2,FALSE)</f>
        <v>PXC Aalderinkshoek</v>
      </c>
      <c r="C132" s="21" t="str">
        <f>VLOOKUP(Ruimtestaat[[#This Row],[Code]],Locaties[#All],4,FALSE)</f>
        <v>Cesar Frankstraat 4</v>
      </c>
      <c r="D132" s="243" t="str">
        <f>VLOOKUP(Ruimtestaat[[#This Row],[Code]],Locaties[#All],5,FALSE)</f>
        <v>7604 JG</v>
      </c>
      <c r="E132" s="243" t="str">
        <f>VLOOKUP(Ruimtestaat[[#This Row],[Code]],Locaties[#All],6,FALSE)</f>
        <v>Almelo</v>
      </c>
      <c r="F132" s="244"/>
      <c r="G132" s="200" t="s">
        <v>590</v>
      </c>
      <c r="H132" s="200" t="s">
        <v>624</v>
      </c>
      <c r="I132" s="244" t="s">
        <v>463</v>
      </c>
      <c r="J132" s="200">
        <v>16</v>
      </c>
      <c r="K132" s="200" t="s">
        <v>110</v>
      </c>
      <c r="L132" s="200" t="s">
        <v>132</v>
      </c>
      <c r="M132" s="213">
        <v>45.33</v>
      </c>
      <c r="N132" s="213"/>
      <c r="O132" s="243" t="str">
        <f>VLOOKUP(Ruimtestaat[[#This Row],[Ruimte code]],Ruimtegroepen[#All],4,FALSE)</f>
        <v>L  (Lesruimte)</v>
      </c>
      <c r="P132" s="214"/>
      <c r="Q132" s="215">
        <v>40</v>
      </c>
      <c r="R132" s="215" t="s">
        <v>1344</v>
      </c>
      <c r="S132" s="215">
        <f>IF(R132&gt;0,IF(RIGHT(Ruimtestaat[[#This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32" s="215">
        <f>IF(S132&gt;0,VLOOKUP($J132,Ruimtegroepen[],3,FALSE)*VLOOKUP($K132,Vloersoorten[],3,FALSE)*VLOOKUP($R132,Frequenties[],3,FALSE)*VLOOKUP($A132,Locaties[],3,FALSE),0)</f>
        <v>0</v>
      </c>
      <c r="U132" s="215">
        <f>Ruimtestaat[[#This Row],[Uitvoeringen werkdagen]]*Ruimtestaat[[#This Row],[Oppervlak (netto)]]</f>
        <v>1087.92</v>
      </c>
      <c r="V132" s="259">
        <f>IF(T132&gt;0,Ruimtestaat[[#This Row],[Prest. (m2 /jaar) werkdagen]]/Ruimtestaat[[#This Row],[Norm (m2/uur) werkdagen]],0)</f>
        <v>0</v>
      </c>
      <c r="W132" s="260">
        <f>Ruimtestaat[[#This Row],[uren / jaar werkdagen]]*Tariefsopbouw!$D$38</f>
        <v>0</v>
      </c>
      <c r="X132" s="33"/>
      <c r="Y132" s="33">
        <f>IF(Ruimtestaat[[#This Row],[Frequentie weekend]]&gt;0,VALUE(LEFT(X132,1))*Q132,0)</f>
        <v>0</v>
      </c>
      <c r="Z132" s="33">
        <f>IF($Y132&gt;0,VLOOKUP($J132,Ruimtegroepen[],3,FALSE)*VLOOKUP($K132,Vloersoorten[],3,FALSE)*VLOOKUP($X132,Frequenties[],3,FALSE)*VLOOKUP(#REF!,Locaties[],3,FALSE),0)</f>
        <v>0</v>
      </c>
      <c r="AA132" s="33"/>
      <c r="AB132" s="33"/>
      <c r="AC132" s="33">
        <f>Ruimtestaat[[#This Row],[uren / jaar weekend]]*Tariefsopbouw!$D$40</f>
        <v>0</v>
      </c>
      <c r="AD132" s="88">
        <f>Ruimtestaat[[#This Row],[Prest. (m2 /jaar) weekend]]+Ruimtestaat[[#This Row],[Prest. (m2 /jaar) werkdagen]]</f>
        <v>1087.92</v>
      </c>
      <c r="AE132" s="88">
        <f>Ruimtestaat[[#This Row],[uren / jaar weekend]]+Ruimtestaat[[#This Row],[uren / jaar werkdagen]]</f>
        <v>0</v>
      </c>
      <c r="AF132" s="89">
        <f>Ruimtestaat[[#This Row],[kosten / jaar weekend]]+Ruimtestaat[[#This Row],[kosten / jaar werkdagen]]</f>
        <v>0</v>
      </c>
      <c r="HK132" s="87"/>
    </row>
    <row r="133" spans="1:219" ht="15" customHeight="1">
      <c r="A133" s="129">
        <v>1</v>
      </c>
      <c r="B133" s="21" t="str">
        <f>VLOOKUP(Ruimtestaat[[#This Row],[Code]],Locaties[#All],2,FALSE)</f>
        <v>PXC Aalderinkshoek</v>
      </c>
      <c r="C133" s="21" t="str">
        <f>VLOOKUP(Ruimtestaat[[#This Row],[Code]],Locaties[#All],4,FALSE)</f>
        <v>Cesar Frankstraat 4</v>
      </c>
      <c r="D133" s="243" t="str">
        <f>VLOOKUP(Ruimtestaat[[#This Row],[Code]],Locaties[#All],5,FALSE)</f>
        <v>7604 JG</v>
      </c>
      <c r="E133" s="243" t="str">
        <f>VLOOKUP(Ruimtestaat[[#This Row],[Code]],Locaties[#All],6,FALSE)</f>
        <v>Almelo</v>
      </c>
      <c r="F133" s="244"/>
      <c r="G133" s="200" t="s">
        <v>590</v>
      </c>
      <c r="H133" s="200" t="s">
        <v>625</v>
      </c>
      <c r="I133" s="244" t="s">
        <v>463</v>
      </c>
      <c r="J133" s="200">
        <v>16</v>
      </c>
      <c r="K133" s="200" t="s">
        <v>110</v>
      </c>
      <c r="L133" s="200" t="s">
        <v>132</v>
      </c>
      <c r="M133" s="213">
        <v>45.33</v>
      </c>
      <c r="N133" s="213"/>
      <c r="O133" s="243" t="str">
        <f>VLOOKUP(Ruimtestaat[[#This Row],[Ruimte code]],Ruimtegroepen[#All],4,FALSE)</f>
        <v>L  (Lesruimte)</v>
      </c>
      <c r="P133" s="214"/>
      <c r="Q133" s="215">
        <v>40</v>
      </c>
      <c r="R133" s="215" t="s">
        <v>2</v>
      </c>
      <c r="S133" s="215">
        <f>IF(R133&gt;0,IF(RIGHT(Ruimtestaat[[#This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3" s="215">
        <f>IF(S133&gt;0,VLOOKUP($J133,Ruimtegroepen[],3,FALSE)*VLOOKUP($K133,Vloersoorten[],3,FALSE)*VLOOKUP($R133,Frequenties[],3,FALSE)*VLOOKUP($A133,Locaties[],3,FALSE),0)</f>
        <v>0</v>
      </c>
      <c r="U133" s="215">
        <f>Ruimtestaat[[#This Row],[Uitvoeringen werkdagen]]*Ruimtestaat[[#This Row],[Oppervlak (netto)]]</f>
        <v>9066</v>
      </c>
      <c r="V133" s="259">
        <f>IF(T133&gt;0,Ruimtestaat[[#This Row],[Prest. (m2 /jaar) werkdagen]]/Ruimtestaat[[#This Row],[Norm (m2/uur) werkdagen]],0)</f>
        <v>0</v>
      </c>
      <c r="W133" s="260">
        <f>Ruimtestaat[[#This Row],[uren / jaar werkdagen]]*Tariefsopbouw!$D$38</f>
        <v>0</v>
      </c>
      <c r="X133" s="33"/>
      <c r="Y133" s="33">
        <f>IF(Ruimtestaat[[#This Row],[Frequentie weekend]]&gt;0,VALUE(LEFT(X133,1))*Q133,0)</f>
        <v>0</v>
      </c>
      <c r="Z133" s="33">
        <f>IF($Y133&gt;0,VLOOKUP($J133,Ruimtegroepen[],3,FALSE)*VLOOKUP($K133,Vloersoorten[],3,FALSE)*VLOOKUP($X133,Frequenties[],3,FALSE)*VLOOKUP(#REF!,Locaties[],3,FALSE),0)</f>
        <v>0</v>
      </c>
      <c r="AA133" s="33"/>
      <c r="AB133" s="33"/>
      <c r="AC133" s="33">
        <f>Ruimtestaat[[#This Row],[uren / jaar weekend]]*Tariefsopbouw!$D$40</f>
        <v>0</v>
      </c>
      <c r="AD133" s="88">
        <f>Ruimtestaat[[#This Row],[Prest. (m2 /jaar) weekend]]+Ruimtestaat[[#This Row],[Prest. (m2 /jaar) werkdagen]]</f>
        <v>9066</v>
      </c>
      <c r="AE133" s="88">
        <f>Ruimtestaat[[#This Row],[uren / jaar weekend]]+Ruimtestaat[[#This Row],[uren / jaar werkdagen]]</f>
        <v>0</v>
      </c>
      <c r="AF133" s="89">
        <f>Ruimtestaat[[#This Row],[kosten / jaar weekend]]+Ruimtestaat[[#This Row],[kosten / jaar werkdagen]]</f>
        <v>0</v>
      </c>
      <c r="HK133" s="87"/>
    </row>
    <row r="134" spans="1:219" ht="15" customHeight="1">
      <c r="A134" s="129">
        <v>1</v>
      </c>
      <c r="B134" s="21" t="str">
        <f>VLOOKUP(Ruimtestaat[[#This Row],[Code]],Locaties[#All],2,FALSE)</f>
        <v>PXC Aalderinkshoek</v>
      </c>
      <c r="C134" s="21" t="str">
        <f>VLOOKUP(Ruimtestaat[[#This Row],[Code]],Locaties[#All],4,FALSE)</f>
        <v>Cesar Frankstraat 4</v>
      </c>
      <c r="D134" s="243" t="str">
        <f>VLOOKUP(Ruimtestaat[[#This Row],[Code]],Locaties[#All],5,FALSE)</f>
        <v>7604 JG</v>
      </c>
      <c r="E134" s="243" t="str">
        <f>VLOOKUP(Ruimtestaat[[#This Row],[Code]],Locaties[#All],6,FALSE)</f>
        <v>Almelo</v>
      </c>
      <c r="F134" s="244"/>
      <c r="G134" s="200" t="s">
        <v>590</v>
      </c>
      <c r="H134" s="200" t="s">
        <v>626</v>
      </c>
      <c r="I134" s="244" t="s">
        <v>463</v>
      </c>
      <c r="J134" s="200">
        <v>16</v>
      </c>
      <c r="K134" s="200" t="s">
        <v>110</v>
      </c>
      <c r="L134" s="200" t="s">
        <v>132</v>
      </c>
      <c r="M134" s="213">
        <v>45.33</v>
      </c>
      <c r="N134" s="213"/>
      <c r="O134" s="243" t="str">
        <f>VLOOKUP(Ruimtestaat[[#This Row],[Ruimte code]],Ruimtegroepen[#All],4,FALSE)</f>
        <v>L  (Lesruimte)</v>
      </c>
      <c r="P134" s="214"/>
      <c r="Q134" s="215">
        <v>40</v>
      </c>
      <c r="R134" s="215" t="s">
        <v>2</v>
      </c>
      <c r="S134" s="215">
        <f>IF(R134&gt;0,IF(RIGHT(Ruimtestaat[[#This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4" s="215">
        <f>IF(S134&gt;0,VLOOKUP($J134,Ruimtegroepen[],3,FALSE)*VLOOKUP($K134,Vloersoorten[],3,FALSE)*VLOOKUP($R134,Frequenties[],3,FALSE)*VLOOKUP($A134,Locaties[],3,FALSE),0)</f>
        <v>0</v>
      </c>
      <c r="U134" s="215">
        <f>Ruimtestaat[[#This Row],[Uitvoeringen werkdagen]]*Ruimtestaat[[#This Row],[Oppervlak (netto)]]</f>
        <v>9066</v>
      </c>
      <c r="V134" s="259">
        <f>IF(T134&gt;0,Ruimtestaat[[#This Row],[Prest. (m2 /jaar) werkdagen]]/Ruimtestaat[[#This Row],[Norm (m2/uur) werkdagen]],0)</f>
        <v>0</v>
      </c>
      <c r="W134" s="260">
        <f>Ruimtestaat[[#This Row],[uren / jaar werkdagen]]*Tariefsopbouw!$D$38</f>
        <v>0</v>
      </c>
      <c r="X134" s="33"/>
      <c r="Y134" s="33">
        <f>IF(Ruimtestaat[[#This Row],[Frequentie weekend]]&gt;0,VALUE(LEFT(X134,1))*Q134,0)</f>
        <v>0</v>
      </c>
      <c r="Z134" s="33">
        <f>IF($Y134&gt;0,VLOOKUP($J134,Ruimtegroepen[],3,FALSE)*VLOOKUP($K134,Vloersoorten[],3,FALSE)*VLOOKUP($X134,Frequenties[],3,FALSE)*VLOOKUP(#REF!,Locaties[],3,FALSE),0)</f>
        <v>0</v>
      </c>
      <c r="AA134" s="33"/>
      <c r="AB134" s="33"/>
      <c r="AC134" s="33">
        <f>Ruimtestaat[[#This Row],[uren / jaar weekend]]*Tariefsopbouw!$D$40</f>
        <v>0</v>
      </c>
      <c r="AD134" s="88">
        <f>Ruimtestaat[[#This Row],[Prest. (m2 /jaar) weekend]]+Ruimtestaat[[#This Row],[Prest. (m2 /jaar) werkdagen]]</f>
        <v>9066</v>
      </c>
      <c r="AE134" s="88">
        <f>Ruimtestaat[[#This Row],[uren / jaar weekend]]+Ruimtestaat[[#This Row],[uren / jaar werkdagen]]</f>
        <v>0</v>
      </c>
      <c r="AF134" s="89">
        <f>Ruimtestaat[[#This Row],[kosten / jaar weekend]]+Ruimtestaat[[#This Row],[kosten / jaar werkdagen]]</f>
        <v>0</v>
      </c>
      <c r="HK134" s="87"/>
    </row>
    <row r="135" spans="1:219" ht="15" customHeight="1">
      <c r="A135" s="129">
        <v>1</v>
      </c>
      <c r="B135" s="21" t="str">
        <f>VLOOKUP(Ruimtestaat[[#This Row],[Code]],Locaties[#All],2,FALSE)</f>
        <v>PXC Aalderinkshoek</v>
      </c>
      <c r="C135" s="21" t="str">
        <f>VLOOKUP(Ruimtestaat[[#This Row],[Code]],Locaties[#All],4,FALSE)</f>
        <v>Cesar Frankstraat 4</v>
      </c>
      <c r="D135" s="243" t="str">
        <f>VLOOKUP(Ruimtestaat[[#This Row],[Code]],Locaties[#All],5,FALSE)</f>
        <v>7604 JG</v>
      </c>
      <c r="E135" s="243" t="str">
        <f>VLOOKUP(Ruimtestaat[[#This Row],[Code]],Locaties[#All],6,FALSE)</f>
        <v>Almelo</v>
      </c>
      <c r="F135" s="244"/>
      <c r="G135" s="200" t="s">
        <v>590</v>
      </c>
      <c r="H135" s="200" t="s">
        <v>627</v>
      </c>
      <c r="I135" s="244" t="s">
        <v>463</v>
      </c>
      <c r="J135" s="200">
        <v>16</v>
      </c>
      <c r="K135" s="200" t="s">
        <v>110</v>
      </c>
      <c r="L135" s="200" t="s">
        <v>132</v>
      </c>
      <c r="M135" s="213">
        <v>45.33</v>
      </c>
      <c r="N135" s="213"/>
      <c r="O135" s="243" t="str">
        <f>VLOOKUP(Ruimtestaat[[#This Row],[Ruimte code]],Ruimtegroepen[#All],4,FALSE)</f>
        <v>L  (Lesruimte)</v>
      </c>
      <c r="P135" s="214"/>
      <c r="Q135" s="215">
        <v>40</v>
      </c>
      <c r="R135" s="215" t="s">
        <v>2</v>
      </c>
      <c r="S135" s="215">
        <f>IF(R135&gt;0,IF(RIGHT(Ruimtestaat[[#This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5" s="215">
        <f>IF(S135&gt;0,VLOOKUP($J135,Ruimtegroepen[],3,FALSE)*VLOOKUP($K135,Vloersoorten[],3,FALSE)*VLOOKUP($R135,Frequenties[],3,FALSE)*VLOOKUP($A135,Locaties[],3,FALSE),0)</f>
        <v>0</v>
      </c>
      <c r="U135" s="215">
        <f>Ruimtestaat[[#This Row],[Uitvoeringen werkdagen]]*Ruimtestaat[[#This Row],[Oppervlak (netto)]]</f>
        <v>9066</v>
      </c>
      <c r="V135" s="259">
        <f>IF(T135&gt;0,Ruimtestaat[[#This Row],[Prest. (m2 /jaar) werkdagen]]/Ruimtestaat[[#This Row],[Norm (m2/uur) werkdagen]],0)</f>
        <v>0</v>
      </c>
      <c r="W135" s="260">
        <f>Ruimtestaat[[#This Row],[uren / jaar werkdagen]]*Tariefsopbouw!$D$38</f>
        <v>0</v>
      </c>
      <c r="X135" s="33"/>
      <c r="Y135" s="33">
        <f>IF(Ruimtestaat[[#This Row],[Frequentie weekend]]&gt;0,VALUE(LEFT(X135,1))*Q135,0)</f>
        <v>0</v>
      </c>
      <c r="Z135" s="33">
        <f>IF($Y135&gt;0,VLOOKUP($J135,Ruimtegroepen[],3,FALSE)*VLOOKUP($K135,Vloersoorten[],3,FALSE)*VLOOKUP($X135,Frequenties[],3,FALSE)*VLOOKUP(#REF!,Locaties[],3,FALSE),0)</f>
        <v>0</v>
      </c>
      <c r="AA135" s="33"/>
      <c r="AB135" s="33"/>
      <c r="AC135" s="33">
        <f>Ruimtestaat[[#This Row],[uren / jaar weekend]]*Tariefsopbouw!$D$40</f>
        <v>0</v>
      </c>
      <c r="AD135" s="88">
        <f>Ruimtestaat[[#This Row],[Prest. (m2 /jaar) weekend]]+Ruimtestaat[[#This Row],[Prest. (m2 /jaar) werkdagen]]</f>
        <v>9066</v>
      </c>
      <c r="AE135" s="88">
        <f>Ruimtestaat[[#This Row],[uren / jaar weekend]]+Ruimtestaat[[#This Row],[uren / jaar werkdagen]]</f>
        <v>0</v>
      </c>
      <c r="AF135" s="89">
        <f>Ruimtestaat[[#This Row],[kosten / jaar weekend]]+Ruimtestaat[[#This Row],[kosten / jaar werkdagen]]</f>
        <v>0</v>
      </c>
      <c r="HK135" s="87"/>
    </row>
    <row r="136" spans="1:219" ht="15" customHeight="1">
      <c r="A136" s="129">
        <v>1</v>
      </c>
      <c r="B136" s="21" t="str">
        <f>VLOOKUP(Ruimtestaat[[#This Row],[Code]],Locaties[#All],2,FALSE)</f>
        <v>PXC Aalderinkshoek</v>
      </c>
      <c r="C136" s="21" t="str">
        <f>VLOOKUP(Ruimtestaat[[#This Row],[Code]],Locaties[#All],4,FALSE)</f>
        <v>Cesar Frankstraat 4</v>
      </c>
      <c r="D136" s="243" t="str">
        <f>VLOOKUP(Ruimtestaat[[#This Row],[Code]],Locaties[#All],5,FALSE)</f>
        <v>7604 JG</v>
      </c>
      <c r="E136" s="243" t="str">
        <f>VLOOKUP(Ruimtestaat[[#This Row],[Code]],Locaties[#All],6,FALSE)</f>
        <v>Almelo</v>
      </c>
      <c r="F136" s="244"/>
      <c r="G136" s="200" t="s">
        <v>590</v>
      </c>
      <c r="H136" s="200" t="s">
        <v>628</v>
      </c>
      <c r="I136" s="244" t="s">
        <v>463</v>
      </c>
      <c r="J136" s="200">
        <v>16</v>
      </c>
      <c r="K136" s="200" t="s">
        <v>110</v>
      </c>
      <c r="L136" s="200" t="s">
        <v>132</v>
      </c>
      <c r="M136" s="213">
        <v>63.16</v>
      </c>
      <c r="N136" s="213"/>
      <c r="O136" s="243" t="str">
        <f>VLOOKUP(Ruimtestaat[[#This Row],[Ruimte code]],Ruimtegroepen[#All],4,FALSE)</f>
        <v>L  (Lesruimte)</v>
      </c>
      <c r="P136" s="214"/>
      <c r="Q136" s="215">
        <v>40</v>
      </c>
      <c r="R136" s="215" t="s">
        <v>2</v>
      </c>
      <c r="S136" s="215">
        <f>IF(R136&gt;0,IF(RIGHT(Ruimtestaat[[#This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36" s="215">
        <f>IF(S136&gt;0,VLOOKUP($J136,Ruimtegroepen[],3,FALSE)*VLOOKUP($K136,Vloersoorten[],3,FALSE)*VLOOKUP($R136,Frequenties[],3,FALSE)*VLOOKUP($A136,Locaties[],3,FALSE),0)</f>
        <v>0</v>
      </c>
      <c r="U136" s="215">
        <f>Ruimtestaat[[#This Row],[Uitvoeringen werkdagen]]*Ruimtestaat[[#This Row],[Oppervlak (netto)]]</f>
        <v>12632</v>
      </c>
      <c r="V136" s="259">
        <f>IF(T136&gt;0,Ruimtestaat[[#This Row],[Prest. (m2 /jaar) werkdagen]]/Ruimtestaat[[#This Row],[Norm (m2/uur) werkdagen]],0)</f>
        <v>0</v>
      </c>
      <c r="W136" s="260">
        <f>Ruimtestaat[[#This Row],[uren / jaar werkdagen]]*Tariefsopbouw!$D$38</f>
        <v>0</v>
      </c>
      <c r="X136" s="33"/>
      <c r="Y136" s="33">
        <f>IF(Ruimtestaat[[#This Row],[Frequentie weekend]]&gt;0,VALUE(LEFT(X136,1))*Q136,0)</f>
        <v>0</v>
      </c>
      <c r="Z136" s="33">
        <f>IF($Y136&gt;0,VLOOKUP($J136,Ruimtegroepen[],3,FALSE)*VLOOKUP($K136,Vloersoorten[],3,FALSE)*VLOOKUP($X136,Frequenties[],3,FALSE)*VLOOKUP(#REF!,Locaties[],3,FALSE),0)</f>
        <v>0</v>
      </c>
      <c r="AA136" s="33"/>
      <c r="AB136" s="33"/>
      <c r="AC136" s="33">
        <f>Ruimtestaat[[#This Row],[uren / jaar weekend]]*Tariefsopbouw!$D$40</f>
        <v>0</v>
      </c>
      <c r="AD136" s="88">
        <f>Ruimtestaat[[#This Row],[Prest. (m2 /jaar) weekend]]+Ruimtestaat[[#This Row],[Prest. (m2 /jaar) werkdagen]]</f>
        <v>12632</v>
      </c>
      <c r="AE136" s="88">
        <f>Ruimtestaat[[#This Row],[uren / jaar weekend]]+Ruimtestaat[[#This Row],[uren / jaar werkdagen]]</f>
        <v>0</v>
      </c>
      <c r="AF136" s="89">
        <f>Ruimtestaat[[#This Row],[kosten / jaar weekend]]+Ruimtestaat[[#This Row],[kosten / jaar werkdagen]]</f>
        <v>0</v>
      </c>
      <c r="HK136" s="87"/>
    </row>
    <row r="137" spans="1:219" ht="15" customHeight="1">
      <c r="A137" s="129">
        <v>1</v>
      </c>
      <c r="B137" s="21" t="str">
        <f>VLOOKUP(Ruimtestaat[[#This Row],[Code]],Locaties[#All],2,FALSE)</f>
        <v>PXC Aalderinkshoek</v>
      </c>
      <c r="C137" s="21" t="str">
        <f>VLOOKUP(Ruimtestaat[[#This Row],[Code]],Locaties[#All],4,FALSE)</f>
        <v>Cesar Frankstraat 4</v>
      </c>
      <c r="D137" s="243" t="str">
        <f>VLOOKUP(Ruimtestaat[[#This Row],[Code]],Locaties[#All],5,FALSE)</f>
        <v>7604 JG</v>
      </c>
      <c r="E137" s="243" t="str">
        <f>VLOOKUP(Ruimtestaat[[#This Row],[Code]],Locaties[#All],6,FALSE)</f>
        <v>Almelo</v>
      </c>
      <c r="F137" s="244"/>
      <c r="G137" s="200" t="s">
        <v>590</v>
      </c>
      <c r="H137" s="200" t="s">
        <v>629</v>
      </c>
      <c r="I137" s="244" t="s">
        <v>630</v>
      </c>
      <c r="J137" s="200">
        <v>2</v>
      </c>
      <c r="K137" s="200" t="s">
        <v>1040</v>
      </c>
      <c r="L137" s="200" t="s">
        <v>999</v>
      </c>
      <c r="M137" s="213">
        <v>12.79</v>
      </c>
      <c r="N137" s="213"/>
      <c r="O137" s="243" t="str">
        <f>VLOOKUP(Ruimtestaat[[#This Row],[Ruimte code]],Ruimtegroepen[#All],4,FALSE)</f>
        <v>B  (Bureauruimte)</v>
      </c>
      <c r="P137" s="214"/>
      <c r="Q137" s="215">
        <v>40</v>
      </c>
      <c r="R137" s="215" t="s">
        <v>17</v>
      </c>
      <c r="S137" s="215">
        <f>IF(R137&gt;0,IF(RIGHT(Ruimtestaat[[#This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37" s="215">
        <f>IF(S137&gt;0,VLOOKUP($J137,Ruimtegroepen[],3,FALSE)*VLOOKUP($K137,Vloersoorten[],3,FALSE)*VLOOKUP($R137,Frequenties[],3,FALSE)*VLOOKUP($A137,Locaties[],3,FALSE),0)</f>
        <v>0</v>
      </c>
      <c r="U137" s="215">
        <f>Ruimtestaat[[#This Row],[Uitvoeringen werkdagen]]*Ruimtestaat[[#This Row],[Oppervlak (netto)]]</f>
        <v>1023.1999999999999</v>
      </c>
      <c r="V137" s="259">
        <f>IF(T137&gt;0,Ruimtestaat[[#This Row],[Prest. (m2 /jaar) werkdagen]]/Ruimtestaat[[#This Row],[Norm (m2/uur) werkdagen]],0)</f>
        <v>0</v>
      </c>
      <c r="W137" s="260">
        <f>Ruimtestaat[[#This Row],[uren / jaar werkdagen]]*Tariefsopbouw!$D$38</f>
        <v>0</v>
      </c>
      <c r="X137" s="33"/>
      <c r="Y137" s="33">
        <f>IF(Ruimtestaat[[#This Row],[Frequentie weekend]]&gt;0,VALUE(LEFT(X137,1))*Q137,0)</f>
        <v>0</v>
      </c>
      <c r="Z137" s="33">
        <f>IF($Y137&gt;0,VLOOKUP($J137,Ruimtegroepen[],3,FALSE)*VLOOKUP($K137,Vloersoorten[],3,FALSE)*VLOOKUP($X137,Frequenties[],3,FALSE)*VLOOKUP(#REF!,Locaties[],3,FALSE),0)</f>
        <v>0</v>
      </c>
      <c r="AA137" s="33"/>
      <c r="AB137" s="33"/>
      <c r="AC137" s="33">
        <f>Ruimtestaat[[#This Row],[uren / jaar weekend]]*Tariefsopbouw!$D$40</f>
        <v>0</v>
      </c>
      <c r="AD137" s="88">
        <f>Ruimtestaat[[#This Row],[Prest. (m2 /jaar) weekend]]+Ruimtestaat[[#This Row],[Prest. (m2 /jaar) werkdagen]]</f>
        <v>1023.1999999999999</v>
      </c>
      <c r="AE137" s="88">
        <f>Ruimtestaat[[#This Row],[uren / jaar weekend]]+Ruimtestaat[[#This Row],[uren / jaar werkdagen]]</f>
        <v>0</v>
      </c>
      <c r="AF137" s="89">
        <f>Ruimtestaat[[#This Row],[kosten / jaar weekend]]+Ruimtestaat[[#This Row],[kosten / jaar werkdagen]]</f>
        <v>0</v>
      </c>
      <c r="HK137" s="87"/>
    </row>
    <row r="138" spans="1:219" ht="15" customHeight="1">
      <c r="A138" s="129">
        <v>1</v>
      </c>
      <c r="B138" s="21" t="str">
        <f>VLOOKUP(Ruimtestaat[[#This Row],[Code]],Locaties[#All],2,FALSE)</f>
        <v>PXC Aalderinkshoek</v>
      </c>
      <c r="C138" s="21" t="str">
        <f>VLOOKUP(Ruimtestaat[[#This Row],[Code]],Locaties[#All],4,FALSE)</f>
        <v>Cesar Frankstraat 4</v>
      </c>
      <c r="D138" s="243" t="str">
        <f>VLOOKUP(Ruimtestaat[[#This Row],[Code]],Locaties[#All],5,FALSE)</f>
        <v>7604 JG</v>
      </c>
      <c r="E138" s="243" t="str">
        <f>VLOOKUP(Ruimtestaat[[#This Row],[Code]],Locaties[#All],6,FALSE)</f>
        <v>Almelo</v>
      </c>
      <c r="F138" s="244"/>
      <c r="G138" s="200" t="s">
        <v>590</v>
      </c>
      <c r="H138" s="200" t="s">
        <v>631</v>
      </c>
      <c r="I138" s="244" t="s">
        <v>447</v>
      </c>
      <c r="J138" s="200">
        <v>1</v>
      </c>
      <c r="K138" s="215" t="s">
        <v>110</v>
      </c>
      <c r="L138" s="200" t="s">
        <v>132</v>
      </c>
      <c r="M138" s="213">
        <v>9.86</v>
      </c>
      <c r="N138" s="213"/>
      <c r="O138" s="243" t="str">
        <f>VLOOKUP(Ruimtestaat[[#This Row],[Ruimte code]],Ruimtegroepen[#All],4,FALSE)</f>
        <v>V  (Verkeersruimte)</v>
      </c>
      <c r="P138" s="214"/>
      <c r="Q138" s="215">
        <v>40</v>
      </c>
      <c r="R138" s="215" t="s">
        <v>16</v>
      </c>
      <c r="S138" s="215">
        <f>IF(R138&gt;0,IF(RIGHT(Ruimtestaat[[#This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38" s="215">
        <f>IF(S138&gt;0,VLOOKUP($J138,Ruimtegroepen[],3,FALSE)*VLOOKUP($K138,Vloersoorten[],3,FALSE)*VLOOKUP($R138,Frequenties[],3,FALSE)*VLOOKUP($A138,Locaties[],3,FALSE),0)</f>
        <v>0</v>
      </c>
      <c r="U138" s="215">
        <f>Ruimtestaat[[#This Row],[Uitvoeringen werkdagen]]*Ruimtestaat[[#This Row],[Oppervlak (netto)]]</f>
        <v>118.32</v>
      </c>
      <c r="V138" s="259">
        <f>IF(T138&gt;0,Ruimtestaat[[#This Row],[Prest. (m2 /jaar) werkdagen]]/Ruimtestaat[[#This Row],[Norm (m2/uur) werkdagen]],0)</f>
        <v>0</v>
      </c>
      <c r="W138" s="260">
        <f>Ruimtestaat[[#This Row],[uren / jaar werkdagen]]*Tariefsopbouw!$D$38</f>
        <v>0</v>
      </c>
      <c r="X138" s="33"/>
      <c r="Y138" s="33">
        <f>IF(Ruimtestaat[[#This Row],[Frequentie weekend]]&gt;0,VALUE(LEFT(X138,1))*Q138,0)</f>
        <v>0</v>
      </c>
      <c r="Z138" s="33">
        <f>IF($Y138&gt;0,VLOOKUP($J138,Ruimtegroepen[],3,FALSE)*VLOOKUP($K138,Vloersoorten[],3,FALSE)*VLOOKUP($X138,Frequenties[],3,FALSE)*VLOOKUP(#REF!,Locaties[],3,FALSE),0)</f>
        <v>0</v>
      </c>
      <c r="AA138" s="33"/>
      <c r="AB138" s="33"/>
      <c r="AC138" s="33">
        <f>Ruimtestaat[[#This Row],[uren / jaar weekend]]*Tariefsopbouw!$D$40</f>
        <v>0</v>
      </c>
      <c r="AD138" s="88">
        <f>Ruimtestaat[[#This Row],[Prest. (m2 /jaar) weekend]]+Ruimtestaat[[#This Row],[Prest. (m2 /jaar) werkdagen]]</f>
        <v>118.32</v>
      </c>
      <c r="AE138" s="88">
        <f>Ruimtestaat[[#This Row],[uren / jaar weekend]]+Ruimtestaat[[#This Row],[uren / jaar werkdagen]]</f>
        <v>0</v>
      </c>
      <c r="AF138" s="89">
        <f>Ruimtestaat[[#This Row],[kosten / jaar weekend]]+Ruimtestaat[[#This Row],[kosten / jaar werkdagen]]</f>
        <v>0</v>
      </c>
      <c r="HK138" s="87"/>
    </row>
    <row r="139" spans="1:219" ht="15" customHeight="1">
      <c r="A139" s="129">
        <v>1</v>
      </c>
      <c r="B139" s="21" t="str">
        <f>VLOOKUP(Ruimtestaat[[#This Row],[Code]],Locaties[#All],2,FALSE)</f>
        <v>PXC Aalderinkshoek</v>
      </c>
      <c r="C139" s="21" t="str">
        <f>VLOOKUP(Ruimtestaat[[#This Row],[Code]],Locaties[#All],4,FALSE)</f>
        <v>Cesar Frankstraat 4</v>
      </c>
      <c r="D139" s="243" t="str">
        <f>VLOOKUP(Ruimtestaat[[#This Row],[Code]],Locaties[#All],5,FALSE)</f>
        <v>7604 JG</v>
      </c>
      <c r="E139" s="243" t="str">
        <f>VLOOKUP(Ruimtestaat[[#This Row],[Code]],Locaties[#All],6,FALSE)</f>
        <v>Almelo</v>
      </c>
      <c r="F139" s="244"/>
      <c r="G139" s="200" t="s">
        <v>590</v>
      </c>
      <c r="H139" s="200" t="s">
        <v>632</v>
      </c>
      <c r="I139" s="244" t="s">
        <v>447</v>
      </c>
      <c r="J139" s="200">
        <v>1</v>
      </c>
      <c r="K139" s="215" t="s">
        <v>110</v>
      </c>
      <c r="L139" s="200" t="s">
        <v>132</v>
      </c>
      <c r="M139" s="213">
        <v>7.53</v>
      </c>
      <c r="N139" s="213"/>
      <c r="O139" s="243" t="str">
        <f>VLOOKUP(Ruimtestaat[[#This Row],[Ruimte code]],Ruimtegroepen[#All],4,FALSE)</f>
        <v>V  (Verkeersruimte)</v>
      </c>
      <c r="P139" s="214"/>
      <c r="Q139" s="215">
        <v>40</v>
      </c>
      <c r="R139" s="215" t="s">
        <v>16</v>
      </c>
      <c r="S139" s="215">
        <f>IF(R139&gt;0,IF(RIGHT(Ruimtestaat[[#This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39" s="215">
        <f>IF(S139&gt;0,VLOOKUP($J139,Ruimtegroepen[],3,FALSE)*VLOOKUP($K139,Vloersoorten[],3,FALSE)*VLOOKUP($R139,Frequenties[],3,FALSE)*VLOOKUP($A139,Locaties[],3,FALSE),0)</f>
        <v>0</v>
      </c>
      <c r="U139" s="215">
        <f>Ruimtestaat[[#This Row],[Uitvoeringen werkdagen]]*Ruimtestaat[[#This Row],[Oppervlak (netto)]]</f>
        <v>90.36</v>
      </c>
      <c r="V139" s="259">
        <f>IF(T139&gt;0,Ruimtestaat[[#This Row],[Prest. (m2 /jaar) werkdagen]]/Ruimtestaat[[#This Row],[Norm (m2/uur) werkdagen]],0)</f>
        <v>0</v>
      </c>
      <c r="W139" s="260">
        <f>Ruimtestaat[[#This Row],[uren / jaar werkdagen]]*Tariefsopbouw!$D$38</f>
        <v>0</v>
      </c>
      <c r="X139" s="33"/>
      <c r="Y139" s="33">
        <f>IF(Ruimtestaat[[#This Row],[Frequentie weekend]]&gt;0,VALUE(LEFT(X139,1))*Q139,0)</f>
        <v>0</v>
      </c>
      <c r="Z139" s="33">
        <f>IF($Y139&gt;0,VLOOKUP($J139,Ruimtegroepen[],3,FALSE)*VLOOKUP($K139,Vloersoorten[],3,FALSE)*VLOOKUP($X139,Frequenties[],3,FALSE)*VLOOKUP(#REF!,Locaties[],3,FALSE),0)</f>
        <v>0</v>
      </c>
      <c r="AA139" s="33"/>
      <c r="AB139" s="33"/>
      <c r="AC139" s="33">
        <f>Ruimtestaat[[#This Row],[uren / jaar weekend]]*Tariefsopbouw!$D$40</f>
        <v>0</v>
      </c>
      <c r="AD139" s="88">
        <f>Ruimtestaat[[#This Row],[Prest. (m2 /jaar) weekend]]+Ruimtestaat[[#This Row],[Prest. (m2 /jaar) werkdagen]]</f>
        <v>90.36</v>
      </c>
      <c r="AE139" s="88">
        <f>Ruimtestaat[[#This Row],[uren / jaar weekend]]+Ruimtestaat[[#This Row],[uren / jaar werkdagen]]</f>
        <v>0</v>
      </c>
      <c r="AF139" s="89">
        <f>Ruimtestaat[[#This Row],[kosten / jaar weekend]]+Ruimtestaat[[#This Row],[kosten / jaar werkdagen]]</f>
        <v>0</v>
      </c>
      <c r="HK139" s="87"/>
    </row>
    <row r="140" spans="1:219" ht="15" customHeight="1">
      <c r="A140" s="129">
        <v>1</v>
      </c>
      <c r="B140" s="21" t="str">
        <f>VLOOKUP(Ruimtestaat[[#This Row],[Code]],Locaties[#All],2,FALSE)</f>
        <v>PXC Aalderinkshoek</v>
      </c>
      <c r="C140" s="21" t="str">
        <f>VLOOKUP(Ruimtestaat[[#This Row],[Code]],Locaties[#All],4,FALSE)</f>
        <v>Cesar Frankstraat 4</v>
      </c>
      <c r="D140" s="243" t="str">
        <f>VLOOKUP(Ruimtestaat[[#This Row],[Code]],Locaties[#All],5,FALSE)</f>
        <v>7604 JG</v>
      </c>
      <c r="E140" s="243" t="str">
        <f>VLOOKUP(Ruimtestaat[[#This Row],[Code]],Locaties[#All],6,FALSE)</f>
        <v>Almelo</v>
      </c>
      <c r="F140" s="244"/>
      <c r="G140" s="200" t="s">
        <v>590</v>
      </c>
      <c r="H140" s="200" t="s">
        <v>633</v>
      </c>
      <c r="I140" s="244" t="s">
        <v>447</v>
      </c>
      <c r="J140" s="200">
        <v>1</v>
      </c>
      <c r="K140" s="215" t="s">
        <v>110</v>
      </c>
      <c r="L140" s="200" t="s">
        <v>132</v>
      </c>
      <c r="M140" s="213">
        <v>6.18</v>
      </c>
      <c r="N140" s="213"/>
      <c r="O140" s="243" t="str">
        <f>VLOOKUP(Ruimtestaat[[#This Row],[Ruimte code]],Ruimtegroepen[#All],4,FALSE)</f>
        <v>V  (Verkeersruimte)</v>
      </c>
      <c r="P140" s="214"/>
      <c r="Q140" s="215">
        <v>40</v>
      </c>
      <c r="R140" s="215" t="s">
        <v>16</v>
      </c>
      <c r="S140" s="215">
        <f>IF(R140&gt;0,IF(RIGHT(Ruimtestaat[[#This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40" s="215">
        <f>IF(S140&gt;0,VLOOKUP($J140,Ruimtegroepen[],3,FALSE)*VLOOKUP($K140,Vloersoorten[],3,FALSE)*VLOOKUP($R140,Frequenties[],3,FALSE)*VLOOKUP($A140,Locaties[],3,FALSE),0)</f>
        <v>0</v>
      </c>
      <c r="U140" s="215">
        <f>Ruimtestaat[[#This Row],[Uitvoeringen werkdagen]]*Ruimtestaat[[#This Row],[Oppervlak (netto)]]</f>
        <v>74.16</v>
      </c>
      <c r="V140" s="259">
        <f>IF(T140&gt;0,Ruimtestaat[[#This Row],[Prest. (m2 /jaar) werkdagen]]/Ruimtestaat[[#This Row],[Norm (m2/uur) werkdagen]],0)</f>
        <v>0</v>
      </c>
      <c r="W140" s="260">
        <f>Ruimtestaat[[#This Row],[uren / jaar werkdagen]]*Tariefsopbouw!$D$38</f>
        <v>0</v>
      </c>
      <c r="X140" s="33"/>
      <c r="Y140" s="33">
        <f>IF(Ruimtestaat[[#This Row],[Frequentie weekend]]&gt;0,VALUE(LEFT(X140,1))*Q140,0)</f>
        <v>0</v>
      </c>
      <c r="Z140" s="33">
        <f>IF($Y140&gt;0,VLOOKUP($J140,Ruimtegroepen[],3,FALSE)*VLOOKUP($K140,Vloersoorten[],3,FALSE)*VLOOKUP($X140,Frequenties[],3,FALSE)*VLOOKUP(#REF!,Locaties[],3,FALSE),0)</f>
        <v>0</v>
      </c>
      <c r="AA140" s="33"/>
      <c r="AB140" s="33"/>
      <c r="AC140" s="33">
        <f>Ruimtestaat[[#This Row],[uren / jaar weekend]]*Tariefsopbouw!$D$40</f>
        <v>0</v>
      </c>
      <c r="AD140" s="88">
        <f>Ruimtestaat[[#This Row],[Prest. (m2 /jaar) weekend]]+Ruimtestaat[[#This Row],[Prest. (m2 /jaar) werkdagen]]</f>
        <v>74.16</v>
      </c>
      <c r="AE140" s="88">
        <f>Ruimtestaat[[#This Row],[uren / jaar weekend]]+Ruimtestaat[[#This Row],[uren / jaar werkdagen]]</f>
        <v>0</v>
      </c>
      <c r="AF140" s="89">
        <f>Ruimtestaat[[#This Row],[kosten / jaar weekend]]+Ruimtestaat[[#This Row],[kosten / jaar werkdagen]]</f>
        <v>0</v>
      </c>
      <c r="HK140" s="87"/>
    </row>
    <row r="141" spans="1:219" ht="15" customHeight="1">
      <c r="A141" s="129">
        <v>1</v>
      </c>
      <c r="B141" s="21" t="str">
        <f>VLOOKUP(Ruimtestaat[[#This Row],[Code]],Locaties[#All],2,FALSE)</f>
        <v>PXC Aalderinkshoek</v>
      </c>
      <c r="C141" s="21" t="str">
        <f>VLOOKUP(Ruimtestaat[[#This Row],[Code]],Locaties[#All],4,FALSE)</f>
        <v>Cesar Frankstraat 4</v>
      </c>
      <c r="D141" s="243" t="str">
        <f>VLOOKUP(Ruimtestaat[[#This Row],[Code]],Locaties[#All],5,FALSE)</f>
        <v>7604 JG</v>
      </c>
      <c r="E141" s="243" t="str">
        <f>VLOOKUP(Ruimtestaat[[#This Row],[Code]],Locaties[#All],6,FALSE)</f>
        <v>Almelo</v>
      </c>
      <c r="F141" s="244"/>
      <c r="G141" s="200" t="s">
        <v>590</v>
      </c>
      <c r="H141" s="200" t="s">
        <v>634</v>
      </c>
      <c r="I141" s="244" t="s">
        <v>552</v>
      </c>
      <c r="J141" s="200">
        <v>21</v>
      </c>
      <c r="K141" s="243"/>
      <c r="L141" s="200"/>
      <c r="M141" s="213"/>
      <c r="N141" s="213">
        <v>0.8</v>
      </c>
      <c r="O141" s="243" t="str">
        <f>VLOOKUP(Ruimtestaat[[#This Row],[Ruimte code]],Ruimtegroepen[#All],4,FALSE)</f>
        <v>Niet in onderhoud</v>
      </c>
      <c r="P141" s="214"/>
      <c r="Q141" s="215"/>
      <c r="R141" s="215"/>
      <c r="S141" s="215">
        <f>IF(R141&gt;0,IF(RIGHT(Ruimtestaat[[#This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41" s="215">
        <f>IF(S141&gt;0,VLOOKUP($J141,Ruimtegroepen[],3,FALSE)*VLOOKUP($K141,Vloersoorten[],3,FALSE)*VLOOKUP($R141,Frequenties[],3,FALSE)*VLOOKUP($A141,Locaties[],3,FALSE),0)</f>
        <v>0</v>
      </c>
      <c r="U141" s="215">
        <f>Ruimtestaat[[#This Row],[Uitvoeringen werkdagen]]*Ruimtestaat[[#This Row],[Oppervlak (netto)]]</f>
        <v>0</v>
      </c>
      <c r="V141" s="259">
        <f>IF(T141&gt;0,Ruimtestaat[[#This Row],[Prest. (m2 /jaar) werkdagen]]/Ruimtestaat[[#This Row],[Norm (m2/uur) werkdagen]],0)</f>
        <v>0</v>
      </c>
      <c r="W141" s="260">
        <f>Ruimtestaat[[#This Row],[uren / jaar werkdagen]]*Tariefsopbouw!$D$38</f>
        <v>0</v>
      </c>
      <c r="X141" s="33"/>
      <c r="Y141" s="33">
        <f>IF(Ruimtestaat[[#This Row],[Frequentie weekend]]&gt;0,VALUE(LEFT(X141,1))*Q141,0)</f>
        <v>0</v>
      </c>
      <c r="Z141" s="33">
        <f>IF($Y141&gt;0,VLOOKUP($J141,Ruimtegroepen[],3,FALSE)*VLOOKUP($K141,Vloersoorten[],3,FALSE)*VLOOKUP($X141,Frequenties[],3,FALSE)*VLOOKUP(#REF!,Locaties[],3,FALSE),0)</f>
        <v>0</v>
      </c>
      <c r="AA141" s="33"/>
      <c r="AB141" s="33"/>
      <c r="AC141" s="33">
        <f>Ruimtestaat[[#This Row],[uren / jaar weekend]]*Tariefsopbouw!$D$40</f>
        <v>0</v>
      </c>
      <c r="AD141" s="88">
        <f>Ruimtestaat[[#This Row],[Prest. (m2 /jaar) weekend]]+Ruimtestaat[[#This Row],[Prest. (m2 /jaar) werkdagen]]</f>
        <v>0</v>
      </c>
      <c r="AE141" s="88">
        <f>Ruimtestaat[[#This Row],[uren / jaar weekend]]+Ruimtestaat[[#This Row],[uren / jaar werkdagen]]</f>
        <v>0</v>
      </c>
      <c r="AF141" s="89">
        <f>Ruimtestaat[[#This Row],[kosten / jaar weekend]]+Ruimtestaat[[#This Row],[kosten / jaar werkdagen]]</f>
        <v>0</v>
      </c>
      <c r="HK141" s="87"/>
    </row>
    <row r="142" spans="1:219" ht="15" customHeight="1">
      <c r="A142" s="129">
        <v>1</v>
      </c>
      <c r="B142" s="21" t="str">
        <f>VLOOKUP(Ruimtestaat[[#This Row],[Code]],Locaties[#All],2,FALSE)</f>
        <v>PXC Aalderinkshoek</v>
      </c>
      <c r="C142" s="21" t="str">
        <f>VLOOKUP(Ruimtestaat[[#This Row],[Code]],Locaties[#All],4,FALSE)</f>
        <v>Cesar Frankstraat 4</v>
      </c>
      <c r="D142" s="243" t="str">
        <f>VLOOKUP(Ruimtestaat[[#This Row],[Code]],Locaties[#All],5,FALSE)</f>
        <v>7604 JG</v>
      </c>
      <c r="E142" s="243" t="str">
        <f>VLOOKUP(Ruimtestaat[[#This Row],[Code]],Locaties[#All],6,FALSE)</f>
        <v>Almelo</v>
      </c>
      <c r="F142" s="244"/>
      <c r="G142" s="200" t="s">
        <v>590</v>
      </c>
      <c r="H142" s="200" t="s">
        <v>635</v>
      </c>
      <c r="I142" s="244" t="s">
        <v>636</v>
      </c>
      <c r="J142" s="243">
        <v>12</v>
      </c>
      <c r="K142" s="200" t="s">
        <v>110</v>
      </c>
      <c r="L142" s="200" t="s">
        <v>132</v>
      </c>
      <c r="M142" s="213">
        <v>244.27</v>
      </c>
      <c r="N142" s="213"/>
      <c r="O142" s="243" t="str">
        <f>VLOOKUP(Ruimtestaat[[#This Row],[Ruimte code]],Ruimtegroepen[#All],4,FALSE)</f>
        <v>V  (Verkeersruimte)</v>
      </c>
      <c r="P142" s="214"/>
      <c r="Q142" s="215">
        <v>40</v>
      </c>
      <c r="R142" s="215" t="s">
        <v>2</v>
      </c>
      <c r="S142" s="215">
        <f>IF(R142&gt;0,IF(RIGHT(Ruimtestaat[[#This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2" s="215">
        <f>IF(S142&gt;0,VLOOKUP($J142,Ruimtegroepen[],3,FALSE)*VLOOKUP($K142,Vloersoorten[],3,FALSE)*VLOOKUP($R142,Frequenties[],3,FALSE)*VLOOKUP($A142,Locaties[],3,FALSE),0)</f>
        <v>0</v>
      </c>
      <c r="U142" s="215">
        <f>Ruimtestaat[[#This Row],[Uitvoeringen werkdagen]]*Ruimtestaat[[#This Row],[Oppervlak (netto)]]</f>
        <v>48854</v>
      </c>
      <c r="V142" s="259">
        <f>IF(T142&gt;0,Ruimtestaat[[#This Row],[Prest. (m2 /jaar) werkdagen]]/Ruimtestaat[[#This Row],[Norm (m2/uur) werkdagen]],0)</f>
        <v>0</v>
      </c>
      <c r="W142" s="260">
        <f>Ruimtestaat[[#This Row],[uren / jaar werkdagen]]*Tariefsopbouw!$D$38</f>
        <v>0</v>
      </c>
      <c r="X142" s="33"/>
      <c r="Y142" s="33">
        <f>IF(Ruimtestaat[[#This Row],[Frequentie weekend]]&gt;0,VALUE(LEFT(X142,1))*Q142,0)</f>
        <v>0</v>
      </c>
      <c r="Z142" s="33">
        <f>IF($Y142&gt;0,VLOOKUP($J142,Ruimtegroepen[],3,FALSE)*VLOOKUP($K142,Vloersoorten[],3,FALSE)*VLOOKUP($X142,Frequenties[],3,FALSE)*VLOOKUP(#REF!,Locaties[],3,FALSE),0)</f>
        <v>0</v>
      </c>
      <c r="AA142" s="33"/>
      <c r="AB142" s="33"/>
      <c r="AC142" s="33">
        <f>Ruimtestaat[[#This Row],[uren / jaar weekend]]*Tariefsopbouw!$D$40</f>
        <v>0</v>
      </c>
      <c r="AD142" s="88">
        <f>Ruimtestaat[[#This Row],[Prest. (m2 /jaar) weekend]]+Ruimtestaat[[#This Row],[Prest. (m2 /jaar) werkdagen]]</f>
        <v>48854</v>
      </c>
      <c r="AE142" s="88">
        <f>Ruimtestaat[[#This Row],[uren / jaar weekend]]+Ruimtestaat[[#This Row],[uren / jaar werkdagen]]</f>
        <v>0</v>
      </c>
      <c r="AF142" s="89">
        <f>Ruimtestaat[[#This Row],[kosten / jaar weekend]]+Ruimtestaat[[#This Row],[kosten / jaar werkdagen]]</f>
        <v>0</v>
      </c>
      <c r="HK142" s="87"/>
    </row>
    <row r="143" spans="1:219" ht="15" customHeight="1">
      <c r="A143" s="129">
        <v>1</v>
      </c>
      <c r="B143" s="21" t="str">
        <f>VLOOKUP(Ruimtestaat[[#This Row],[Code]],Locaties[#All],2,FALSE)</f>
        <v>PXC Aalderinkshoek</v>
      </c>
      <c r="C143" s="21" t="str">
        <f>VLOOKUP(Ruimtestaat[[#This Row],[Code]],Locaties[#All],4,FALSE)</f>
        <v>Cesar Frankstraat 4</v>
      </c>
      <c r="D143" s="243" t="str">
        <f>VLOOKUP(Ruimtestaat[[#This Row],[Code]],Locaties[#All],5,FALSE)</f>
        <v>7604 JG</v>
      </c>
      <c r="E143" s="243" t="str">
        <f>VLOOKUP(Ruimtestaat[[#This Row],[Code]],Locaties[#All],6,FALSE)</f>
        <v>Almelo</v>
      </c>
      <c r="F143" s="244"/>
      <c r="G143" s="200" t="s">
        <v>590</v>
      </c>
      <c r="H143" s="200" t="s">
        <v>637</v>
      </c>
      <c r="I143" s="244" t="s">
        <v>638</v>
      </c>
      <c r="J143" s="215">
        <v>16</v>
      </c>
      <c r="K143" s="200" t="s">
        <v>110</v>
      </c>
      <c r="L143" s="200" t="s">
        <v>132</v>
      </c>
      <c r="M143" s="213">
        <v>61.42</v>
      </c>
      <c r="N143" s="213"/>
      <c r="O143" s="243" t="str">
        <f>VLOOKUP(Ruimtestaat[[#This Row],[Ruimte code]],Ruimtegroepen[#All],4,FALSE)</f>
        <v>L  (Lesruimte)</v>
      </c>
      <c r="P143" s="214"/>
      <c r="Q143" s="215">
        <v>40</v>
      </c>
      <c r="R143" s="215" t="s">
        <v>2</v>
      </c>
      <c r="S143" s="215">
        <f>IF(R143&gt;0,IF(RIGHT(Ruimtestaat[[#This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3" s="215">
        <f>IF(S143&gt;0,VLOOKUP($J143,Ruimtegroepen[],3,FALSE)*VLOOKUP($K143,Vloersoorten[],3,FALSE)*VLOOKUP($R143,Frequenties[],3,FALSE)*VLOOKUP($A143,Locaties[],3,FALSE),0)</f>
        <v>0</v>
      </c>
      <c r="U143" s="215">
        <f>Ruimtestaat[[#This Row],[Uitvoeringen werkdagen]]*Ruimtestaat[[#This Row],[Oppervlak (netto)]]</f>
        <v>12284</v>
      </c>
      <c r="V143" s="259">
        <f>IF(T143&gt;0,Ruimtestaat[[#This Row],[Prest. (m2 /jaar) werkdagen]]/Ruimtestaat[[#This Row],[Norm (m2/uur) werkdagen]],0)</f>
        <v>0</v>
      </c>
      <c r="W143" s="260">
        <f>Ruimtestaat[[#This Row],[uren / jaar werkdagen]]*Tariefsopbouw!$D$38</f>
        <v>0</v>
      </c>
      <c r="X143" s="33"/>
      <c r="Y143" s="33">
        <f>IF(Ruimtestaat[[#This Row],[Frequentie weekend]]&gt;0,VALUE(LEFT(X143,1))*Q143,0)</f>
        <v>0</v>
      </c>
      <c r="Z143" s="33">
        <f>IF($Y143&gt;0,VLOOKUP($J143,Ruimtegroepen[],3,FALSE)*VLOOKUP($K143,Vloersoorten[],3,FALSE)*VLOOKUP($X143,Frequenties[],3,FALSE)*VLOOKUP(#REF!,Locaties[],3,FALSE),0)</f>
        <v>0</v>
      </c>
      <c r="AA143" s="33"/>
      <c r="AB143" s="33"/>
      <c r="AC143" s="33">
        <f>Ruimtestaat[[#This Row],[uren / jaar weekend]]*Tariefsopbouw!$D$40</f>
        <v>0</v>
      </c>
      <c r="AD143" s="88">
        <f>Ruimtestaat[[#This Row],[Prest. (m2 /jaar) weekend]]+Ruimtestaat[[#This Row],[Prest. (m2 /jaar) werkdagen]]</f>
        <v>12284</v>
      </c>
      <c r="AE143" s="88">
        <f>Ruimtestaat[[#This Row],[uren / jaar weekend]]+Ruimtestaat[[#This Row],[uren / jaar werkdagen]]</f>
        <v>0</v>
      </c>
      <c r="AF143" s="89">
        <f>Ruimtestaat[[#This Row],[kosten / jaar weekend]]+Ruimtestaat[[#This Row],[kosten / jaar werkdagen]]</f>
        <v>0</v>
      </c>
      <c r="HK143" s="87"/>
    </row>
    <row r="144" spans="1:219" ht="15" customHeight="1">
      <c r="A144" s="129">
        <v>1</v>
      </c>
      <c r="B144" s="21" t="str">
        <f>VLOOKUP(Ruimtestaat[[#This Row],[Code]],Locaties[#All],2,FALSE)</f>
        <v>PXC Aalderinkshoek</v>
      </c>
      <c r="C144" s="21" t="str">
        <f>VLOOKUP(Ruimtestaat[[#This Row],[Code]],Locaties[#All],4,FALSE)</f>
        <v>Cesar Frankstraat 4</v>
      </c>
      <c r="D144" s="243" t="str">
        <f>VLOOKUP(Ruimtestaat[[#This Row],[Code]],Locaties[#All],5,FALSE)</f>
        <v>7604 JG</v>
      </c>
      <c r="E144" s="243" t="str">
        <f>VLOOKUP(Ruimtestaat[[#This Row],[Code]],Locaties[#All],6,FALSE)</f>
        <v>Almelo</v>
      </c>
      <c r="F144" s="244"/>
      <c r="G144" s="200" t="s">
        <v>590</v>
      </c>
      <c r="H144" s="200" t="s">
        <v>639</v>
      </c>
      <c r="I144" s="244" t="s">
        <v>455</v>
      </c>
      <c r="J144" s="200">
        <v>10</v>
      </c>
      <c r="K144" s="200" t="s">
        <v>111</v>
      </c>
      <c r="L144" s="200" t="s">
        <v>128</v>
      </c>
      <c r="M144" s="213">
        <v>11.57</v>
      </c>
      <c r="N144" s="213"/>
      <c r="O144" s="243" t="str">
        <f>VLOOKUP(Ruimtestaat[[#This Row],[Ruimte code]],Ruimtegroepen[#All],4,FALSE)</f>
        <v>V  (Verkeersruimte)</v>
      </c>
      <c r="P144" s="214"/>
      <c r="Q144" s="215">
        <v>40</v>
      </c>
      <c r="R144" s="215" t="s">
        <v>2</v>
      </c>
      <c r="S144" s="215">
        <f>IF(R144&gt;0,IF(RIGHT(Ruimtestaat[[#This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4" s="215">
        <f>IF(S144&gt;0,VLOOKUP($J144,Ruimtegroepen[],3,FALSE)*VLOOKUP($K144,Vloersoorten[],3,FALSE)*VLOOKUP($R144,Frequenties[],3,FALSE)*VLOOKUP($A144,Locaties[],3,FALSE),0)</f>
        <v>0</v>
      </c>
      <c r="U144" s="215">
        <f>Ruimtestaat[[#This Row],[Uitvoeringen werkdagen]]*Ruimtestaat[[#This Row],[Oppervlak (netto)]]</f>
        <v>2314</v>
      </c>
      <c r="V144" s="259">
        <f>IF(T144&gt;0,Ruimtestaat[[#This Row],[Prest. (m2 /jaar) werkdagen]]/Ruimtestaat[[#This Row],[Norm (m2/uur) werkdagen]],0)</f>
        <v>0</v>
      </c>
      <c r="W144" s="260">
        <f>Ruimtestaat[[#This Row],[uren / jaar werkdagen]]*Tariefsopbouw!$D$38</f>
        <v>0</v>
      </c>
      <c r="X144" s="33"/>
      <c r="Y144" s="33">
        <f>IF(Ruimtestaat[[#This Row],[Frequentie weekend]]&gt;0,VALUE(LEFT(X144,1))*Q144,0)</f>
        <v>0</v>
      </c>
      <c r="Z144" s="33">
        <f>IF($Y144&gt;0,VLOOKUP($J144,Ruimtegroepen[],3,FALSE)*VLOOKUP($K144,Vloersoorten[],3,FALSE)*VLOOKUP($X144,Frequenties[],3,FALSE)*VLOOKUP(#REF!,Locaties[],3,FALSE),0)</f>
        <v>0</v>
      </c>
      <c r="AA144" s="33"/>
      <c r="AB144" s="33"/>
      <c r="AC144" s="33">
        <f>Ruimtestaat[[#This Row],[uren / jaar weekend]]*Tariefsopbouw!$D$40</f>
        <v>0</v>
      </c>
      <c r="AD144" s="88">
        <f>Ruimtestaat[[#This Row],[Prest. (m2 /jaar) weekend]]+Ruimtestaat[[#This Row],[Prest. (m2 /jaar) werkdagen]]</f>
        <v>2314</v>
      </c>
      <c r="AE144" s="88">
        <f>Ruimtestaat[[#This Row],[uren / jaar weekend]]+Ruimtestaat[[#This Row],[uren / jaar werkdagen]]</f>
        <v>0</v>
      </c>
      <c r="AF144" s="89">
        <f>Ruimtestaat[[#This Row],[kosten / jaar weekend]]+Ruimtestaat[[#This Row],[kosten / jaar werkdagen]]</f>
        <v>0</v>
      </c>
      <c r="HK144" s="87"/>
    </row>
    <row r="145" spans="1:219" ht="15" customHeight="1">
      <c r="A145" s="129">
        <v>1</v>
      </c>
      <c r="B145" s="21" t="str">
        <f>VLOOKUP(Ruimtestaat[[#This Row],[Code]],Locaties[#All],2,FALSE)</f>
        <v>PXC Aalderinkshoek</v>
      </c>
      <c r="C145" s="21" t="str">
        <f>VLOOKUP(Ruimtestaat[[#This Row],[Code]],Locaties[#All],4,FALSE)</f>
        <v>Cesar Frankstraat 4</v>
      </c>
      <c r="D145" s="243" t="str">
        <f>VLOOKUP(Ruimtestaat[[#This Row],[Code]],Locaties[#All],5,FALSE)</f>
        <v>7604 JG</v>
      </c>
      <c r="E145" s="243" t="str">
        <f>VLOOKUP(Ruimtestaat[[#This Row],[Code]],Locaties[#All],6,FALSE)</f>
        <v>Almelo</v>
      </c>
      <c r="F145" s="244"/>
      <c r="G145" s="200" t="s">
        <v>590</v>
      </c>
      <c r="H145" s="200" t="s">
        <v>640</v>
      </c>
      <c r="I145" s="244" t="s">
        <v>641</v>
      </c>
      <c r="J145" s="200">
        <v>1</v>
      </c>
      <c r="K145" s="215" t="s">
        <v>110</v>
      </c>
      <c r="L145" s="200" t="s">
        <v>132</v>
      </c>
      <c r="M145" s="213">
        <v>21.84</v>
      </c>
      <c r="N145" s="213"/>
      <c r="O145" s="243" t="str">
        <f>VLOOKUP(Ruimtestaat[[#This Row],[Ruimte code]],Ruimtegroepen[#All],4,FALSE)</f>
        <v>V  (Verkeersruimte)</v>
      </c>
      <c r="P145" s="214"/>
      <c r="Q145" s="215">
        <v>40</v>
      </c>
      <c r="R145" s="215" t="s">
        <v>16</v>
      </c>
      <c r="S145" s="215">
        <f>IF(R145&gt;0,IF(RIGHT(Ruimtestaat[[#This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45" s="215">
        <f>IF(S145&gt;0,VLOOKUP($J145,Ruimtegroepen[],3,FALSE)*VLOOKUP($K145,Vloersoorten[],3,FALSE)*VLOOKUP($R145,Frequenties[],3,FALSE)*VLOOKUP($A145,Locaties[],3,FALSE),0)</f>
        <v>0</v>
      </c>
      <c r="U145" s="215">
        <f>Ruimtestaat[[#This Row],[Uitvoeringen werkdagen]]*Ruimtestaat[[#This Row],[Oppervlak (netto)]]</f>
        <v>262.08</v>
      </c>
      <c r="V145" s="259">
        <f>IF(T145&gt;0,Ruimtestaat[[#This Row],[Prest. (m2 /jaar) werkdagen]]/Ruimtestaat[[#This Row],[Norm (m2/uur) werkdagen]],0)</f>
        <v>0</v>
      </c>
      <c r="W145" s="260">
        <f>Ruimtestaat[[#This Row],[uren / jaar werkdagen]]*Tariefsopbouw!$D$38</f>
        <v>0</v>
      </c>
      <c r="X145" s="33"/>
      <c r="Y145" s="33">
        <f>IF(Ruimtestaat[[#This Row],[Frequentie weekend]]&gt;0,VALUE(LEFT(X145,1))*Q145,0)</f>
        <v>0</v>
      </c>
      <c r="Z145" s="33">
        <f>IF($Y145&gt;0,VLOOKUP($J145,Ruimtegroepen[],3,FALSE)*VLOOKUP($K145,Vloersoorten[],3,FALSE)*VLOOKUP($X145,Frequenties[],3,FALSE)*VLOOKUP(#REF!,Locaties[],3,FALSE),0)</f>
        <v>0</v>
      </c>
      <c r="AA145" s="33"/>
      <c r="AB145" s="33"/>
      <c r="AC145" s="33">
        <f>Ruimtestaat[[#This Row],[uren / jaar weekend]]*Tariefsopbouw!$D$40</f>
        <v>0</v>
      </c>
      <c r="AD145" s="88">
        <f>Ruimtestaat[[#This Row],[Prest. (m2 /jaar) weekend]]+Ruimtestaat[[#This Row],[Prest. (m2 /jaar) werkdagen]]</f>
        <v>262.08</v>
      </c>
      <c r="AE145" s="88">
        <f>Ruimtestaat[[#This Row],[uren / jaar weekend]]+Ruimtestaat[[#This Row],[uren / jaar werkdagen]]</f>
        <v>0</v>
      </c>
      <c r="AF145" s="89">
        <f>Ruimtestaat[[#This Row],[kosten / jaar weekend]]+Ruimtestaat[[#This Row],[kosten / jaar werkdagen]]</f>
        <v>0</v>
      </c>
      <c r="HK145" s="87"/>
    </row>
    <row r="146" spans="1:219" ht="15" customHeight="1">
      <c r="A146" s="129">
        <v>1</v>
      </c>
      <c r="B146" s="21" t="str">
        <f>VLOOKUP(Ruimtestaat[[#This Row],[Code]],Locaties[#All],2,FALSE)</f>
        <v>PXC Aalderinkshoek</v>
      </c>
      <c r="C146" s="21" t="str">
        <f>VLOOKUP(Ruimtestaat[[#This Row],[Code]],Locaties[#All],4,FALSE)</f>
        <v>Cesar Frankstraat 4</v>
      </c>
      <c r="D146" s="243" t="str">
        <f>VLOOKUP(Ruimtestaat[[#This Row],[Code]],Locaties[#All],5,FALSE)</f>
        <v>7604 JG</v>
      </c>
      <c r="E146" s="243" t="str">
        <f>VLOOKUP(Ruimtestaat[[#This Row],[Code]],Locaties[#All],6,FALSE)</f>
        <v>Almelo</v>
      </c>
      <c r="F146" s="244"/>
      <c r="G146" s="200" t="s">
        <v>590</v>
      </c>
      <c r="H146" s="200" t="s">
        <v>642</v>
      </c>
      <c r="I146" s="244" t="s">
        <v>573</v>
      </c>
      <c r="J146" s="263">
        <v>20</v>
      </c>
      <c r="K146" s="243" t="s">
        <v>110</v>
      </c>
      <c r="L146" s="200" t="s">
        <v>132</v>
      </c>
      <c r="M146" s="213">
        <v>35.18</v>
      </c>
      <c r="N146" s="213"/>
      <c r="O146" s="243" t="str">
        <f>VLOOKUP(Ruimtestaat[[#This Row],[Ruimte code]],Ruimtegroepen[#All],4,FALSE)</f>
        <v>V  (Verkeersruimte)</v>
      </c>
      <c r="P146" s="214"/>
      <c r="Q146" s="215">
        <v>40</v>
      </c>
      <c r="R146" s="215" t="s">
        <v>15</v>
      </c>
      <c r="S146" s="215">
        <f>IF(R146&gt;0,IF(RIGHT(Ruimtestaat[[#This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46" s="215">
        <f>IF(S146&gt;0,VLOOKUP($J146,Ruimtegroepen[],3,FALSE)*VLOOKUP($K146,Vloersoorten[],3,FALSE)*VLOOKUP($R146,Frequenties[],3,FALSE)*VLOOKUP($A146,Locaties[],3,FALSE),0)</f>
        <v>0</v>
      </c>
      <c r="U146" s="215">
        <f>Ruimtestaat[[#This Row],[Uitvoeringen werkdagen]]*Ruimtestaat[[#This Row],[Oppervlak (netto)]]</f>
        <v>1407.2</v>
      </c>
      <c r="V146" s="259">
        <f>IF(T146&gt;0,Ruimtestaat[[#This Row],[Prest. (m2 /jaar) werkdagen]]/Ruimtestaat[[#This Row],[Norm (m2/uur) werkdagen]],0)</f>
        <v>0</v>
      </c>
      <c r="W146" s="260">
        <f>Ruimtestaat[[#This Row],[uren / jaar werkdagen]]*Tariefsopbouw!$D$38</f>
        <v>0</v>
      </c>
      <c r="X146" s="33"/>
      <c r="Y146" s="33">
        <f>IF(Ruimtestaat[[#This Row],[Frequentie weekend]]&gt;0,VALUE(LEFT(X146,1))*Q146,0)</f>
        <v>0</v>
      </c>
      <c r="Z146" s="33">
        <f>IF($Y146&gt;0,VLOOKUP($J146,Ruimtegroepen[],3,FALSE)*VLOOKUP($K146,Vloersoorten[],3,FALSE)*VLOOKUP($X146,Frequenties[],3,FALSE)*VLOOKUP(#REF!,Locaties[],3,FALSE),0)</f>
        <v>0</v>
      </c>
      <c r="AA146" s="33"/>
      <c r="AB146" s="33"/>
      <c r="AC146" s="33">
        <f>Ruimtestaat[[#This Row],[uren / jaar weekend]]*Tariefsopbouw!$D$40</f>
        <v>0</v>
      </c>
      <c r="AD146" s="88">
        <f>Ruimtestaat[[#This Row],[Prest. (m2 /jaar) weekend]]+Ruimtestaat[[#This Row],[Prest. (m2 /jaar) werkdagen]]</f>
        <v>1407.2</v>
      </c>
      <c r="AE146" s="88">
        <f>Ruimtestaat[[#This Row],[uren / jaar weekend]]+Ruimtestaat[[#This Row],[uren / jaar werkdagen]]</f>
        <v>0</v>
      </c>
      <c r="AF146" s="89">
        <f>Ruimtestaat[[#This Row],[kosten / jaar weekend]]+Ruimtestaat[[#This Row],[kosten / jaar werkdagen]]</f>
        <v>0</v>
      </c>
      <c r="HK146" s="87"/>
    </row>
    <row r="147" spans="1:219" ht="15" customHeight="1">
      <c r="A147" s="129">
        <v>1</v>
      </c>
      <c r="B147" s="21" t="str">
        <f>VLOOKUP(Ruimtestaat[[#This Row],[Code]],Locaties[#All],2,FALSE)</f>
        <v>PXC Aalderinkshoek</v>
      </c>
      <c r="C147" s="21" t="str">
        <f>VLOOKUP(Ruimtestaat[[#This Row],[Code]],Locaties[#All],4,FALSE)</f>
        <v>Cesar Frankstraat 4</v>
      </c>
      <c r="D147" s="243" t="str">
        <f>VLOOKUP(Ruimtestaat[[#This Row],[Code]],Locaties[#All],5,FALSE)</f>
        <v>7604 JG</v>
      </c>
      <c r="E147" s="243" t="str">
        <f>VLOOKUP(Ruimtestaat[[#This Row],[Code]],Locaties[#All],6,FALSE)</f>
        <v>Almelo</v>
      </c>
      <c r="F147" s="244"/>
      <c r="G147" s="200" t="s">
        <v>590</v>
      </c>
      <c r="H147" s="200" t="s">
        <v>643</v>
      </c>
      <c r="I147" s="244" t="s">
        <v>644</v>
      </c>
      <c r="J147" s="215">
        <v>11</v>
      </c>
      <c r="K147" s="200" t="s">
        <v>110</v>
      </c>
      <c r="L147" s="200" t="s">
        <v>132</v>
      </c>
      <c r="M147" s="213">
        <v>61.39</v>
      </c>
      <c r="N147" s="213"/>
      <c r="O147" s="243" t="str">
        <f>VLOOKUP(Ruimtestaat[[#This Row],[Ruimte code]],Ruimtegroepen[#All],4,FALSE)</f>
        <v>L  (Lesruimte)</v>
      </c>
      <c r="P147" s="214"/>
      <c r="Q147" s="215">
        <v>40</v>
      </c>
      <c r="R147" s="215" t="s">
        <v>2</v>
      </c>
      <c r="S147" s="215">
        <f>IF(R147&gt;0,IF(RIGHT(Ruimtestaat[[#This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7" s="215">
        <f>IF(S147&gt;0,VLOOKUP($J147,Ruimtegroepen[],3,FALSE)*VLOOKUP($K147,Vloersoorten[],3,FALSE)*VLOOKUP($R147,Frequenties[],3,FALSE)*VLOOKUP($A147,Locaties[],3,FALSE),0)</f>
        <v>0</v>
      </c>
      <c r="U147" s="215">
        <f>Ruimtestaat[[#This Row],[Uitvoeringen werkdagen]]*Ruimtestaat[[#This Row],[Oppervlak (netto)]]</f>
        <v>12278</v>
      </c>
      <c r="V147" s="259">
        <f>IF(T147&gt;0,Ruimtestaat[[#This Row],[Prest. (m2 /jaar) werkdagen]]/Ruimtestaat[[#This Row],[Norm (m2/uur) werkdagen]],0)</f>
        <v>0</v>
      </c>
      <c r="W147" s="260">
        <f>Ruimtestaat[[#This Row],[uren / jaar werkdagen]]*Tariefsopbouw!$D$38</f>
        <v>0</v>
      </c>
      <c r="X147" s="33"/>
      <c r="Y147" s="33">
        <f>IF(Ruimtestaat[[#This Row],[Frequentie weekend]]&gt;0,VALUE(LEFT(X147,1))*Q147,0)</f>
        <v>0</v>
      </c>
      <c r="Z147" s="33">
        <f>IF($Y147&gt;0,VLOOKUP($J147,Ruimtegroepen[],3,FALSE)*VLOOKUP($K147,Vloersoorten[],3,FALSE)*VLOOKUP($X147,Frequenties[],3,FALSE)*VLOOKUP(#REF!,Locaties[],3,FALSE),0)</f>
        <v>0</v>
      </c>
      <c r="AA147" s="33"/>
      <c r="AB147" s="33"/>
      <c r="AC147" s="33">
        <f>Ruimtestaat[[#This Row],[uren / jaar weekend]]*Tariefsopbouw!$D$40</f>
        <v>0</v>
      </c>
      <c r="AD147" s="88">
        <f>Ruimtestaat[[#This Row],[Prest. (m2 /jaar) weekend]]+Ruimtestaat[[#This Row],[Prest. (m2 /jaar) werkdagen]]</f>
        <v>12278</v>
      </c>
      <c r="AE147" s="88">
        <f>Ruimtestaat[[#This Row],[uren / jaar weekend]]+Ruimtestaat[[#This Row],[uren / jaar werkdagen]]</f>
        <v>0</v>
      </c>
      <c r="AF147" s="89">
        <f>Ruimtestaat[[#This Row],[kosten / jaar weekend]]+Ruimtestaat[[#This Row],[kosten / jaar werkdagen]]</f>
        <v>0</v>
      </c>
      <c r="HK147" s="87"/>
    </row>
    <row r="148" spans="1:219" ht="15" customHeight="1">
      <c r="A148" s="129">
        <v>1</v>
      </c>
      <c r="B148" s="21" t="str">
        <f>VLOOKUP(Ruimtestaat[[#This Row],[Code]],Locaties[#All],2,FALSE)</f>
        <v>PXC Aalderinkshoek</v>
      </c>
      <c r="C148" s="21" t="str">
        <f>VLOOKUP(Ruimtestaat[[#This Row],[Code]],Locaties[#All],4,FALSE)</f>
        <v>Cesar Frankstraat 4</v>
      </c>
      <c r="D148" s="243" t="str">
        <f>VLOOKUP(Ruimtestaat[[#This Row],[Code]],Locaties[#All],5,FALSE)</f>
        <v>7604 JG</v>
      </c>
      <c r="E148" s="243" t="str">
        <f>VLOOKUP(Ruimtestaat[[#This Row],[Code]],Locaties[#All],6,FALSE)</f>
        <v>Almelo</v>
      </c>
      <c r="F148" s="244"/>
      <c r="G148" s="200" t="s">
        <v>590</v>
      </c>
      <c r="H148" s="200" t="s">
        <v>645</v>
      </c>
      <c r="I148" s="244" t="s">
        <v>447</v>
      </c>
      <c r="J148" s="200">
        <v>1</v>
      </c>
      <c r="K148" s="215" t="s">
        <v>110</v>
      </c>
      <c r="L148" s="200" t="s">
        <v>132</v>
      </c>
      <c r="M148" s="213">
        <v>5.0999999999999996</v>
      </c>
      <c r="N148" s="213"/>
      <c r="O148" s="243" t="str">
        <f>VLOOKUP(Ruimtestaat[[#This Row],[Ruimte code]],Ruimtegroepen[#All],4,FALSE)</f>
        <v>V  (Verkeersruimte)</v>
      </c>
      <c r="P148" s="214"/>
      <c r="Q148" s="215">
        <v>40</v>
      </c>
      <c r="R148" s="215" t="s">
        <v>16</v>
      </c>
      <c r="S148" s="215">
        <f>IF(R148&gt;0,IF(RIGHT(Ruimtestaat[[#This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48" s="215">
        <f>IF(S148&gt;0,VLOOKUP($J148,Ruimtegroepen[],3,FALSE)*VLOOKUP($K148,Vloersoorten[],3,FALSE)*VLOOKUP($R148,Frequenties[],3,FALSE)*VLOOKUP($A148,Locaties[],3,FALSE),0)</f>
        <v>0</v>
      </c>
      <c r="U148" s="215">
        <f>Ruimtestaat[[#This Row],[Uitvoeringen werkdagen]]*Ruimtestaat[[#This Row],[Oppervlak (netto)]]</f>
        <v>61.199999999999996</v>
      </c>
      <c r="V148" s="259">
        <f>IF(T148&gt;0,Ruimtestaat[[#This Row],[Prest. (m2 /jaar) werkdagen]]/Ruimtestaat[[#This Row],[Norm (m2/uur) werkdagen]],0)</f>
        <v>0</v>
      </c>
      <c r="W148" s="260">
        <f>Ruimtestaat[[#This Row],[uren / jaar werkdagen]]*Tariefsopbouw!$D$38</f>
        <v>0</v>
      </c>
      <c r="X148" s="33"/>
      <c r="Y148" s="33">
        <f>IF(Ruimtestaat[[#This Row],[Frequentie weekend]]&gt;0,VALUE(LEFT(X148,1))*Q148,0)</f>
        <v>0</v>
      </c>
      <c r="Z148" s="33">
        <f>IF($Y148&gt;0,VLOOKUP($J148,Ruimtegroepen[],3,FALSE)*VLOOKUP($K148,Vloersoorten[],3,FALSE)*VLOOKUP($X148,Frequenties[],3,FALSE)*VLOOKUP(#REF!,Locaties[],3,FALSE),0)</f>
        <v>0</v>
      </c>
      <c r="AA148" s="33"/>
      <c r="AB148" s="33"/>
      <c r="AC148" s="33">
        <f>Ruimtestaat[[#This Row],[uren / jaar weekend]]*Tariefsopbouw!$D$40</f>
        <v>0</v>
      </c>
      <c r="AD148" s="88">
        <f>Ruimtestaat[[#This Row],[Prest. (m2 /jaar) weekend]]+Ruimtestaat[[#This Row],[Prest. (m2 /jaar) werkdagen]]</f>
        <v>61.199999999999996</v>
      </c>
      <c r="AE148" s="88">
        <f>Ruimtestaat[[#This Row],[uren / jaar weekend]]+Ruimtestaat[[#This Row],[uren / jaar werkdagen]]</f>
        <v>0</v>
      </c>
      <c r="AF148" s="89">
        <f>Ruimtestaat[[#This Row],[kosten / jaar weekend]]+Ruimtestaat[[#This Row],[kosten / jaar werkdagen]]</f>
        <v>0</v>
      </c>
      <c r="HK148" s="87"/>
    </row>
    <row r="149" spans="1:219" ht="15" customHeight="1">
      <c r="A149" s="129">
        <v>1</v>
      </c>
      <c r="B149" s="21" t="str">
        <f>VLOOKUP(Ruimtestaat[[#This Row],[Code]],Locaties[#All],2,FALSE)</f>
        <v>PXC Aalderinkshoek</v>
      </c>
      <c r="C149" s="21" t="str">
        <f>VLOOKUP(Ruimtestaat[[#This Row],[Code]],Locaties[#All],4,FALSE)</f>
        <v>Cesar Frankstraat 4</v>
      </c>
      <c r="D149" s="243" t="str">
        <f>VLOOKUP(Ruimtestaat[[#This Row],[Code]],Locaties[#All],5,FALSE)</f>
        <v>7604 JG</v>
      </c>
      <c r="E149" s="243" t="str">
        <f>VLOOKUP(Ruimtestaat[[#This Row],[Code]],Locaties[#All],6,FALSE)</f>
        <v>Almelo</v>
      </c>
      <c r="F149" s="244"/>
      <c r="G149" s="200" t="s">
        <v>590</v>
      </c>
      <c r="H149" s="200" t="s">
        <v>646</v>
      </c>
      <c r="I149" s="244" t="s">
        <v>647</v>
      </c>
      <c r="J149" s="243">
        <v>16</v>
      </c>
      <c r="K149" s="200" t="s">
        <v>110</v>
      </c>
      <c r="L149" s="200" t="s">
        <v>132</v>
      </c>
      <c r="M149" s="213">
        <v>217.09</v>
      </c>
      <c r="N149" s="213"/>
      <c r="O149" s="243" t="str">
        <f>VLOOKUP(Ruimtestaat[[#This Row],[Ruimte code]],Ruimtegroepen[#All],4,FALSE)</f>
        <v>L  (Lesruimte)</v>
      </c>
      <c r="P149" s="214"/>
      <c r="Q149" s="215">
        <v>40</v>
      </c>
      <c r="R149" s="215" t="s">
        <v>2</v>
      </c>
      <c r="S149" s="215">
        <f>IF(R149&gt;0,IF(RIGHT(Ruimtestaat[[#This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49" s="215">
        <f>IF(S149&gt;0,VLOOKUP($J149,Ruimtegroepen[],3,FALSE)*VLOOKUP($K149,Vloersoorten[],3,FALSE)*VLOOKUP($R149,Frequenties[],3,FALSE)*VLOOKUP($A149,Locaties[],3,FALSE),0)</f>
        <v>0</v>
      </c>
      <c r="U149" s="215">
        <f>Ruimtestaat[[#This Row],[Uitvoeringen werkdagen]]*Ruimtestaat[[#This Row],[Oppervlak (netto)]]</f>
        <v>43418</v>
      </c>
      <c r="V149" s="259">
        <f>IF(T149&gt;0,Ruimtestaat[[#This Row],[Prest. (m2 /jaar) werkdagen]]/Ruimtestaat[[#This Row],[Norm (m2/uur) werkdagen]],0)</f>
        <v>0</v>
      </c>
      <c r="W149" s="260">
        <f>Ruimtestaat[[#This Row],[uren / jaar werkdagen]]*Tariefsopbouw!$D$38</f>
        <v>0</v>
      </c>
      <c r="X149" s="33"/>
      <c r="Y149" s="33">
        <f>IF(Ruimtestaat[[#This Row],[Frequentie weekend]]&gt;0,VALUE(LEFT(X149,1))*Q149,0)</f>
        <v>0</v>
      </c>
      <c r="Z149" s="33">
        <f>IF($Y149&gt;0,VLOOKUP($J149,Ruimtegroepen[],3,FALSE)*VLOOKUP($K149,Vloersoorten[],3,FALSE)*VLOOKUP($X149,Frequenties[],3,FALSE)*VLOOKUP(#REF!,Locaties[],3,FALSE),0)</f>
        <v>0</v>
      </c>
      <c r="AA149" s="33"/>
      <c r="AB149" s="33"/>
      <c r="AC149" s="33">
        <f>Ruimtestaat[[#This Row],[uren / jaar weekend]]*Tariefsopbouw!$D$40</f>
        <v>0</v>
      </c>
      <c r="AD149" s="88">
        <f>Ruimtestaat[[#This Row],[Prest. (m2 /jaar) weekend]]+Ruimtestaat[[#This Row],[Prest. (m2 /jaar) werkdagen]]</f>
        <v>43418</v>
      </c>
      <c r="AE149" s="88">
        <f>Ruimtestaat[[#This Row],[uren / jaar weekend]]+Ruimtestaat[[#This Row],[uren / jaar werkdagen]]</f>
        <v>0</v>
      </c>
      <c r="AF149" s="89">
        <f>Ruimtestaat[[#This Row],[kosten / jaar weekend]]+Ruimtestaat[[#This Row],[kosten / jaar werkdagen]]</f>
        <v>0</v>
      </c>
      <c r="HK149" s="87"/>
    </row>
    <row r="150" spans="1:219" ht="15" customHeight="1">
      <c r="A150" s="129">
        <v>1</v>
      </c>
      <c r="B150" s="21" t="str">
        <f>VLOOKUP(Ruimtestaat[[#This Row],[Code]],Locaties[#All],2,FALSE)</f>
        <v>PXC Aalderinkshoek</v>
      </c>
      <c r="C150" s="21" t="str">
        <f>VLOOKUP(Ruimtestaat[[#This Row],[Code]],Locaties[#All],4,FALSE)</f>
        <v>Cesar Frankstraat 4</v>
      </c>
      <c r="D150" s="243" t="str">
        <f>VLOOKUP(Ruimtestaat[[#This Row],[Code]],Locaties[#All],5,FALSE)</f>
        <v>7604 JG</v>
      </c>
      <c r="E150" s="243" t="str">
        <f>VLOOKUP(Ruimtestaat[[#This Row],[Code]],Locaties[#All],6,FALSE)</f>
        <v>Almelo</v>
      </c>
      <c r="F150" s="244"/>
      <c r="G150" s="200" t="s">
        <v>590</v>
      </c>
      <c r="H150" s="200" t="s">
        <v>648</v>
      </c>
      <c r="I150" s="244" t="s">
        <v>455</v>
      </c>
      <c r="J150" s="200">
        <v>10</v>
      </c>
      <c r="K150" s="200" t="s">
        <v>111</v>
      </c>
      <c r="L150" s="200" t="s">
        <v>128</v>
      </c>
      <c r="M150" s="213">
        <v>2.11</v>
      </c>
      <c r="N150" s="213"/>
      <c r="O150" s="243" t="str">
        <f>VLOOKUP(Ruimtestaat[[#This Row],[Ruimte code]],Ruimtegroepen[#All],4,FALSE)</f>
        <v>V  (Verkeersruimte)</v>
      </c>
      <c r="P150" s="214"/>
      <c r="Q150" s="215">
        <v>40</v>
      </c>
      <c r="R150" s="215" t="s">
        <v>2</v>
      </c>
      <c r="S150" s="215">
        <f>IF(R150&gt;0,IF(RIGHT(Ruimtestaat[[#This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0" s="215">
        <f>IF(S150&gt;0,VLOOKUP($J150,Ruimtegroepen[],3,FALSE)*VLOOKUP($K150,Vloersoorten[],3,FALSE)*VLOOKUP($R150,Frequenties[],3,FALSE)*VLOOKUP($A150,Locaties[],3,FALSE),0)</f>
        <v>0</v>
      </c>
      <c r="U150" s="215">
        <f>Ruimtestaat[[#This Row],[Uitvoeringen werkdagen]]*Ruimtestaat[[#This Row],[Oppervlak (netto)]]</f>
        <v>422</v>
      </c>
      <c r="V150" s="259">
        <f>IF(T150&gt;0,Ruimtestaat[[#This Row],[Prest. (m2 /jaar) werkdagen]]/Ruimtestaat[[#This Row],[Norm (m2/uur) werkdagen]],0)</f>
        <v>0</v>
      </c>
      <c r="W150" s="260">
        <f>Ruimtestaat[[#This Row],[uren / jaar werkdagen]]*Tariefsopbouw!$D$38</f>
        <v>0</v>
      </c>
      <c r="X150" s="33"/>
      <c r="Y150" s="33">
        <f>IF(Ruimtestaat[[#This Row],[Frequentie weekend]]&gt;0,VALUE(LEFT(X150,1))*Q150,0)</f>
        <v>0</v>
      </c>
      <c r="Z150" s="33">
        <f>IF($Y150&gt;0,VLOOKUP($J150,Ruimtegroepen[],3,FALSE)*VLOOKUP($K150,Vloersoorten[],3,FALSE)*VLOOKUP($X150,Frequenties[],3,FALSE)*VLOOKUP(#REF!,Locaties[],3,FALSE),0)</f>
        <v>0</v>
      </c>
      <c r="AA150" s="33"/>
      <c r="AB150" s="33"/>
      <c r="AC150" s="33">
        <f>Ruimtestaat[[#This Row],[uren / jaar weekend]]*Tariefsopbouw!$D$40</f>
        <v>0</v>
      </c>
      <c r="AD150" s="88">
        <f>Ruimtestaat[[#This Row],[Prest. (m2 /jaar) weekend]]+Ruimtestaat[[#This Row],[Prest. (m2 /jaar) werkdagen]]</f>
        <v>422</v>
      </c>
      <c r="AE150" s="88">
        <f>Ruimtestaat[[#This Row],[uren / jaar weekend]]+Ruimtestaat[[#This Row],[uren / jaar werkdagen]]</f>
        <v>0</v>
      </c>
      <c r="AF150" s="89">
        <f>Ruimtestaat[[#This Row],[kosten / jaar weekend]]+Ruimtestaat[[#This Row],[kosten / jaar werkdagen]]</f>
        <v>0</v>
      </c>
      <c r="HK150" s="87"/>
    </row>
    <row r="151" spans="1:219" ht="15" customHeight="1">
      <c r="A151" s="129">
        <v>1</v>
      </c>
      <c r="B151" s="21" t="str">
        <f>VLOOKUP(Ruimtestaat[[#This Row],[Code]],Locaties[#All],2,FALSE)</f>
        <v>PXC Aalderinkshoek</v>
      </c>
      <c r="C151" s="21" t="str">
        <f>VLOOKUP(Ruimtestaat[[#This Row],[Code]],Locaties[#All],4,FALSE)</f>
        <v>Cesar Frankstraat 4</v>
      </c>
      <c r="D151" s="243" t="str">
        <f>VLOOKUP(Ruimtestaat[[#This Row],[Code]],Locaties[#All],5,FALSE)</f>
        <v>7604 JG</v>
      </c>
      <c r="E151" s="243" t="str">
        <f>VLOOKUP(Ruimtestaat[[#This Row],[Code]],Locaties[#All],6,FALSE)</f>
        <v>Almelo</v>
      </c>
      <c r="F151" s="244"/>
      <c r="G151" s="200" t="s">
        <v>590</v>
      </c>
      <c r="H151" s="200" t="s">
        <v>649</v>
      </c>
      <c r="I151" s="244" t="s">
        <v>447</v>
      </c>
      <c r="J151" s="200">
        <v>1</v>
      </c>
      <c r="K151" s="215" t="s">
        <v>110</v>
      </c>
      <c r="L151" s="200" t="s">
        <v>132</v>
      </c>
      <c r="M151" s="213">
        <v>4.16</v>
      </c>
      <c r="N151" s="213"/>
      <c r="O151" s="243" t="str">
        <f>VLOOKUP(Ruimtestaat[[#This Row],[Ruimte code]],Ruimtegroepen[#All],4,FALSE)</f>
        <v>V  (Verkeersruimte)</v>
      </c>
      <c r="P151" s="214"/>
      <c r="Q151" s="215">
        <v>40</v>
      </c>
      <c r="R151" s="215" t="s">
        <v>16</v>
      </c>
      <c r="S151" s="215">
        <f>IF(R151&gt;0,IF(RIGHT(Ruimtestaat[[#This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51" s="215">
        <f>IF(S151&gt;0,VLOOKUP($J151,Ruimtegroepen[],3,FALSE)*VLOOKUP($K151,Vloersoorten[],3,FALSE)*VLOOKUP($R151,Frequenties[],3,FALSE)*VLOOKUP($A151,Locaties[],3,FALSE),0)</f>
        <v>0</v>
      </c>
      <c r="U151" s="215">
        <f>Ruimtestaat[[#This Row],[Uitvoeringen werkdagen]]*Ruimtestaat[[#This Row],[Oppervlak (netto)]]</f>
        <v>49.92</v>
      </c>
      <c r="V151" s="259">
        <f>IF(T151&gt;0,Ruimtestaat[[#This Row],[Prest. (m2 /jaar) werkdagen]]/Ruimtestaat[[#This Row],[Norm (m2/uur) werkdagen]],0)</f>
        <v>0</v>
      </c>
      <c r="W151" s="260">
        <f>Ruimtestaat[[#This Row],[uren / jaar werkdagen]]*Tariefsopbouw!$D$38</f>
        <v>0</v>
      </c>
      <c r="X151" s="33"/>
      <c r="Y151" s="33">
        <f>IF(Ruimtestaat[[#This Row],[Frequentie weekend]]&gt;0,VALUE(LEFT(X151,1))*Q151,0)</f>
        <v>0</v>
      </c>
      <c r="Z151" s="33">
        <f>IF($Y151&gt;0,VLOOKUP($J151,Ruimtegroepen[],3,FALSE)*VLOOKUP($K151,Vloersoorten[],3,FALSE)*VLOOKUP($X151,Frequenties[],3,FALSE)*VLOOKUP(#REF!,Locaties[],3,FALSE),0)</f>
        <v>0</v>
      </c>
      <c r="AA151" s="33"/>
      <c r="AB151" s="33"/>
      <c r="AC151" s="33">
        <f>Ruimtestaat[[#This Row],[uren / jaar weekend]]*Tariefsopbouw!$D$40</f>
        <v>0</v>
      </c>
      <c r="AD151" s="88">
        <f>Ruimtestaat[[#This Row],[Prest. (m2 /jaar) weekend]]+Ruimtestaat[[#This Row],[Prest. (m2 /jaar) werkdagen]]</f>
        <v>49.92</v>
      </c>
      <c r="AE151" s="88">
        <f>Ruimtestaat[[#This Row],[uren / jaar weekend]]+Ruimtestaat[[#This Row],[uren / jaar werkdagen]]</f>
        <v>0</v>
      </c>
      <c r="AF151" s="89">
        <f>Ruimtestaat[[#This Row],[kosten / jaar weekend]]+Ruimtestaat[[#This Row],[kosten / jaar werkdagen]]</f>
        <v>0</v>
      </c>
      <c r="HK151" s="87"/>
    </row>
    <row r="152" spans="1:219" ht="15" customHeight="1">
      <c r="A152" s="129">
        <v>1</v>
      </c>
      <c r="B152" s="21" t="str">
        <f>VLOOKUP(Ruimtestaat[[#This Row],[Code]],Locaties[#All],2,FALSE)</f>
        <v>PXC Aalderinkshoek</v>
      </c>
      <c r="C152" s="21" t="str">
        <f>VLOOKUP(Ruimtestaat[[#This Row],[Code]],Locaties[#All],4,FALSE)</f>
        <v>Cesar Frankstraat 4</v>
      </c>
      <c r="D152" s="243" t="str">
        <f>VLOOKUP(Ruimtestaat[[#This Row],[Code]],Locaties[#All],5,FALSE)</f>
        <v>7604 JG</v>
      </c>
      <c r="E152" s="243" t="str">
        <f>VLOOKUP(Ruimtestaat[[#This Row],[Code]],Locaties[#All],6,FALSE)</f>
        <v>Almelo</v>
      </c>
      <c r="F152" s="244"/>
      <c r="G152" s="200" t="s">
        <v>590</v>
      </c>
      <c r="H152" s="200" t="s">
        <v>650</v>
      </c>
      <c r="I152" s="244" t="s">
        <v>457</v>
      </c>
      <c r="J152" s="200">
        <v>10</v>
      </c>
      <c r="K152" s="200" t="s">
        <v>111</v>
      </c>
      <c r="L152" s="200" t="s">
        <v>128</v>
      </c>
      <c r="M152" s="213">
        <v>1.79</v>
      </c>
      <c r="N152" s="213"/>
      <c r="O152" s="243" t="str">
        <f>VLOOKUP(Ruimtestaat[[#This Row],[Ruimte code]],Ruimtegroepen[#All],4,FALSE)</f>
        <v>V  (Verkeersruimte)</v>
      </c>
      <c r="P152" s="214"/>
      <c r="Q152" s="215">
        <v>40</v>
      </c>
      <c r="R152" s="215" t="s">
        <v>2</v>
      </c>
      <c r="S152" s="215">
        <f>IF(R152&gt;0,IF(RIGHT(Ruimtestaat[[#This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2" s="215">
        <f>IF(S152&gt;0,VLOOKUP($J152,Ruimtegroepen[],3,FALSE)*VLOOKUP($K152,Vloersoorten[],3,FALSE)*VLOOKUP($R152,Frequenties[],3,FALSE)*VLOOKUP($A152,Locaties[],3,FALSE),0)</f>
        <v>0</v>
      </c>
      <c r="U152" s="215">
        <f>Ruimtestaat[[#This Row],[Uitvoeringen werkdagen]]*Ruimtestaat[[#This Row],[Oppervlak (netto)]]</f>
        <v>358</v>
      </c>
      <c r="V152" s="259">
        <f>IF(T152&gt;0,Ruimtestaat[[#This Row],[Prest. (m2 /jaar) werkdagen]]/Ruimtestaat[[#This Row],[Norm (m2/uur) werkdagen]],0)</f>
        <v>0</v>
      </c>
      <c r="W152" s="260">
        <f>Ruimtestaat[[#This Row],[uren / jaar werkdagen]]*Tariefsopbouw!$D$38</f>
        <v>0</v>
      </c>
      <c r="X152" s="33"/>
      <c r="Y152" s="33">
        <f>IF(Ruimtestaat[[#This Row],[Frequentie weekend]]&gt;0,VALUE(LEFT(X152,1))*Q152,0)</f>
        <v>0</v>
      </c>
      <c r="Z152" s="33">
        <f>IF($Y152&gt;0,VLOOKUP($J152,Ruimtegroepen[],3,FALSE)*VLOOKUP($K152,Vloersoorten[],3,FALSE)*VLOOKUP($X152,Frequenties[],3,FALSE)*VLOOKUP(#REF!,Locaties[],3,FALSE),0)</f>
        <v>0</v>
      </c>
      <c r="AA152" s="33"/>
      <c r="AB152" s="33"/>
      <c r="AC152" s="33">
        <f>Ruimtestaat[[#This Row],[uren / jaar weekend]]*Tariefsopbouw!$D$40</f>
        <v>0</v>
      </c>
      <c r="AD152" s="88">
        <f>Ruimtestaat[[#This Row],[Prest. (m2 /jaar) weekend]]+Ruimtestaat[[#This Row],[Prest. (m2 /jaar) werkdagen]]</f>
        <v>358</v>
      </c>
      <c r="AE152" s="88">
        <f>Ruimtestaat[[#This Row],[uren / jaar weekend]]+Ruimtestaat[[#This Row],[uren / jaar werkdagen]]</f>
        <v>0</v>
      </c>
      <c r="AF152" s="89">
        <f>Ruimtestaat[[#This Row],[kosten / jaar weekend]]+Ruimtestaat[[#This Row],[kosten / jaar werkdagen]]</f>
        <v>0</v>
      </c>
      <c r="HK152" s="87"/>
    </row>
    <row r="153" spans="1:219" ht="15" customHeight="1">
      <c r="A153" s="129">
        <v>1</v>
      </c>
      <c r="B153" s="21" t="str">
        <f>VLOOKUP(Ruimtestaat[[#This Row],[Code]],Locaties[#All],2,FALSE)</f>
        <v>PXC Aalderinkshoek</v>
      </c>
      <c r="C153" s="21" t="str">
        <f>VLOOKUP(Ruimtestaat[[#This Row],[Code]],Locaties[#All],4,FALSE)</f>
        <v>Cesar Frankstraat 4</v>
      </c>
      <c r="D153" s="243" t="str">
        <f>VLOOKUP(Ruimtestaat[[#This Row],[Code]],Locaties[#All],5,FALSE)</f>
        <v>7604 JG</v>
      </c>
      <c r="E153" s="243" t="str">
        <f>VLOOKUP(Ruimtestaat[[#This Row],[Code]],Locaties[#All],6,FALSE)</f>
        <v>Almelo</v>
      </c>
      <c r="F153" s="244"/>
      <c r="G153" s="200" t="s">
        <v>590</v>
      </c>
      <c r="H153" s="200" t="s">
        <v>651</v>
      </c>
      <c r="I153" s="244" t="s">
        <v>457</v>
      </c>
      <c r="J153" s="200">
        <v>10</v>
      </c>
      <c r="K153" s="200" t="s">
        <v>111</v>
      </c>
      <c r="L153" s="200" t="s">
        <v>128</v>
      </c>
      <c r="M153" s="213">
        <v>5.74</v>
      </c>
      <c r="N153" s="213"/>
      <c r="O153" s="243" t="str">
        <f>VLOOKUP(Ruimtestaat[[#This Row],[Ruimte code]],Ruimtegroepen[#All],4,FALSE)</f>
        <v>V  (Verkeersruimte)</v>
      </c>
      <c r="P153" s="214"/>
      <c r="Q153" s="215">
        <v>40</v>
      </c>
      <c r="R153" s="215" t="s">
        <v>2</v>
      </c>
      <c r="S153" s="215">
        <f>IF(R153&gt;0,IF(RIGHT(Ruimtestaat[[#This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3" s="215">
        <f>IF(S153&gt;0,VLOOKUP($J153,Ruimtegroepen[],3,FALSE)*VLOOKUP($K153,Vloersoorten[],3,FALSE)*VLOOKUP($R153,Frequenties[],3,FALSE)*VLOOKUP($A153,Locaties[],3,FALSE),0)</f>
        <v>0</v>
      </c>
      <c r="U153" s="215">
        <f>Ruimtestaat[[#This Row],[Uitvoeringen werkdagen]]*Ruimtestaat[[#This Row],[Oppervlak (netto)]]</f>
        <v>1148</v>
      </c>
      <c r="V153" s="259">
        <f>IF(T153&gt;0,Ruimtestaat[[#This Row],[Prest. (m2 /jaar) werkdagen]]/Ruimtestaat[[#This Row],[Norm (m2/uur) werkdagen]],0)</f>
        <v>0</v>
      </c>
      <c r="W153" s="260">
        <f>Ruimtestaat[[#This Row],[uren / jaar werkdagen]]*Tariefsopbouw!$D$38</f>
        <v>0</v>
      </c>
      <c r="X153" s="33"/>
      <c r="Y153" s="33">
        <f>IF(Ruimtestaat[[#This Row],[Frequentie weekend]]&gt;0,VALUE(LEFT(X153,1))*Q153,0)</f>
        <v>0</v>
      </c>
      <c r="Z153" s="33">
        <f>IF($Y153&gt;0,VLOOKUP($J153,Ruimtegroepen[],3,FALSE)*VLOOKUP($K153,Vloersoorten[],3,FALSE)*VLOOKUP($X153,Frequenties[],3,FALSE)*VLOOKUP(#REF!,Locaties[],3,FALSE),0)</f>
        <v>0</v>
      </c>
      <c r="AA153" s="33"/>
      <c r="AB153" s="33"/>
      <c r="AC153" s="33">
        <f>Ruimtestaat[[#This Row],[uren / jaar weekend]]*Tariefsopbouw!$D$40</f>
        <v>0</v>
      </c>
      <c r="AD153" s="88">
        <f>Ruimtestaat[[#This Row],[Prest. (m2 /jaar) weekend]]+Ruimtestaat[[#This Row],[Prest. (m2 /jaar) werkdagen]]</f>
        <v>1148</v>
      </c>
      <c r="AE153" s="88">
        <f>Ruimtestaat[[#This Row],[uren / jaar weekend]]+Ruimtestaat[[#This Row],[uren / jaar werkdagen]]</f>
        <v>0</v>
      </c>
      <c r="AF153" s="89">
        <f>Ruimtestaat[[#This Row],[kosten / jaar weekend]]+Ruimtestaat[[#This Row],[kosten / jaar werkdagen]]</f>
        <v>0</v>
      </c>
      <c r="HK153" s="87"/>
    </row>
    <row r="154" spans="1:219" ht="15" customHeight="1">
      <c r="A154" s="129">
        <v>1</v>
      </c>
      <c r="B154" s="21" t="str">
        <f>VLOOKUP(Ruimtestaat[[#This Row],[Code]],Locaties[#All],2,FALSE)</f>
        <v>PXC Aalderinkshoek</v>
      </c>
      <c r="C154" s="21" t="str">
        <f>VLOOKUP(Ruimtestaat[[#This Row],[Code]],Locaties[#All],4,FALSE)</f>
        <v>Cesar Frankstraat 4</v>
      </c>
      <c r="D154" s="243" t="str">
        <f>VLOOKUP(Ruimtestaat[[#This Row],[Code]],Locaties[#All],5,FALSE)</f>
        <v>7604 JG</v>
      </c>
      <c r="E154" s="243" t="str">
        <f>VLOOKUP(Ruimtestaat[[#This Row],[Code]],Locaties[#All],6,FALSE)</f>
        <v>Almelo</v>
      </c>
      <c r="F154" s="244"/>
      <c r="G154" s="200" t="s">
        <v>590</v>
      </c>
      <c r="H154" s="200" t="s">
        <v>652</v>
      </c>
      <c r="I154" s="244" t="s">
        <v>457</v>
      </c>
      <c r="J154" s="200">
        <v>10</v>
      </c>
      <c r="K154" s="200" t="s">
        <v>111</v>
      </c>
      <c r="L154" s="200" t="s">
        <v>128</v>
      </c>
      <c r="M154" s="213">
        <v>1.79</v>
      </c>
      <c r="N154" s="213"/>
      <c r="O154" s="243" t="str">
        <f>VLOOKUP(Ruimtestaat[[#This Row],[Ruimte code]],Ruimtegroepen[#All],4,FALSE)</f>
        <v>V  (Verkeersruimte)</v>
      </c>
      <c r="P154" s="214"/>
      <c r="Q154" s="215">
        <v>40</v>
      </c>
      <c r="R154" s="215" t="s">
        <v>2</v>
      </c>
      <c r="S154" s="215">
        <f>IF(R154&gt;0,IF(RIGHT(Ruimtestaat[[#This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4" s="215">
        <f>IF(S154&gt;0,VLOOKUP($J154,Ruimtegroepen[],3,FALSE)*VLOOKUP($K154,Vloersoorten[],3,FALSE)*VLOOKUP($R154,Frequenties[],3,FALSE)*VLOOKUP($A154,Locaties[],3,FALSE),0)</f>
        <v>0</v>
      </c>
      <c r="U154" s="215">
        <f>Ruimtestaat[[#This Row],[Uitvoeringen werkdagen]]*Ruimtestaat[[#This Row],[Oppervlak (netto)]]</f>
        <v>358</v>
      </c>
      <c r="V154" s="259">
        <f>IF(T154&gt;0,Ruimtestaat[[#This Row],[Prest. (m2 /jaar) werkdagen]]/Ruimtestaat[[#This Row],[Norm (m2/uur) werkdagen]],0)</f>
        <v>0</v>
      </c>
      <c r="W154" s="260">
        <f>Ruimtestaat[[#This Row],[uren / jaar werkdagen]]*Tariefsopbouw!$D$38</f>
        <v>0</v>
      </c>
      <c r="X154" s="33"/>
      <c r="Y154" s="33">
        <f>IF(Ruimtestaat[[#This Row],[Frequentie weekend]]&gt;0,VALUE(LEFT(X154,1))*Q154,0)</f>
        <v>0</v>
      </c>
      <c r="Z154" s="33">
        <f>IF($Y154&gt;0,VLOOKUP($J154,Ruimtegroepen[],3,FALSE)*VLOOKUP($K154,Vloersoorten[],3,FALSE)*VLOOKUP($X154,Frequenties[],3,FALSE)*VLOOKUP(#REF!,Locaties[],3,FALSE),0)</f>
        <v>0</v>
      </c>
      <c r="AA154" s="33"/>
      <c r="AB154" s="33"/>
      <c r="AC154" s="33">
        <f>Ruimtestaat[[#This Row],[uren / jaar weekend]]*Tariefsopbouw!$D$40</f>
        <v>0</v>
      </c>
      <c r="AD154" s="88">
        <f>Ruimtestaat[[#This Row],[Prest. (m2 /jaar) weekend]]+Ruimtestaat[[#This Row],[Prest. (m2 /jaar) werkdagen]]</f>
        <v>358</v>
      </c>
      <c r="AE154" s="88">
        <f>Ruimtestaat[[#This Row],[uren / jaar weekend]]+Ruimtestaat[[#This Row],[uren / jaar werkdagen]]</f>
        <v>0</v>
      </c>
      <c r="AF154" s="89">
        <f>Ruimtestaat[[#This Row],[kosten / jaar weekend]]+Ruimtestaat[[#This Row],[kosten / jaar werkdagen]]</f>
        <v>0</v>
      </c>
      <c r="HK154" s="87"/>
    </row>
    <row r="155" spans="1:219" ht="15" customHeight="1">
      <c r="A155" s="129">
        <v>1</v>
      </c>
      <c r="B155" s="21" t="str">
        <f>VLOOKUP(Ruimtestaat[[#This Row],[Code]],Locaties[#All],2,FALSE)</f>
        <v>PXC Aalderinkshoek</v>
      </c>
      <c r="C155" s="21" t="str">
        <f>VLOOKUP(Ruimtestaat[[#This Row],[Code]],Locaties[#All],4,FALSE)</f>
        <v>Cesar Frankstraat 4</v>
      </c>
      <c r="D155" s="243" t="str">
        <f>VLOOKUP(Ruimtestaat[[#This Row],[Code]],Locaties[#All],5,FALSE)</f>
        <v>7604 JG</v>
      </c>
      <c r="E155" s="243" t="str">
        <f>VLOOKUP(Ruimtestaat[[#This Row],[Code]],Locaties[#All],6,FALSE)</f>
        <v>Almelo</v>
      </c>
      <c r="F155" s="244"/>
      <c r="G155" s="200" t="s">
        <v>653</v>
      </c>
      <c r="H155" s="200" t="s">
        <v>654</v>
      </c>
      <c r="I155" s="244" t="s">
        <v>487</v>
      </c>
      <c r="J155" s="200">
        <v>2</v>
      </c>
      <c r="K155" s="200" t="s">
        <v>1040</v>
      </c>
      <c r="L155" s="200" t="s">
        <v>999</v>
      </c>
      <c r="M155" s="213">
        <v>24.5</v>
      </c>
      <c r="N155" s="213"/>
      <c r="O155" s="243" t="str">
        <f>VLOOKUP(Ruimtestaat[[#This Row],[Ruimte code]],Ruimtegroepen[#All],4,FALSE)</f>
        <v>B  (Bureauruimte)</v>
      </c>
      <c r="P155" s="214"/>
      <c r="Q155" s="215">
        <v>40</v>
      </c>
      <c r="R155" s="215" t="s">
        <v>17</v>
      </c>
      <c r="S155" s="215">
        <f>IF(R155&gt;0,IF(RIGHT(Ruimtestaat[[#This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55" s="215">
        <f>IF(S155&gt;0,VLOOKUP($J155,Ruimtegroepen[],3,FALSE)*VLOOKUP($K155,Vloersoorten[],3,FALSE)*VLOOKUP($R155,Frequenties[],3,FALSE)*VLOOKUP($A155,Locaties[],3,FALSE),0)</f>
        <v>0</v>
      </c>
      <c r="U155" s="215">
        <f>Ruimtestaat[[#This Row],[Uitvoeringen werkdagen]]*Ruimtestaat[[#This Row],[Oppervlak (netto)]]</f>
        <v>1960</v>
      </c>
      <c r="V155" s="259">
        <f>IF(T155&gt;0,Ruimtestaat[[#This Row],[Prest. (m2 /jaar) werkdagen]]/Ruimtestaat[[#This Row],[Norm (m2/uur) werkdagen]],0)</f>
        <v>0</v>
      </c>
      <c r="W155" s="260">
        <f>Ruimtestaat[[#This Row],[uren / jaar werkdagen]]*Tariefsopbouw!$D$38</f>
        <v>0</v>
      </c>
      <c r="X155" s="33"/>
      <c r="Y155" s="33">
        <f>IF(Ruimtestaat[[#This Row],[Frequentie weekend]]&gt;0,VALUE(LEFT(X155,1))*Q155,0)</f>
        <v>0</v>
      </c>
      <c r="Z155" s="33">
        <f>IF($Y155&gt;0,VLOOKUP($J155,Ruimtegroepen[],3,FALSE)*VLOOKUP($K155,Vloersoorten[],3,FALSE)*VLOOKUP($X155,Frequenties[],3,FALSE)*VLOOKUP(#REF!,Locaties[],3,FALSE),0)</f>
        <v>0</v>
      </c>
      <c r="AA155" s="33"/>
      <c r="AB155" s="33"/>
      <c r="AC155" s="33">
        <f>Ruimtestaat[[#This Row],[uren / jaar weekend]]*Tariefsopbouw!$D$40</f>
        <v>0</v>
      </c>
      <c r="AD155" s="88">
        <f>Ruimtestaat[[#This Row],[Prest. (m2 /jaar) weekend]]+Ruimtestaat[[#This Row],[Prest. (m2 /jaar) werkdagen]]</f>
        <v>1960</v>
      </c>
      <c r="AE155" s="88">
        <f>Ruimtestaat[[#This Row],[uren / jaar weekend]]+Ruimtestaat[[#This Row],[uren / jaar werkdagen]]</f>
        <v>0</v>
      </c>
      <c r="AF155" s="89">
        <f>Ruimtestaat[[#This Row],[kosten / jaar weekend]]+Ruimtestaat[[#This Row],[kosten / jaar werkdagen]]</f>
        <v>0</v>
      </c>
      <c r="HK155" s="87"/>
    </row>
    <row r="156" spans="1:219" ht="15" customHeight="1">
      <c r="A156" s="129">
        <v>1</v>
      </c>
      <c r="B156" s="21" t="str">
        <f>VLOOKUP(Ruimtestaat[[#This Row],[Code]],Locaties[#All],2,FALSE)</f>
        <v>PXC Aalderinkshoek</v>
      </c>
      <c r="C156" s="21" t="str">
        <f>VLOOKUP(Ruimtestaat[[#This Row],[Code]],Locaties[#All],4,FALSE)</f>
        <v>Cesar Frankstraat 4</v>
      </c>
      <c r="D156" s="243" t="str">
        <f>VLOOKUP(Ruimtestaat[[#This Row],[Code]],Locaties[#All],5,FALSE)</f>
        <v>7604 JG</v>
      </c>
      <c r="E156" s="243" t="str">
        <f>VLOOKUP(Ruimtestaat[[#This Row],[Code]],Locaties[#All],6,FALSE)</f>
        <v>Almelo</v>
      </c>
      <c r="F156" s="244"/>
      <c r="G156" s="200" t="s">
        <v>653</v>
      </c>
      <c r="H156" s="200" t="s">
        <v>655</v>
      </c>
      <c r="I156" s="244" t="s">
        <v>396</v>
      </c>
      <c r="J156" s="200">
        <v>16</v>
      </c>
      <c r="K156" s="200" t="s">
        <v>110</v>
      </c>
      <c r="L156" s="200" t="s">
        <v>132</v>
      </c>
      <c r="M156" s="213">
        <v>46.24</v>
      </c>
      <c r="N156" s="213"/>
      <c r="O156" s="243" t="str">
        <f>VLOOKUP(Ruimtestaat[[#This Row],[Ruimte code]],Ruimtegroepen[#All],4,FALSE)</f>
        <v>L  (Lesruimte)</v>
      </c>
      <c r="P156" s="214"/>
      <c r="Q156" s="215">
        <v>40</v>
      </c>
      <c r="R156" s="215" t="s">
        <v>2</v>
      </c>
      <c r="S156" s="215">
        <f>IF(R156&gt;0,IF(RIGHT(Ruimtestaat[[#This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6" s="215">
        <f>IF(S156&gt;0,VLOOKUP($J156,Ruimtegroepen[],3,FALSE)*VLOOKUP($K156,Vloersoorten[],3,FALSE)*VLOOKUP($R156,Frequenties[],3,FALSE)*VLOOKUP($A156,Locaties[],3,FALSE),0)</f>
        <v>0</v>
      </c>
      <c r="U156" s="215">
        <f>Ruimtestaat[[#This Row],[Uitvoeringen werkdagen]]*Ruimtestaat[[#This Row],[Oppervlak (netto)]]</f>
        <v>9248</v>
      </c>
      <c r="V156" s="259">
        <f>IF(T156&gt;0,Ruimtestaat[[#This Row],[Prest. (m2 /jaar) werkdagen]]/Ruimtestaat[[#This Row],[Norm (m2/uur) werkdagen]],0)</f>
        <v>0</v>
      </c>
      <c r="W156" s="260">
        <f>Ruimtestaat[[#This Row],[uren / jaar werkdagen]]*Tariefsopbouw!$D$38</f>
        <v>0</v>
      </c>
      <c r="X156" s="33"/>
      <c r="Y156" s="33">
        <f>IF(Ruimtestaat[[#This Row],[Frequentie weekend]]&gt;0,VALUE(LEFT(X156,1))*Q156,0)</f>
        <v>0</v>
      </c>
      <c r="Z156" s="33">
        <f>IF($Y156&gt;0,VLOOKUP($J156,Ruimtegroepen[],3,FALSE)*VLOOKUP($K156,Vloersoorten[],3,FALSE)*VLOOKUP($X156,Frequenties[],3,FALSE)*VLOOKUP(#REF!,Locaties[],3,FALSE),0)</f>
        <v>0</v>
      </c>
      <c r="AA156" s="33"/>
      <c r="AB156" s="33"/>
      <c r="AC156" s="33">
        <f>Ruimtestaat[[#This Row],[uren / jaar weekend]]*Tariefsopbouw!$D$40</f>
        <v>0</v>
      </c>
      <c r="AD156" s="88">
        <f>Ruimtestaat[[#This Row],[Prest. (m2 /jaar) weekend]]+Ruimtestaat[[#This Row],[Prest. (m2 /jaar) werkdagen]]</f>
        <v>9248</v>
      </c>
      <c r="AE156" s="88">
        <f>Ruimtestaat[[#This Row],[uren / jaar weekend]]+Ruimtestaat[[#This Row],[uren / jaar werkdagen]]</f>
        <v>0</v>
      </c>
      <c r="AF156" s="89">
        <f>Ruimtestaat[[#This Row],[kosten / jaar weekend]]+Ruimtestaat[[#This Row],[kosten / jaar werkdagen]]</f>
        <v>0</v>
      </c>
      <c r="HK156" s="87"/>
    </row>
    <row r="157" spans="1:219" ht="15" customHeight="1">
      <c r="A157" s="129">
        <v>1</v>
      </c>
      <c r="B157" s="21" t="str">
        <f>VLOOKUP(Ruimtestaat[[#This Row],[Code]],Locaties[#All],2,FALSE)</f>
        <v>PXC Aalderinkshoek</v>
      </c>
      <c r="C157" s="21" t="str">
        <f>VLOOKUP(Ruimtestaat[[#This Row],[Code]],Locaties[#All],4,FALSE)</f>
        <v>Cesar Frankstraat 4</v>
      </c>
      <c r="D157" s="243" t="str">
        <f>VLOOKUP(Ruimtestaat[[#This Row],[Code]],Locaties[#All],5,FALSE)</f>
        <v>7604 JG</v>
      </c>
      <c r="E157" s="243" t="str">
        <f>VLOOKUP(Ruimtestaat[[#This Row],[Code]],Locaties[#All],6,FALSE)</f>
        <v>Almelo</v>
      </c>
      <c r="F157" s="244"/>
      <c r="G157" s="200" t="s">
        <v>653</v>
      </c>
      <c r="H157" s="200" t="s">
        <v>656</v>
      </c>
      <c r="I157" s="244" t="s">
        <v>396</v>
      </c>
      <c r="J157" s="200">
        <v>16</v>
      </c>
      <c r="K157" s="200" t="s">
        <v>110</v>
      </c>
      <c r="L157" s="200" t="s">
        <v>132</v>
      </c>
      <c r="M157" s="213">
        <v>46.91</v>
      </c>
      <c r="N157" s="213"/>
      <c r="O157" s="243" t="str">
        <f>VLOOKUP(Ruimtestaat[[#This Row],[Ruimte code]],Ruimtegroepen[#All],4,FALSE)</f>
        <v>L  (Lesruimte)</v>
      </c>
      <c r="P157" s="214"/>
      <c r="Q157" s="215">
        <v>40</v>
      </c>
      <c r="R157" s="215" t="s">
        <v>2</v>
      </c>
      <c r="S157" s="215">
        <f>IF(R157&gt;0,IF(RIGHT(Ruimtestaat[[#This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7" s="215">
        <f>IF(S157&gt;0,VLOOKUP($J157,Ruimtegroepen[],3,FALSE)*VLOOKUP($K157,Vloersoorten[],3,FALSE)*VLOOKUP($R157,Frequenties[],3,FALSE)*VLOOKUP($A157,Locaties[],3,FALSE),0)</f>
        <v>0</v>
      </c>
      <c r="U157" s="215">
        <f>Ruimtestaat[[#This Row],[Uitvoeringen werkdagen]]*Ruimtestaat[[#This Row],[Oppervlak (netto)]]</f>
        <v>9382</v>
      </c>
      <c r="V157" s="259">
        <f>IF(T157&gt;0,Ruimtestaat[[#This Row],[Prest. (m2 /jaar) werkdagen]]/Ruimtestaat[[#This Row],[Norm (m2/uur) werkdagen]],0)</f>
        <v>0</v>
      </c>
      <c r="W157" s="260">
        <f>Ruimtestaat[[#This Row],[uren / jaar werkdagen]]*Tariefsopbouw!$D$38</f>
        <v>0</v>
      </c>
      <c r="X157" s="33"/>
      <c r="Y157" s="33">
        <f>IF(Ruimtestaat[[#This Row],[Frequentie weekend]]&gt;0,VALUE(LEFT(X157,1))*Q157,0)</f>
        <v>0</v>
      </c>
      <c r="Z157" s="33">
        <f>IF($Y157&gt;0,VLOOKUP($J157,Ruimtegroepen[],3,FALSE)*VLOOKUP($K157,Vloersoorten[],3,FALSE)*VLOOKUP($X157,Frequenties[],3,FALSE)*VLOOKUP(#REF!,Locaties[],3,FALSE),0)</f>
        <v>0</v>
      </c>
      <c r="AA157" s="33"/>
      <c r="AB157" s="33"/>
      <c r="AC157" s="33">
        <f>Ruimtestaat[[#This Row],[uren / jaar weekend]]*Tariefsopbouw!$D$40</f>
        <v>0</v>
      </c>
      <c r="AD157" s="88">
        <f>Ruimtestaat[[#This Row],[Prest. (m2 /jaar) weekend]]+Ruimtestaat[[#This Row],[Prest. (m2 /jaar) werkdagen]]</f>
        <v>9382</v>
      </c>
      <c r="AE157" s="88">
        <f>Ruimtestaat[[#This Row],[uren / jaar weekend]]+Ruimtestaat[[#This Row],[uren / jaar werkdagen]]</f>
        <v>0</v>
      </c>
      <c r="AF157" s="89">
        <f>Ruimtestaat[[#This Row],[kosten / jaar weekend]]+Ruimtestaat[[#This Row],[kosten / jaar werkdagen]]</f>
        <v>0</v>
      </c>
      <c r="HK157" s="87"/>
    </row>
    <row r="158" spans="1:219" ht="15" customHeight="1">
      <c r="A158" s="129">
        <v>1</v>
      </c>
      <c r="B158" s="21" t="str">
        <f>VLOOKUP(Ruimtestaat[[#This Row],[Code]],Locaties[#All],2,FALSE)</f>
        <v>PXC Aalderinkshoek</v>
      </c>
      <c r="C158" s="21" t="str">
        <f>VLOOKUP(Ruimtestaat[[#This Row],[Code]],Locaties[#All],4,FALSE)</f>
        <v>Cesar Frankstraat 4</v>
      </c>
      <c r="D158" s="243" t="str">
        <f>VLOOKUP(Ruimtestaat[[#This Row],[Code]],Locaties[#All],5,FALSE)</f>
        <v>7604 JG</v>
      </c>
      <c r="E158" s="243" t="str">
        <f>VLOOKUP(Ruimtestaat[[#This Row],[Code]],Locaties[#All],6,FALSE)</f>
        <v>Almelo</v>
      </c>
      <c r="F158" s="244"/>
      <c r="G158" s="200" t="s">
        <v>653</v>
      </c>
      <c r="H158" s="200" t="s">
        <v>657</v>
      </c>
      <c r="I158" s="244" t="s">
        <v>487</v>
      </c>
      <c r="J158" s="200">
        <v>2</v>
      </c>
      <c r="K158" s="200" t="s">
        <v>1040</v>
      </c>
      <c r="L158" s="200" t="s">
        <v>999</v>
      </c>
      <c r="M158" s="213">
        <v>23.25</v>
      </c>
      <c r="N158" s="213"/>
      <c r="O158" s="243" t="str">
        <f>VLOOKUP(Ruimtestaat[[#This Row],[Ruimte code]],Ruimtegroepen[#All],4,FALSE)</f>
        <v>B  (Bureauruimte)</v>
      </c>
      <c r="P158" s="214"/>
      <c r="Q158" s="215">
        <v>40</v>
      </c>
      <c r="R158" s="215" t="s">
        <v>17</v>
      </c>
      <c r="S158" s="215">
        <f>IF(R158&gt;0,IF(RIGHT(Ruimtestaat[[#This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158" s="215">
        <f>IF(S158&gt;0,VLOOKUP($J158,Ruimtegroepen[],3,FALSE)*VLOOKUP($K158,Vloersoorten[],3,FALSE)*VLOOKUP($R158,Frequenties[],3,FALSE)*VLOOKUP($A158,Locaties[],3,FALSE),0)</f>
        <v>0</v>
      </c>
      <c r="U158" s="215">
        <f>Ruimtestaat[[#This Row],[Uitvoeringen werkdagen]]*Ruimtestaat[[#This Row],[Oppervlak (netto)]]</f>
        <v>1860</v>
      </c>
      <c r="V158" s="259">
        <f>IF(T158&gt;0,Ruimtestaat[[#This Row],[Prest. (m2 /jaar) werkdagen]]/Ruimtestaat[[#This Row],[Norm (m2/uur) werkdagen]],0)</f>
        <v>0</v>
      </c>
      <c r="W158" s="260">
        <f>Ruimtestaat[[#This Row],[uren / jaar werkdagen]]*Tariefsopbouw!$D$38</f>
        <v>0</v>
      </c>
      <c r="X158" s="33"/>
      <c r="Y158" s="33">
        <f>IF(Ruimtestaat[[#This Row],[Frequentie weekend]]&gt;0,VALUE(LEFT(X158,1))*Q158,0)</f>
        <v>0</v>
      </c>
      <c r="Z158" s="33">
        <f>IF($Y158&gt;0,VLOOKUP($J158,Ruimtegroepen[],3,FALSE)*VLOOKUP($K158,Vloersoorten[],3,FALSE)*VLOOKUP($X158,Frequenties[],3,FALSE)*VLOOKUP(#REF!,Locaties[],3,FALSE),0)</f>
        <v>0</v>
      </c>
      <c r="AA158" s="33"/>
      <c r="AB158" s="33"/>
      <c r="AC158" s="33">
        <f>Ruimtestaat[[#This Row],[uren / jaar weekend]]*Tariefsopbouw!$D$40</f>
        <v>0</v>
      </c>
      <c r="AD158" s="88">
        <f>Ruimtestaat[[#This Row],[Prest. (m2 /jaar) weekend]]+Ruimtestaat[[#This Row],[Prest. (m2 /jaar) werkdagen]]</f>
        <v>1860</v>
      </c>
      <c r="AE158" s="88">
        <f>Ruimtestaat[[#This Row],[uren / jaar weekend]]+Ruimtestaat[[#This Row],[uren / jaar werkdagen]]</f>
        <v>0</v>
      </c>
      <c r="AF158" s="89">
        <f>Ruimtestaat[[#This Row],[kosten / jaar weekend]]+Ruimtestaat[[#This Row],[kosten / jaar werkdagen]]</f>
        <v>0</v>
      </c>
      <c r="HK158" s="87"/>
    </row>
    <row r="159" spans="1:219" ht="15" customHeight="1">
      <c r="A159" s="129">
        <v>1</v>
      </c>
      <c r="B159" s="21" t="str">
        <f>VLOOKUP(Ruimtestaat[[#This Row],[Code]],Locaties[#All],2,FALSE)</f>
        <v>PXC Aalderinkshoek</v>
      </c>
      <c r="C159" s="21" t="str">
        <f>VLOOKUP(Ruimtestaat[[#This Row],[Code]],Locaties[#All],4,FALSE)</f>
        <v>Cesar Frankstraat 4</v>
      </c>
      <c r="D159" s="243" t="str">
        <f>VLOOKUP(Ruimtestaat[[#This Row],[Code]],Locaties[#All],5,FALSE)</f>
        <v>7604 JG</v>
      </c>
      <c r="E159" s="243" t="str">
        <f>VLOOKUP(Ruimtestaat[[#This Row],[Code]],Locaties[#All],6,FALSE)</f>
        <v>Almelo</v>
      </c>
      <c r="F159" s="244"/>
      <c r="G159" s="200" t="s">
        <v>653</v>
      </c>
      <c r="H159" s="200" t="s">
        <v>658</v>
      </c>
      <c r="I159" s="244" t="s">
        <v>529</v>
      </c>
      <c r="J159" s="200">
        <v>5</v>
      </c>
      <c r="K159" s="215" t="s">
        <v>111</v>
      </c>
      <c r="L159" s="200" t="s">
        <v>1346</v>
      </c>
      <c r="M159" s="213">
        <v>13.82</v>
      </c>
      <c r="N159" s="213"/>
      <c r="O159" s="243" t="str">
        <f>VLOOKUP(Ruimtestaat[[#This Row],[Ruimte code]],Ruimtegroepen[#All],4,FALSE)</f>
        <v>S  (Sanitair)</v>
      </c>
      <c r="P159" s="214"/>
      <c r="Q159" s="215">
        <v>40</v>
      </c>
      <c r="R159" s="215" t="s">
        <v>2</v>
      </c>
      <c r="S159" s="215">
        <f>IF(R159&gt;0,IF(RIGHT(Ruimtestaat[[#This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59" s="215">
        <f>IF(S159&gt;0,VLOOKUP($J159,Ruimtegroepen[],3,FALSE)*VLOOKUP($K159,Vloersoorten[],3,FALSE)*VLOOKUP($R159,Frequenties[],3,FALSE)*VLOOKUP($A159,Locaties[],3,FALSE),0)</f>
        <v>0</v>
      </c>
      <c r="U159" s="215">
        <f>Ruimtestaat[[#This Row],[Uitvoeringen werkdagen]]*Ruimtestaat[[#This Row],[Oppervlak (netto)]]</f>
        <v>2764</v>
      </c>
      <c r="V159" s="259">
        <f>IF(T159&gt;0,Ruimtestaat[[#This Row],[Prest. (m2 /jaar) werkdagen]]/Ruimtestaat[[#This Row],[Norm (m2/uur) werkdagen]],0)</f>
        <v>0</v>
      </c>
      <c r="W159" s="260">
        <f>Ruimtestaat[[#This Row],[uren / jaar werkdagen]]*Tariefsopbouw!$D$38</f>
        <v>0</v>
      </c>
      <c r="X159" s="33"/>
      <c r="Y159" s="33">
        <f>IF(Ruimtestaat[[#This Row],[Frequentie weekend]]&gt;0,VALUE(LEFT(X159,1))*Q159,0)</f>
        <v>0</v>
      </c>
      <c r="Z159" s="33">
        <f>IF($Y159&gt;0,VLOOKUP($J159,Ruimtegroepen[],3,FALSE)*VLOOKUP($K159,Vloersoorten[],3,FALSE)*VLOOKUP($X159,Frequenties[],3,FALSE)*VLOOKUP(#REF!,Locaties[],3,FALSE),0)</f>
        <v>0</v>
      </c>
      <c r="AA159" s="33"/>
      <c r="AB159" s="33"/>
      <c r="AC159" s="33">
        <f>Ruimtestaat[[#This Row],[uren / jaar weekend]]*Tariefsopbouw!$D$40</f>
        <v>0</v>
      </c>
      <c r="AD159" s="88">
        <f>Ruimtestaat[[#This Row],[Prest. (m2 /jaar) weekend]]+Ruimtestaat[[#This Row],[Prest. (m2 /jaar) werkdagen]]</f>
        <v>2764</v>
      </c>
      <c r="AE159" s="88">
        <f>Ruimtestaat[[#This Row],[uren / jaar weekend]]+Ruimtestaat[[#This Row],[uren / jaar werkdagen]]</f>
        <v>0</v>
      </c>
      <c r="AF159" s="89">
        <f>Ruimtestaat[[#This Row],[kosten / jaar weekend]]+Ruimtestaat[[#This Row],[kosten / jaar werkdagen]]</f>
        <v>0</v>
      </c>
      <c r="HK159" s="87"/>
    </row>
    <row r="160" spans="1:219" ht="15" customHeight="1">
      <c r="A160" s="129">
        <v>1</v>
      </c>
      <c r="B160" s="21" t="str">
        <f>VLOOKUP(Ruimtestaat[[#This Row],[Code]],Locaties[#All],2,FALSE)</f>
        <v>PXC Aalderinkshoek</v>
      </c>
      <c r="C160" s="21" t="str">
        <f>VLOOKUP(Ruimtestaat[[#This Row],[Code]],Locaties[#All],4,FALSE)</f>
        <v>Cesar Frankstraat 4</v>
      </c>
      <c r="D160" s="243" t="str">
        <f>VLOOKUP(Ruimtestaat[[#This Row],[Code]],Locaties[#All],5,FALSE)</f>
        <v>7604 JG</v>
      </c>
      <c r="E160" s="243" t="str">
        <f>VLOOKUP(Ruimtestaat[[#This Row],[Code]],Locaties[#All],6,FALSE)</f>
        <v>Almelo</v>
      </c>
      <c r="F160" s="244"/>
      <c r="G160" s="200" t="s">
        <v>653</v>
      </c>
      <c r="H160" s="200" t="s">
        <v>659</v>
      </c>
      <c r="I160" s="244" t="s">
        <v>459</v>
      </c>
      <c r="J160" s="200">
        <v>21</v>
      </c>
      <c r="K160" s="243"/>
      <c r="L160" s="200"/>
      <c r="M160" s="213"/>
      <c r="N160" s="213">
        <v>3.63</v>
      </c>
      <c r="O160" s="243" t="str">
        <f>VLOOKUP(Ruimtestaat[[#This Row],[Ruimte code]],Ruimtegroepen[#All],4,FALSE)</f>
        <v>Niet in onderhoud</v>
      </c>
      <c r="P160" s="214"/>
      <c r="Q160" s="215"/>
      <c r="R160" s="215"/>
      <c r="S160" s="215">
        <f>IF(R160&gt;0,IF(RIGHT(Ruimtestaat[[#This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0" s="215">
        <f>IF(S160&gt;0,VLOOKUP($J160,Ruimtegroepen[],3,FALSE)*VLOOKUP($K160,Vloersoorten[],3,FALSE)*VLOOKUP($R160,Frequenties[],3,FALSE)*VLOOKUP($A160,Locaties[],3,FALSE),0)</f>
        <v>0</v>
      </c>
      <c r="U160" s="215">
        <f>Ruimtestaat[[#This Row],[Uitvoeringen werkdagen]]*Ruimtestaat[[#This Row],[Oppervlak (netto)]]</f>
        <v>0</v>
      </c>
      <c r="V160" s="259">
        <f>IF(T160&gt;0,Ruimtestaat[[#This Row],[Prest. (m2 /jaar) werkdagen]]/Ruimtestaat[[#This Row],[Norm (m2/uur) werkdagen]],0)</f>
        <v>0</v>
      </c>
      <c r="W160" s="260">
        <f>Ruimtestaat[[#This Row],[uren / jaar werkdagen]]*Tariefsopbouw!$D$38</f>
        <v>0</v>
      </c>
      <c r="X160" s="33"/>
      <c r="Y160" s="33">
        <f>IF(Ruimtestaat[[#This Row],[Frequentie weekend]]&gt;0,VALUE(LEFT(X160,1))*Q160,0)</f>
        <v>0</v>
      </c>
      <c r="Z160" s="33">
        <f>IF($Y160&gt;0,VLOOKUP($J160,Ruimtegroepen[],3,FALSE)*VLOOKUP($K160,Vloersoorten[],3,FALSE)*VLOOKUP($X160,Frequenties[],3,FALSE)*VLOOKUP(#REF!,Locaties[],3,FALSE),0)</f>
        <v>0</v>
      </c>
      <c r="AA160" s="33"/>
      <c r="AB160" s="33"/>
      <c r="AC160" s="33">
        <f>Ruimtestaat[[#This Row],[uren / jaar weekend]]*Tariefsopbouw!$D$40</f>
        <v>0</v>
      </c>
      <c r="AD160" s="88">
        <f>Ruimtestaat[[#This Row],[Prest. (m2 /jaar) weekend]]+Ruimtestaat[[#This Row],[Prest. (m2 /jaar) werkdagen]]</f>
        <v>0</v>
      </c>
      <c r="AE160" s="88">
        <f>Ruimtestaat[[#This Row],[uren / jaar weekend]]+Ruimtestaat[[#This Row],[uren / jaar werkdagen]]</f>
        <v>0</v>
      </c>
      <c r="AF160" s="89">
        <f>Ruimtestaat[[#This Row],[kosten / jaar weekend]]+Ruimtestaat[[#This Row],[kosten / jaar werkdagen]]</f>
        <v>0</v>
      </c>
      <c r="HK160" s="87"/>
    </row>
    <row r="161" spans="1:219" ht="15" customHeight="1">
      <c r="A161" s="129">
        <v>1</v>
      </c>
      <c r="B161" s="21" t="str">
        <f>VLOOKUP(Ruimtestaat[[#This Row],[Code]],Locaties[#All],2,FALSE)</f>
        <v>PXC Aalderinkshoek</v>
      </c>
      <c r="C161" s="21" t="str">
        <f>VLOOKUP(Ruimtestaat[[#This Row],[Code]],Locaties[#All],4,FALSE)</f>
        <v>Cesar Frankstraat 4</v>
      </c>
      <c r="D161" s="243" t="str">
        <f>VLOOKUP(Ruimtestaat[[#This Row],[Code]],Locaties[#All],5,FALSE)</f>
        <v>7604 JG</v>
      </c>
      <c r="E161" s="243" t="str">
        <f>VLOOKUP(Ruimtestaat[[#This Row],[Code]],Locaties[#All],6,FALSE)</f>
        <v>Almelo</v>
      </c>
      <c r="F161" s="244"/>
      <c r="G161" s="200" t="s">
        <v>653</v>
      </c>
      <c r="H161" s="200" t="s">
        <v>660</v>
      </c>
      <c r="I161" s="244" t="s">
        <v>447</v>
      </c>
      <c r="J161" s="200">
        <v>1</v>
      </c>
      <c r="K161" s="215" t="s">
        <v>110</v>
      </c>
      <c r="L161" s="200" t="s">
        <v>132</v>
      </c>
      <c r="M161" s="213">
        <v>2.13</v>
      </c>
      <c r="N161" s="213"/>
      <c r="O161" s="243" t="str">
        <f>VLOOKUP(Ruimtestaat[[#This Row],[Ruimte code]],Ruimtegroepen[#All],4,FALSE)</f>
        <v>V  (Verkeersruimte)</v>
      </c>
      <c r="P161" s="214"/>
      <c r="Q161" s="215">
        <v>40</v>
      </c>
      <c r="R161" s="215" t="s">
        <v>16</v>
      </c>
      <c r="S161" s="215">
        <f>IF(R161&gt;0,IF(RIGHT(Ruimtestaat[[#This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61" s="215">
        <f>IF(S161&gt;0,VLOOKUP($J161,Ruimtegroepen[],3,FALSE)*VLOOKUP($K161,Vloersoorten[],3,FALSE)*VLOOKUP($R161,Frequenties[],3,FALSE)*VLOOKUP($A161,Locaties[],3,FALSE),0)</f>
        <v>0</v>
      </c>
      <c r="U161" s="215">
        <f>Ruimtestaat[[#This Row],[Uitvoeringen werkdagen]]*Ruimtestaat[[#This Row],[Oppervlak (netto)]]</f>
        <v>25.56</v>
      </c>
      <c r="V161" s="259">
        <f>IF(T161&gt;0,Ruimtestaat[[#This Row],[Prest. (m2 /jaar) werkdagen]]/Ruimtestaat[[#This Row],[Norm (m2/uur) werkdagen]],0)</f>
        <v>0</v>
      </c>
      <c r="W161" s="260">
        <f>Ruimtestaat[[#This Row],[uren / jaar werkdagen]]*Tariefsopbouw!$D$38</f>
        <v>0</v>
      </c>
      <c r="X161" s="33"/>
      <c r="Y161" s="33">
        <f>IF(Ruimtestaat[[#This Row],[Frequentie weekend]]&gt;0,VALUE(LEFT(X161,1))*Q161,0)</f>
        <v>0</v>
      </c>
      <c r="Z161" s="33">
        <f>IF($Y161&gt;0,VLOOKUP($J161,Ruimtegroepen[],3,FALSE)*VLOOKUP($K161,Vloersoorten[],3,FALSE)*VLOOKUP($X161,Frequenties[],3,FALSE)*VLOOKUP(#REF!,Locaties[],3,FALSE),0)</f>
        <v>0</v>
      </c>
      <c r="AA161" s="33"/>
      <c r="AB161" s="33"/>
      <c r="AC161" s="33">
        <f>Ruimtestaat[[#This Row],[uren / jaar weekend]]*Tariefsopbouw!$D$40</f>
        <v>0</v>
      </c>
      <c r="AD161" s="88">
        <f>Ruimtestaat[[#This Row],[Prest. (m2 /jaar) weekend]]+Ruimtestaat[[#This Row],[Prest. (m2 /jaar) werkdagen]]</f>
        <v>25.56</v>
      </c>
      <c r="AE161" s="88">
        <f>Ruimtestaat[[#This Row],[uren / jaar weekend]]+Ruimtestaat[[#This Row],[uren / jaar werkdagen]]</f>
        <v>0</v>
      </c>
      <c r="AF161" s="89">
        <f>Ruimtestaat[[#This Row],[kosten / jaar weekend]]+Ruimtestaat[[#This Row],[kosten / jaar werkdagen]]</f>
        <v>0</v>
      </c>
      <c r="HK161" s="87"/>
    </row>
    <row r="162" spans="1:219" ht="15" customHeight="1">
      <c r="A162" s="129">
        <v>1</v>
      </c>
      <c r="B162" s="21" t="str">
        <f>VLOOKUP(Ruimtestaat[[#This Row],[Code]],Locaties[#All],2,FALSE)</f>
        <v>PXC Aalderinkshoek</v>
      </c>
      <c r="C162" s="21" t="str">
        <f>VLOOKUP(Ruimtestaat[[#This Row],[Code]],Locaties[#All],4,FALSE)</f>
        <v>Cesar Frankstraat 4</v>
      </c>
      <c r="D162" s="243" t="str">
        <f>VLOOKUP(Ruimtestaat[[#This Row],[Code]],Locaties[#All],5,FALSE)</f>
        <v>7604 JG</v>
      </c>
      <c r="E162" s="243" t="str">
        <f>VLOOKUP(Ruimtestaat[[#This Row],[Code]],Locaties[#All],6,FALSE)</f>
        <v>Almelo</v>
      </c>
      <c r="F162" s="244"/>
      <c r="G162" s="200" t="s">
        <v>653</v>
      </c>
      <c r="H162" s="200" t="s">
        <v>661</v>
      </c>
      <c r="I162" s="244" t="s">
        <v>469</v>
      </c>
      <c r="J162" s="200">
        <v>6</v>
      </c>
      <c r="K162" s="200" t="s">
        <v>110</v>
      </c>
      <c r="L162" s="200" t="s">
        <v>132</v>
      </c>
      <c r="M162" s="213">
        <v>62.1</v>
      </c>
      <c r="N162" s="213"/>
      <c r="O162" s="243" t="str">
        <f>VLOOKUP(Ruimtestaat[[#This Row],[Ruimte code]],Ruimtegroepen[#All],4,FALSE)</f>
        <v>V  (Verkeersruimte)</v>
      </c>
      <c r="P162" s="214"/>
      <c r="Q162" s="215">
        <v>40</v>
      </c>
      <c r="R162" s="215" t="s">
        <v>15</v>
      </c>
      <c r="S162" s="215">
        <f>IF(R162&gt;0,IF(RIGHT(Ruimtestaat[[#This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62" s="215">
        <f>IF(S162&gt;0,VLOOKUP($J162,Ruimtegroepen[],3,FALSE)*VLOOKUP($K162,Vloersoorten[],3,FALSE)*VLOOKUP($R162,Frequenties[],3,FALSE)*VLOOKUP($A162,Locaties[],3,FALSE),0)</f>
        <v>0</v>
      </c>
      <c r="U162" s="215">
        <f>Ruimtestaat[[#This Row],[Uitvoeringen werkdagen]]*Ruimtestaat[[#This Row],[Oppervlak (netto)]]</f>
        <v>2484</v>
      </c>
      <c r="V162" s="259">
        <f>IF(T162&gt;0,Ruimtestaat[[#This Row],[Prest. (m2 /jaar) werkdagen]]/Ruimtestaat[[#This Row],[Norm (m2/uur) werkdagen]],0)</f>
        <v>0</v>
      </c>
      <c r="W162" s="260">
        <f>Ruimtestaat[[#This Row],[uren / jaar werkdagen]]*Tariefsopbouw!$D$38</f>
        <v>0</v>
      </c>
      <c r="X162" s="33"/>
      <c r="Y162" s="33">
        <f>IF(Ruimtestaat[[#This Row],[Frequentie weekend]]&gt;0,VALUE(LEFT(X162,1))*Q162,0)</f>
        <v>0</v>
      </c>
      <c r="Z162" s="33">
        <f>IF($Y162&gt;0,VLOOKUP($J162,Ruimtegroepen[],3,FALSE)*VLOOKUP($K162,Vloersoorten[],3,FALSE)*VLOOKUP($X162,Frequenties[],3,FALSE)*VLOOKUP(#REF!,Locaties[],3,FALSE),0)</f>
        <v>0</v>
      </c>
      <c r="AA162" s="33"/>
      <c r="AB162" s="33"/>
      <c r="AC162" s="33">
        <f>Ruimtestaat[[#This Row],[uren / jaar weekend]]*Tariefsopbouw!$D$40</f>
        <v>0</v>
      </c>
      <c r="AD162" s="88">
        <f>Ruimtestaat[[#This Row],[Prest. (m2 /jaar) weekend]]+Ruimtestaat[[#This Row],[Prest. (m2 /jaar) werkdagen]]</f>
        <v>2484</v>
      </c>
      <c r="AE162" s="88">
        <f>Ruimtestaat[[#This Row],[uren / jaar weekend]]+Ruimtestaat[[#This Row],[uren / jaar werkdagen]]</f>
        <v>0</v>
      </c>
      <c r="AF162" s="89">
        <f>Ruimtestaat[[#This Row],[kosten / jaar weekend]]+Ruimtestaat[[#This Row],[kosten / jaar werkdagen]]</f>
        <v>0</v>
      </c>
      <c r="HK162" s="87"/>
    </row>
    <row r="163" spans="1:219" ht="15" customHeight="1">
      <c r="A163" s="129">
        <v>1</v>
      </c>
      <c r="B163" s="21" t="str">
        <f>VLOOKUP(Ruimtestaat[[#This Row],[Code]],Locaties[#All],2,FALSE)</f>
        <v>PXC Aalderinkshoek</v>
      </c>
      <c r="C163" s="21" t="str">
        <f>VLOOKUP(Ruimtestaat[[#This Row],[Code]],Locaties[#All],4,FALSE)</f>
        <v>Cesar Frankstraat 4</v>
      </c>
      <c r="D163" s="243" t="str">
        <f>VLOOKUP(Ruimtestaat[[#This Row],[Code]],Locaties[#All],5,FALSE)</f>
        <v>7604 JG</v>
      </c>
      <c r="E163" s="243" t="str">
        <f>VLOOKUP(Ruimtestaat[[#This Row],[Code]],Locaties[#All],6,FALSE)</f>
        <v>Almelo</v>
      </c>
      <c r="F163" s="244"/>
      <c r="G163" s="200" t="s">
        <v>653</v>
      </c>
      <c r="H163" s="200" t="s">
        <v>662</v>
      </c>
      <c r="I163" s="244" t="s">
        <v>469</v>
      </c>
      <c r="J163" s="200">
        <v>6</v>
      </c>
      <c r="K163" s="200" t="s">
        <v>110</v>
      </c>
      <c r="L163" s="200" t="s">
        <v>132</v>
      </c>
      <c r="M163" s="213">
        <v>307.33</v>
      </c>
      <c r="N163" s="213"/>
      <c r="O163" s="243" t="str">
        <f>VLOOKUP(Ruimtestaat[[#This Row],[Ruimte code]],Ruimtegroepen[#All],4,FALSE)</f>
        <v>V  (Verkeersruimte)</v>
      </c>
      <c r="P163" s="214"/>
      <c r="Q163" s="215">
        <v>40</v>
      </c>
      <c r="R163" s="215" t="s">
        <v>2</v>
      </c>
      <c r="S163" s="215">
        <f>IF(R163&gt;0,IF(RIGHT(Ruimtestaat[[#This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3" s="215">
        <f>IF(S163&gt;0,VLOOKUP($J163,Ruimtegroepen[],3,FALSE)*VLOOKUP($K163,Vloersoorten[],3,FALSE)*VLOOKUP($R163,Frequenties[],3,FALSE)*VLOOKUP($A163,Locaties[],3,FALSE),0)</f>
        <v>0</v>
      </c>
      <c r="U163" s="215">
        <f>Ruimtestaat[[#This Row],[Uitvoeringen werkdagen]]*Ruimtestaat[[#This Row],[Oppervlak (netto)]]</f>
        <v>61466</v>
      </c>
      <c r="V163" s="259">
        <f>IF(T163&gt;0,Ruimtestaat[[#This Row],[Prest. (m2 /jaar) werkdagen]]/Ruimtestaat[[#This Row],[Norm (m2/uur) werkdagen]],0)</f>
        <v>0</v>
      </c>
      <c r="W163" s="260">
        <f>Ruimtestaat[[#This Row],[uren / jaar werkdagen]]*Tariefsopbouw!$D$38</f>
        <v>0</v>
      </c>
      <c r="X163" s="33"/>
      <c r="Y163" s="33">
        <f>IF(Ruimtestaat[[#This Row],[Frequentie weekend]]&gt;0,VALUE(LEFT(X163,1))*Q163,0)</f>
        <v>0</v>
      </c>
      <c r="Z163" s="33">
        <f>IF($Y163&gt;0,VLOOKUP($J163,Ruimtegroepen[],3,FALSE)*VLOOKUP($K163,Vloersoorten[],3,FALSE)*VLOOKUP($X163,Frequenties[],3,FALSE)*VLOOKUP(#REF!,Locaties[],3,FALSE),0)</f>
        <v>0</v>
      </c>
      <c r="AA163" s="33"/>
      <c r="AB163" s="33"/>
      <c r="AC163" s="33">
        <f>Ruimtestaat[[#This Row],[uren / jaar weekend]]*Tariefsopbouw!$D$40</f>
        <v>0</v>
      </c>
      <c r="AD163" s="88">
        <f>Ruimtestaat[[#This Row],[Prest. (m2 /jaar) weekend]]+Ruimtestaat[[#This Row],[Prest. (m2 /jaar) werkdagen]]</f>
        <v>61466</v>
      </c>
      <c r="AE163" s="88">
        <f>Ruimtestaat[[#This Row],[uren / jaar weekend]]+Ruimtestaat[[#This Row],[uren / jaar werkdagen]]</f>
        <v>0</v>
      </c>
      <c r="AF163" s="89">
        <f>Ruimtestaat[[#This Row],[kosten / jaar weekend]]+Ruimtestaat[[#This Row],[kosten / jaar werkdagen]]</f>
        <v>0</v>
      </c>
      <c r="HK163" s="87"/>
    </row>
    <row r="164" spans="1:219" ht="15" customHeight="1">
      <c r="A164" s="129">
        <v>1</v>
      </c>
      <c r="B164" s="21" t="str">
        <f>VLOOKUP(Ruimtestaat[[#This Row],[Code]],Locaties[#All],2,FALSE)</f>
        <v>PXC Aalderinkshoek</v>
      </c>
      <c r="C164" s="21" t="str">
        <f>VLOOKUP(Ruimtestaat[[#This Row],[Code]],Locaties[#All],4,FALSE)</f>
        <v>Cesar Frankstraat 4</v>
      </c>
      <c r="D164" s="243" t="str">
        <f>VLOOKUP(Ruimtestaat[[#This Row],[Code]],Locaties[#All],5,FALSE)</f>
        <v>7604 JG</v>
      </c>
      <c r="E164" s="243" t="str">
        <f>VLOOKUP(Ruimtestaat[[#This Row],[Code]],Locaties[#All],6,FALSE)</f>
        <v>Almelo</v>
      </c>
      <c r="F164" s="244"/>
      <c r="G164" s="200" t="s">
        <v>653</v>
      </c>
      <c r="H164" s="200" t="s">
        <v>663</v>
      </c>
      <c r="I164" s="244" t="s">
        <v>469</v>
      </c>
      <c r="J164" s="200">
        <v>6</v>
      </c>
      <c r="K164" s="200" t="s">
        <v>110</v>
      </c>
      <c r="L164" s="200" t="s">
        <v>132</v>
      </c>
      <c r="M164" s="213">
        <v>46.1</v>
      </c>
      <c r="N164" s="213"/>
      <c r="O164" s="243" t="str">
        <f>VLOOKUP(Ruimtestaat[[#This Row],[Ruimte code]],Ruimtegroepen[#All],4,FALSE)</f>
        <v>V  (Verkeersruimte)</v>
      </c>
      <c r="P164" s="214"/>
      <c r="Q164" s="215">
        <v>40</v>
      </c>
      <c r="R164" s="215" t="s">
        <v>15</v>
      </c>
      <c r="S164" s="215">
        <f>IF(R164&gt;0,IF(RIGHT(Ruimtestaat[[#This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64" s="215">
        <f>IF(S164&gt;0,VLOOKUP($J164,Ruimtegroepen[],3,FALSE)*VLOOKUP($K164,Vloersoorten[],3,FALSE)*VLOOKUP($R164,Frequenties[],3,FALSE)*VLOOKUP($A164,Locaties[],3,FALSE),0)</f>
        <v>0</v>
      </c>
      <c r="U164" s="215">
        <f>Ruimtestaat[[#This Row],[Uitvoeringen werkdagen]]*Ruimtestaat[[#This Row],[Oppervlak (netto)]]</f>
        <v>1844</v>
      </c>
      <c r="V164" s="259">
        <f>IF(T164&gt;0,Ruimtestaat[[#This Row],[Prest. (m2 /jaar) werkdagen]]/Ruimtestaat[[#This Row],[Norm (m2/uur) werkdagen]],0)</f>
        <v>0</v>
      </c>
      <c r="W164" s="260">
        <f>Ruimtestaat[[#This Row],[uren / jaar werkdagen]]*Tariefsopbouw!$D$38</f>
        <v>0</v>
      </c>
      <c r="X164" s="33"/>
      <c r="Y164" s="33">
        <f>IF(Ruimtestaat[[#This Row],[Frequentie weekend]]&gt;0,VALUE(LEFT(X164,1))*Q164,0)</f>
        <v>0</v>
      </c>
      <c r="Z164" s="33">
        <f>IF($Y164&gt;0,VLOOKUP($J164,Ruimtegroepen[],3,FALSE)*VLOOKUP($K164,Vloersoorten[],3,FALSE)*VLOOKUP($X164,Frequenties[],3,FALSE)*VLOOKUP(#REF!,Locaties[],3,FALSE),0)</f>
        <v>0</v>
      </c>
      <c r="AA164" s="33"/>
      <c r="AB164" s="33"/>
      <c r="AC164" s="33">
        <f>Ruimtestaat[[#This Row],[uren / jaar weekend]]*Tariefsopbouw!$D$40</f>
        <v>0</v>
      </c>
      <c r="AD164" s="88">
        <f>Ruimtestaat[[#This Row],[Prest. (m2 /jaar) weekend]]+Ruimtestaat[[#This Row],[Prest. (m2 /jaar) werkdagen]]</f>
        <v>1844</v>
      </c>
      <c r="AE164" s="88">
        <f>Ruimtestaat[[#This Row],[uren / jaar weekend]]+Ruimtestaat[[#This Row],[uren / jaar werkdagen]]</f>
        <v>0</v>
      </c>
      <c r="AF164" s="89">
        <f>Ruimtestaat[[#This Row],[kosten / jaar weekend]]+Ruimtestaat[[#This Row],[kosten / jaar werkdagen]]</f>
        <v>0</v>
      </c>
      <c r="HK164" s="87"/>
    </row>
    <row r="165" spans="1:219" ht="15" customHeight="1">
      <c r="A165" s="129">
        <v>1</v>
      </c>
      <c r="B165" s="21" t="str">
        <f>VLOOKUP(Ruimtestaat[[#This Row],[Code]],Locaties[#All],2,FALSE)</f>
        <v>PXC Aalderinkshoek</v>
      </c>
      <c r="C165" s="21" t="str">
        <f>VLOOKUP(Ruimtestaat[[#This Row],[Code]],Locaties[#All],4,FALSE)</f>
        <v>Cesar Frankstraat 4</v>
      </c>
      <c r="D165" s="243" t="str">
        <f>VLOOKUP(Ruimtestaat[[#This Row],[Code]],Locaties[#All],5,FALSE)</f>
        <v>7604 JG</v>
      </c>
      <c r="E165" s="243" t="str">
        <f>VLOOKUP(Ruimtestaat[[#This Row],[Code]],Locaties[#All],6,FALSE)</f>
        <v>Almelo</v>
      </c>
      <c r="F165" s="244"/>
      <c r="G165" s="200" t="s">
        <v>653</v>
      </c>
      <c r="H165" s="200" t="s">
        <v>664</v>
      </c>
      <c r="I165" s="244" t="s">
        <v>539</v>
      </c>
      <c r="J165" s="200">
        <v>5</v>
      </c>
      <c r="K165" s="215" t="s">
        <v>111</v>
      </c>
      <c r="L165" s="200" t="s">
        <v>1346</v>
      </c>
      <c r="M165" s="213">
        <v>13.82</v>
      </c>
      <c r="N165" s="213"/>
      <c r="O165" s="243" t="str">
        <f>VLOOKUP(Ruimtestaat[[#This Row],[Ruimte code]],Ruimtegroepen[#All],4,FALSE)</f>
        <v>S  (Sanitair)</v>
      </c>
      <c r="P165" s="214"/>
      <c r="Q165" s="215">
        <v>40</v>
      </c>
      <c r="R165" s="215" t="s">
        <v>2</v>
      </c>
      <c r="S165" s="215">
        <f>IF(R165&gt;0,IF(RIGHT(Ruimtestaat[[#This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65" s="215">
        <f>IF(S165&gt;0,VLOOKUP($J165,Ruimtegroepen[],3,FALSE)*VLOOKUP($K165,Vloersoorten[],3,FALSE)*VLOOKUP($R165,Frequenties[],3,FALSE)*VLOOKUP($A165,Locaties[],3,FALSE),0)</f>
        <v>0</v>
      </c>
      <c r="U165" s="215">
        <f>Ruimtestaat[[#This Row],[Uitvoeringen werkdagen]]*Ruimtestaat[[#This Row],[Oppervlak (netto)]]</f>
        <v>2764</v>
      </c>
      <c r="V165" s="259">
        <f>IF(T165&gt;0,Ruimtestaat[[#This Row],[Prest. (m2 /jaar) werkdagen]]/Ruimtestaat[[#This Row],[Norm (m2/uur) werkdagen]],0)</f>
        <v>0</v>
      </c>
      <c r="W165" s="260">
        <f>Ruimtestaat[[#This Row],[uren / jaar werkdagen]]*Tariefsopbouw!$D$38</f>
        <v>0</v>
      </c>
      <c r="X165" s="33"/>
      <c r="Y165" s="33">
        <f>IF(Ruimtestaat[[#This Row],[Frequentie weekend]]&gt;0,VALUE(LEFT(X165,1))*Q165,0)</f>
        <v>0</v>
      </c>
      <c r="Z165" s="33">
        <f>IF($Y165&gt;0,VLOOKUP($J165,Ruimtegroepen[],3,FALSE)*VLOOKUP($K165,Vloersoorten[],3,FALSE)*VLOOKUP($X165,Frequenties[],3,FALSE)*VLOOKUP(#REF!,Locaties[],3,FALSE),0)</f>
        <v>0</v>
      </c>
      <c r="AA165" s="33"/>
      <c r="AB165" s="33"/>
      <c r="AC165" s="33">
        <f>Ruimtestaat[[#This Row],[uren / jaar weekend]]*Tariefsopbouw!$D$40</f>
        <v>0</v>
      </c>
      <c r="AD165" s="88">
        <f>Ruimtestaat[[#This Row],[Prest. (m2 /jaar) weekend]]+Ruimtestaat[[#This Row],[Prest. (m2 /jaar) werkdagen]]</f>
        <v>2764</v>
      </c>
      <c r="AE165" s="88">
        <f>Ruimtestaat[[#This Row],[uren / jaar weekend]]+Ruimtestaat[[#This Row],[uren / jaar werkdagen]]</f>
        <v>0</v>
      </c>
      <c r="AF165" s="89">
        <f>Ruimtestaat[[#This Row],[kosten / jaar weekend]]+Ruimtestaat[[#This Row],[kosten / jaar werkdagen]]</f>
        <v>0</v>
      </c>
      <c r="HK165" s="87"/>
    </row>
    <row r="166" spans="1:219" ht="15" customHeight="1">
      <c r="A166" s="129">
        <v>1</v>
      </c>
      <c r="B166" s="21" t="str">
        <f>VLOOKUP(Ruimtestaat[[#This Row],[Code]],Locaties[#All],2,FALSE)</f>
        <v>PXC Aalderinkshoek</v>
      </c>
      <c r="C166" s="21" t="str">
        <f>VLOOKUP(Ruimtestaat[[#This Row],[Code]],Locaties[#All],4,FALSE)</f>
        <v>Cesar Frankstraat 4</v>
      </c>
      <c r="D166" s="243" t="str">
        <f>VLOOKUP(Ruimtestaat[[#This Row],[Code]],Locaties[#All],5,FALSE)</f>
        <v>7604 JG</v>
      </c>
      <c r="E166" s="243" t="str">
        <f>VLOOKUP(Ruimtestaat[[#This Row],[Code]],Locaties[#All],6,FALSE)</f>
        <v>Almelo</v>
      </c>
      <c r="F166" s="244"/>
      <c r="G166" s="200" t="s">
        <v>653</v>
      </c>
      <c r="H166" s="200" t="s">
        <v>665</v>
      </c>
      <c r="I166" s="244" t="s">
        <v>396</v>
      </c>
      <c r="J166" s="200">
        <v>16</v>
      </c>
      <c r="K166" s="200" t="s">
        <v>110</v>
      </c>
      <c r="L166" s="200" t="s">
        <v>132</v>
      </c>
      <c r="M166" s="213">
        <v>115.48</v>
      </c>
      <c r="N166" s="213"/>
      <c r="O166" s="243" t="str">
        <f>VLOOKUP(Ruimtestaat[[#This Row],[Ruimte code]],Ruimtegroepen[#All],4,FALSE)</f>
        <v>L  (Lesruimte)</v>
      </c>
      <c r="P166" s="214"/>
      <c r="Q166" s="215">
        <v>40</v>
      </c>
      <c r="R166" s="215" t="s">
        <v>1344</v>
      </c>
      <c r="S166" s="215">
        <f>IF(R166&gt;0,IF(RIGHT(Ruimtestaat[[#This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66" s="215">
        <f>IF(S166&gt;0,VLOOKUP($J166,Ruimtegroepen[],3,FALSE)*VLOOKUP($K166,Vloersoorten[],3,FALSE)*VLOOKUP($R166,Frequenties[],3,FALSE)*VLOOKUP($A166,Locaties[],3,FALSE),0)</f>
        <v>0</v>
      </c>
      <c r="U166" s="215">
        <f>Ruimtestaat[[#This Row],[Uitvoeringen werkdagen]]*Ruimtestaat[[#This Row],[Oppervlak (netto)]]</f>
        <v>2771.52</v>
      </c>
      <c r="V166" s="259">
        <f>IF(T166&gt;0,Ruimtestaat[[#This Row],[Prest. (m2 /jaar) werkdagen]]/Ruimtestaat[[#This Row],[Norm (m2/uur) werkdagen]],0)</f>
        <v>0</v>
      </c>
      <c r="W166" s="260">
        <f>Ruimtestaat[[#This Row],[uren / jaar werkdagen]]*Tariefsopbouw!$D$38</f>
        <v>0</v>
      </c>
      <c r="X166" s="33"/>
      <c r="Y166" s="33">
        <f>IF(Ruimtestaat[[#This Row],[Frequentie weekend]]&gt;0,VALUE(LEFT(X166,1))*Q166,0)</f>
        <v>0</v>
      </c>
      <c r="Z166" s="33">
        <f>IF($Y166&gt;0,VLOOKUP($J166,Ruimtegroepen[],3,FALSE)*VLOOKUP($K166,Vloersoorten[],3,FALSE)*VLOOKUP($X166,Frequenties[],3,FALSE)*VLOOKUP(#REF!,Locaties[],3,FALSE),0)</f>
        <v>0</v>
      </c>
      <c r="AA166" s="33"/>
      <c r="AB166" s="33"/>
      <c r="AC166" s="33">
        <f>Ruimtestaat[[#This Row],[uren / jaar weekend]]*Tariefsopbouw!$D$40</f>
        <v>0</v>
      </c>
      <c r="AD166" s="88">
        <f>Ruimtestaat[[#This Row],[Prest. (m2 /jaar) weekend]]+Ruimtestaat[[#This Row],[Prest. (m2 /jaar) werkdagen]]</f>
        <v>2771.52</v>
      </c>
      <c r="AE166" s="88">
        <f>Ruimtestaat[[#This Row],[uren / jaar weekend]]+Ruimtestaat[[#This Row],[uren / jaar werkdagen]]</f>
        <v>0</v>
      </c>
      <c r="AF166" s="89">
        <f>Ruimtestaat[[#This Row],[kosten / jaar weekend]]+Ruimtestaat[[#This Row],[kosten / jaar werkdagen]]</f>
        <v>0</v>
      </c>
      <c r="HK166" s="87"/>
    </row>
    <row r="167" spans="1:219" ht="15" customHeight="1">
      <c r="A167" s="129">
        <v>1</v>
      </c>
      <c r="B167" s="21" t="str">
        <f>VLOOKUP(Ruimtestaat[[#This Row],[Code]],Locaties[#All],2,FALSE)</f>
        <v>PXC Aalderinkshoek</v>
      </c>
      <c r="C167" s="21" t="str">
        <f>VLOOKUP(Ruimtestaat[[#This Row],[Code]],Locaties[#All],4,FALSE)</f>
        <v>Cesar Frankstraat 4</v>
      </c>
      <c r="D167" s="243" t="str">
        <f>VLOOKUP(Ruimtestaat[[#This Row],[Code]],Locaties[#All],5,FALSE)</f>
        <v>7604 JG</v>
      </c>
      <c r="E167" s="243" t="str">
        <f>VLOOKUP(Ruimtestaat[[#This Row],[Code]],Locaties[#All],6,FALSE)</f>
        <v>Almelo</v>
      </c>
      <c r="F167" s="244"/>
      <c r="G167" s="200" t="s">
        <v>653</v>
      </c>
      <c r="H167" s="200" t="s">
        <v>666</v>
      </c>
      <c r="I167" s="244" t="s">
        <v>667</v>
      </c>
      <c r="J167" s="243">
        <v>2</v>
      </c>
      <c r="K167" s="200" t="s">
        <v>1040</v>
      </c>
      <c r="L167" s="200" t="s">
        <v>999</v>
      </c>
      <c r="M167" s="213">
        <v>24.5</v>
      </c>
      <c r="N167" s="213"/>
      <c r="O167" s="243" t="str">
        <f>VLOOKUP(Ruimtestaat[[#This Row],[Ruimte code]],Ruimtegroepen[#All],4,FALSE)</f>
        <v>B  (Bureauruimte)</v>
      </c>
      <c r="P167" s="214"/>
      <c r="Q167" s="215">
        <v>40</v>
      </c>
      <c r="R167" s="215" t="s">
        <v>1344</v>
      </c>
      <c r="S167" s="215">
        <f>IF(R167&gt;0,IF(RIGHT(Ruimtestaat[[#This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67" s="215">
        <f>IF(S167&gt;0,VLOOKUP($J167,Ruimtegroepen[],3,FALSE)*VLOOKUP($K167,Vloersoorten[],3,FALSE)*VLOOKUP($R167,Frequenties[],3,FALSE)*VLOOKUP($A167,Locaties[],3,FALSE),0)</f>
        <v>0</v>
      </c>
      <c r="U167" s="215">
        <f>Ruimtestaat[[#This Row],[Uitvoeringen werkdagen]]*Ruimtestaat[[#This Row],[Oppervlak (netto)]]</f>
        <v>588</v>
      </c>
      <c r="V167" s="259">
        <f>IF(T167&gt;0,Ruimtestaat[[#This Row],[Prest. (m2 /jaar) werkdagen]]/Ruimtestaat[[#This Row],[Norm (m2/uur) werkdagen]],0)</f>
        <v>0</v>
      </c>
      <c r="W167" s="260">
        <f>Ruimtestaat[[#This Row],[uren / jaar werkdagen]]*Tariefsopbouw!$D$38</f>
        <v>0</v>
      </c>
      <c r="X167" s="33"/>
      <c r="Y167" s="33">
        <f>IF(Ruimtestaat[[#This Row],[Frequentie weekend]]&gt;0,VALUE(LEFT(X167,1))*Q167,0)</f>
        <v>0</v>
      </c>
      <c r="Z167" s="33">
        <f>IF($Y167&gt;0,VLOOKUP($J167,Ruimtegroepen[],3,FALSE)*VLOOKUP($K167,Vloersoorten[],3,FALSE)*VLOOKUP($X167,Frequenties[],3,FALSE)*VLOOKUP(#REF!,Locaties[],3,FALSE),0)</f>
        <v>0</v>
      </c>
      <c r="AA167" s="33"/>
      <c r="AB167" s="33"/>
      <c r="AC167" s="33">
        <f>Ruimtestaat[[#This Row],[uren / jaar weekend]]*Tariefsopbouw!$D$40</f>
        <v>0</v>
      </c>
      <c r="AD167" s="88">
        <f>Ruimtestaat[[#This Row],[Prest. (m2 /jaar) weekend]]+Ruimtestaat[[#This Row],[Prest. (m2 /jaar) werkdagen]]</f>
        <v>588</v>
      </c>
      <c r="AE167" s="88">
        <f>Ruimtestaat[[#This Row],[uren / jaar weekend]]+Ruimtestaat[[#This Row],[uren / jaar werkdagen]]</f>
        <v>0</v>
      </c>
      <c r="AF167" s="89">
        <f>Ruimtestaat[[#This Row],[kosten / jaar weekend]]+Ruimtestaat[[#This Row],[kosten / jaar werkdagen]]</f>
        <v>0</v>
      </c>
      <c r="HK167" s="87"/>
    </row>
    <row r="168" spans="1:219" ht="15" customHeight="1">
      <c r="A168" s="129">
        <v>1</v>
      </c>
      <c r="B168" s="21" t="str">
        <f>VLOOKUP(Ruimtestaat[[#This Row],[Code]],Locaties[#All],2,FALSE)</f>
        <v>PXC Aalderinkshoek</v>
      </c>
      <c r="C168" s="21" t="str">
        <f>VLOOKUP(Ruimtestaat[[#This Row],[Code]],Locaties[#All],4,FALSE)</f>
        <v>Cesar Frankstraat 4</v>
      </c>
      <c r="D168" s="243" t="str">
        <f>VLOOKUP(Ruimtestaat[[#This Row],[Code]],Locaties[#All],5,FALSE)</f>
        <v>7604 JG</v>
      </c>
      <c r="E168" s="243" t="str">
        <f>VLOOKUP(Ruimtestaat[[#This Row],[Code]],Locaties[#All],6,FALSE)</f>
        <v>Almelo</v>
      </c>
      <c r="F168" s="244"/>
      <c r="G168" s="200" t="s">
        <v>653</v>
      </c>
      <c r="H168" s="200" t="s">
        <v>668</v>
      </c>
      <c r="I168" s="244" t="s">
        <v>550</v>
      </c>
      <c r="J168" s="200">
        <v>21</v>
      </c>
      <c r="K168" s="243"/>
      <c r="L168" s="200"/>
      <c r="M168" s="213"/>
      <c r="N168" s="213">
        <v>2.0099999999999998</v>
      </c>
      <c r="O168" s="243" t="str">
        <f>VLOOKUP(Ruimtestaat[[#This Row],[Ruimte code]],Ruimtegroepen[#All],4,FALSE)</f>
        <v>Niet in onderhoud</v>
      </c>
      <c r="P168" s="214"/>
      <c r="Q168" s="215"/>
      <c r="R168" s="215"/>
      <c r="S168" s="215">
        <f>IF(R168&gt;0,IF(RIGHT(Ruimtestaat[[#This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8" s="215">
        <f>IF(S168&gt;0,VLOOKUP($J168,Ruimtegroepen[],3,FALSE)*VLOOKUP($K168,Vloersoorten[],3,FALSE)*VLOOKUP($R168,Frequenties[],3,FALSE)*VLOOKUP($A168,Locaties[],3,FALSE),0)</f>
        <v>0</v>
      </c>
      <c r="U168" s="215">
        <f>Ruimtestaat[[#This Row],[Uitvoeringen werkdagen]]*Ruimtestaat[[#This Row],[Oppervlak (netto)]]</f>
        <v>0</v>
      </c>
      <c r="V168" s="259">
        <f>IF(T168&gt;0,Ruimtestaat[[#This Row],[Prest. (m2 /jaar) werkdagen]]/Ruimtestaat[[#This Row],[Norm (m2/uur) werkdagen]],0)</f>
        <v>0</v>
      </c>
      <c r="W168" s="260">
        <f>Ruimtestaat[[#This Row],[uren / jaar werkdagen]]*Tariefsopbouw!$D$38</f>
        <v>0</v>
      </c>
      <c r="X168" s="33"/>
      <c r="Y168" s="33">
        <f>IF(Ruimtestaat[[#This Row],[Frequentie weekend]]&gt;0,VALUE(LEFT(X168,1))*Q168,0)</f>
        <v>0</v>
      </c>
      <c r="Z168" s="33">
        <f>IF($Y168&gt;0,VLOOKUP($J168,Ruimtegroepen[],3,FALSE)*VLOOKUP($K168,Vloersoorten[],3,FALSE)*VLOOKUP($X168,Frequenties[],3,FALSE)*VLOOKUP(#REF!,Locaties[],3,FALSE),0)</f>
        <v>0</v>
      </c>
      <c r="AA168" s="33"/>
      <c r="AB168" s="33"/>
      <c r="AC168" s="33">
        <f>Ruimtestaat[[#This Row],[uren / jaar weekend]]*Tariefsopbouw!$D$40</f>
        <v>0</v>
      </c>
      <c r="AD168" s="88">
        <f>Ruimtestaat[[#This Row],[Prest. (m2 /jaar) weekend]]+Ruimtestaat[[#This Row],[Prest. (m2 /jaar) werkdagen]]</f>
        <v>0</v>
      </c>
      <c r="AE168" s="88">
        <f>Ruimtestaat[[#This Row],[uren / jaar weekend]]+Ruimtestaat[[#This Row],[uren / jaar werkdagen]]</f>
        <v>0</v>
      </c>
      <c r="AF168" s="89">
        <f>Ruimtestaat[[#This Row],[kosten / jaar weekend]]+Ruimtestaat[[#This Row],[kosten / jaar werkdagen]]</f>
        <v>0</v>
      </c>
      <c r="HK168" s="87"/>
    </row>
    <row r="169" spans="1:219" ht="15" customHeight="1">
      <c r="A169" s="129">
        <v>1</v>
      </c>
      <c r="B169" s="21" t="str">
        <f>VLOOKUP(Ruimtestaat[[#This Row],[Code]],Locaties[#All],2,FALSE)</f>
        <v>PXC Aalderinkshoek</v>
      </c>
      <c r="C169" s="21" t="str">
        <f>VLOOKUP(Ruimtestaat[[#This Row],[Code]],Locaties[#All],4,FALSE)</f>
        <v>Cesar Frankstraat 4</v>
      </c>
      <c r="D169" s="243" t="str">
        <f>VLOOKUP(Ruimtestaat[[#This Row],[Code]],Locaties[#All],5,FALSE)</f>
        <v>7604 JG</v>
      </c>
      <c r="E169" s="243" t="str">
        <f>VLOOKUP(Ruimtestaat[[#This Row],[Code]],Locaties[#All],6,FALSE)</f>
        <v>Almelo</v>
      </c>
      <c r="F169" s="244"/>
      <c r="G169" s="200" t="s">
        <v>653</v>
      </c>
      <c r="H169" s="200" t="s">
        <v>669</v>
      </c>
      <c r="I169" s="244" t="s">
        <v>552</v>
      </c>
      <c r="J169" s="200">
        <v>21</v>
      </c>
      <c r="K169" s="243"/>
      <c r="L169" s="200"/>
      <c r="M169" s="213"/>
      <c r="N169" s="213">
        <v>0.52</v>
      </c>
      <c r="O169" s="243" t="str">
        <f>VLOOKUP(Ruimtestaat[[#This Row],[Ruimte code]],Ruimtegroepen[#All],4,FALSE)</f>
        <v>Niet in onderhoud</v>
      </c>
      <c r="P169" s="214"/>
      <c r="Q169" s="215"/>
      <c r="R169" s="215"/>
      <c r="S169" s="215">
        <f>IF(R169&gt;0,IF(RIGHT(Ruimtestaat[[#This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69" s="215">
        <f>IF(S169&gt;0,VLOOKUP($J169,Ruimtegroepen[],3,FALSE)*VLOOKUP($K169,Vloersoorten[],3,FALSE)*VLOOKUP($R169,Frequenties[],3,FALSE)*VLOOKUP($A169,Locaties[],3,FALSE),0)</f>
        <v>0</v>
      </c>
      <c r="U169" s="215">
        <f>Ruimtestaat[[#This Row],[Uitvoeringen werkdagen]]*Ruimtestaat[[#This Row],[Oppervlak (netto)]]</f>
        <v>0</v>
      </c>
      <c r="V169" s="259">
        <f>IF(T169&gt;0,Ruimtestaat[[#This Row],[Prest. (m2 /jaar) werkdagen]]/Ruimtestaat[[#This Row],[Norm (m2/uur) werkdagen]],0)</f>
        <v>0</v>
      </c>
      <c r="W169" s="260">
        <f>Ruimtestaat[[#This Row],[uren / jaar werkdagen]]*Tariefsopbouw!$D$38</f>
        <v>0</v>
      </c>
      <c r="X169" s="33"/>
      <c r="Y169" s="33">
        <f>IF(Ruimtestaat[[#This Row],[Frequentie weekend]]&gt;0,VALUE(LEFT(X169,1))*Q169,0)</f>
        <v>0</v>
      </c>
      <c r="Z169" s="33">
        <f>IF($Y169&gt;0,VLOOKUP($J169,Ruimtegroepen[],3,FALSE)*VLOOKUP($K169,Vloersoorten[],3,FALSE)*VLOOKUP($X169,Frequenties[],3,FALSE)*VLOOKUP(#REF!,Locaties[],3,FALSE),0)</f>
        <v>0</v>
      </c>
      <c r="AA169" s="33"/>
      <c r="AB169" s="33"/>
      <c r="AC169" s="33">
        <f>Ruimtestaat[[#This Row],[uren / jaar weekend]]*Tariefsopbouw!$D$40</f>
        <v>0</v>
      </c>
      <c r="AD169" s="88">
        <f>Ruimtestaat[[#This Row],[Prest. (m2 /jaar) weekend]]+Ruimtestaat[[#This Row],[Prest. (m2 /jaar) werkdagen]]</f>
        <v>0</v>
      </c>
      <c r="AE169" s="88">
        <f>Ruimtestaat[[#This Row],[uren / jaar weekend]]+Ruimtestaat[[#This Row],[uren / jaar werkdagen]]</f>
        <v>0</v>
      </c>
      <c r="AF169" s="89">
        <f>Ruimtestaat[[#This Row],[kosten / jaar weekend]]+Ruimtestaat[[#This Row],[kosten / jaar werkdagen]]</f>
        <v>0</v>
      </c>
    </row>
    <row r="170" spans="1:219" ht="15" customHeight="1">
      <c r="A170" s="129">
        <v>1</v>
      </c>
      <c r="B170" s="21" t="str">
        <f>VLOOKUP(Ruimtestaat[[#This Row],[Code]],Locaties[#All],2,FALSE)</f>
        <v>PXC Aalderinkshoek</v>
      </c>
      <c r="C170" s="21" t="str">
        <f>VLOOKUP(Ruimtestaat[[#This Row],[Code]],Locaties[#All],4,FALSE)</f>
        <v>Cesar Frankstraat 4</v>
      </c>
      <c r="D170" s="243" t="str">
        <f>VLOOKUP(Ruimtestaat[[#This Row],[Code]],Locaties[#All],5,FALSE)</f>
        <v>7604 JG</v>
      </c>
      <c r="E170" s="243" t="str">
        <f>VLOOKUP(Ruimtestaat[[#This Row],[Code]],Locaties[#All],6,FALSE)</f>
        <v>Almelo</v>
      </c>
      <c r="F170" s="244"/>
      <c r="G170" s="200" t="s">
        <v>653</v>
      </c>
      <c r="H170" s="200" t="s">
        <v>670</v>
      </c>
      <c r="I170" s="244" t="s">
        <v>554</v>
      </c>
      <c r="J170" s="200">
        <v>10</v>
      </c>
      <c r="K170" s="200" t="s">
        <v>111</v>
      </c>
      <c r="L170" s="200" t="s">
        <v>128</v>
      </c>
      <c r="M170" s="213">
        <v>1.36</v>
      </c>
      <c r="N170" s="213"/>
      <c r="O170" s="243" t="str">
        <f>VLOOKUP(Ruimtestaat[[#This Row],[Ruimte code]],Ruimtegroepen[#All],4,FALSE)</f>
        <v>V  (Verkeersruimte)</v>
      </c>
      <c r="P170" s="214"/>
      <c r="Q170" s="215">
        <v>40</v>
      </c>
      <c r="R170" s="215" t="s">
        <v>2</v>
      </c>
      <c r="S170" s="215">
        <f>IF(R170&gt;0,IF(RIGHT(Ruimtestaat[[#This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0" s="215">
        <f>IF(S170&gt;0,VLOOKUP($J170,Ruimtegroepen[],3,FALSE)*VLOOKUP($K170,Vloersoorten[],3,FALSE)*VLOOKUP($R170,Frequenties[],3,FALSE)*VLOOKUP($A170,Locaties[],3,FALSE),0)</f>
        <v>0</v>
      </c>
      <c r="U170" s="215">
        <f>Ruimtestaat[[#This Row],[Uitvoeringen werkdagen]]*Ruimtestaat[[#This Row],[Oppervlak (netto)]]</f>
        <v>272</v>
      </c>
      <c r="V170" s="259">
        <f>IF(T170&gt;0,Ruimtestaat[[#This Row],[Prest. (m2 /jaar) werkdagen]]/Ruimtestaat[[#This Row],[Norm (m2/uur) werkdagen]],0)</f>
        <v>0</v>
      </c>
      <c r="W170" s="260">
        <f>Ruimtestaat[[#This Row],[uren / jaar werkdagen]]*Tariefsopbouw!$D$38</f>
        <v>0</v>
      </c>
      <c r="X170" s="33"/>
      <c r="Y170" s="33">
        <f>IF(Ruimtestaat[[#This Row],[Frequentie weekend]]&gt;0,VALUE(LEFT(X170,1))*Q170,0)</f>
        <v>0</v>
      </c>
      <c r="Z170" s="33">
        <f>IF($Y170&gt;0,VLOOKUP($J170,Ruimtegroepen[],3,FALSE)*VLOOKUP($K170,Vloersoorten[],3,FALSE)*VLOOKUP($X170,Frequenties[],3,FALSE)*VLOOKUP(#REF!,Locaties[],3,FALSE),0)</f>
        <v>0</v>
      </c>
      <c r="AA170" s="33"/>
      <c r="AB170" s="33"/>
      <c r="AC170" s="33">
        <f>Ruimtestaat[[#This Row],[uren / jaar weekend]]*Tariefsopbouw!$D$40</f>
        <v>0</v>
      </c>
      <c r="AD170" s="88">
        <f>Ruimtestaat[[#This Row],[Prest. (m2 /jaar) weekend]]+Ruimtestaat[[#This Row],[Prest. (m2 /jaar) werkdagen]]</f>
        <v>272</v>
      </c>
      <c r="AE170" s="88">
        <f>Ruimtestaat[[#This Row],[uren / jaar weekend]]+Ruimtestaat[[#This Row],[uren / jaar werkdagen]]</f>
        <v>0</v>
      </c>
      <c r="AF170" s="89">
        <f>Ruimtestaat[[#This Row],[kosten / jaar weekend]]+Ruimtestaat[[#This Row],[kosten / jaar werkdagen]]</f>
        <v>0</v>
      </c>
    </row>
    <row r="171" spans="1:219" ht="15" customHeight="1">
      <c r="A171" s="129">
        <v>1</v>
      </c>
      <c r="B171" s="21" t="str">
        <f>VLOOKUP(Ruimtestaat[[#This Row],[Code]],Locaties[#All],2,FALSE)</f>
        <v>PXC Aalderinkshoek</v>
      </c>
      <c r="C171" s="21" t="str">
        <f>VLOOKUP(Ruimtestaat[[#This Row],[Code]],Locaties[#All],4,FALSE)</f>
        <v>Cesar Frankstraat 4</v>
      </c>
      <c r="D171" s="243" t="str">
        <f>VLOOKUP(Ruimtestaat[[#This Row],[Code]],Locaties[#All],5,FALSE)</f>
        <v>7604 JG</v>
      </c>
      <c r="E171" s="243" t="str">
        <f>VLOOKUP(Ruimtestaat[[#This Row],[Code]],Locaties[#All],6,FALSE)</f>
        <v>Almelo</v>
      </c>
      <c r="F171" s="244"/>
      <c r="G171" s="200" t="s">
        <v>653</v>
      </c>
      <c r="H171" s="200" t="s">
        <v>671</v>
      </c>
      <c r="I171" s="244" t="s">
        <v>556</v>
      </c>
      <c r="J171" s="200">
        <v>10</v>
      </c>
      <c r="K171" s="200" t="s">
        <v>111</v>
      </c>
      <c r="L171" s="200" t="s">
        <v>128</v>
      </c>
      <c r="M171" s="213">
        <v>72.180000000000007</v>
      </c>
      <c r="N171" s="213"/>
      <c r="O171" s="243" t="str">
        <f>VLOOKUP(Ruimtestaat[[#This Row],[Ruimte code]],Ruimtegroepen[#All],4,FALSE)</f>
        <v>V  (Verkeersruimte)</v>
      </c>
      <c r="P171" s="214"/>
      <c r="Q171" s="215">
        <v>40</v>
      </c>
      <c r="R171" s="215" t="s">
        <v>2</v>
      </c>
      <c r="S171" s="215">
        <f>IF(R171&gt;0,IF(RIGHT(Ruimtestaat[[#This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1" s="215">
        <f>IF(S171&gt;0,VLOOKUP($J171,Ruimtegroepen[],3,FALSE)*VLOOKUP($K171,Vloersoorten[],3,FALSE)*VLOOKUP($R171,Frequenties[],3,FALSE)*VLOOKUP($A171,Locaties[],3,FALSE),0)</f>
        <v>0</v>
      </c>
      <c r="U171" s="215">
        <f>Ruimtestaat[[#This Row],[Uitvoeringen werkdagen]]*Ruimtestaat[[#This Row],[Oppervlak (netto)]]</f>
        <v>14436.000000000002</v>
      </c>
      <c r="V171" s="259">
        <f>IF(T171&gt;0,Ruimtestaat[[#This Row],[Prest. (m2 /jaar) werkdagen]]/Ruimtestaat[[#This Row],[Norm (m2/uur) werkdagen]],0)</f>
        <v>0</v>
      </c>
      <c r="W171" s="260">
        <f>Ruimtestaat[[#This Row],[uren / jaar werkdagen]]*Tariefsopbouw!$D$38</f>
        <v>0</v>
      </c>
      <c r="X171" s="33"/>
      <c r="Y171" s="33">
        <f>IF(Ruimtestaat[[#This Row],[Frequentie weekend]]&gt;0,VALUE(LEFT(X171,1))*Q171,0)</f>
        <v>0</v>
      </c>
      <c r="Z171" s="33">
        <f>IF($Y171&gt;0,VLOOKUP($J171,Ruimtegroepen[],3,FALSE)*VLOOKUP($K171,Vloersoorten[],3,FALSE)*VLOOKUP($X171,Frequenties[],3,FALSE)*VLOOKUP(#REF!,Locaties[],3,FALSE),0)</f>
        <v>0</v>
      </c>
      <c r="AA171" s="33"/>
      <c r="AB171" s="33"/>
      <c r="AC171" s="33">
        <f>Ruimtestaat[[#This Row],[uren / jaar weekend]]*Tariefsopbouw!$D$40</f>
        <v>0</v>
      </c>
      <c r="AD171" s="88">
        <f>Ruimtestaat[[#This Row],[Prest. (m2 /jaar) weekend]]+Ruimtestaat[[#This Row],[Prest. (m2 /jaar) werkdagen]]</f>
        <v>14436.000000000002</v>
      </c>
      <c r="AE171" s="88">
        <f>Ruimtestaat[[#This Row],[uren / jaar weekend]]+Ruimtestaat[[#This Row],[uren / jaar werkdagen]]</f>
        <v>0</v>
      </c>
      <c r="AF171" s="89">
        <f>Ruimtestaat[[#This Row],[kosten / jaar weekend]]+Ruimtestaat[[#This Row],[kosten / jaar werkdagen]]</f>
        <v>0</v>
      </c>
    </row>
    <row r="172" spans="1:219" ht="15" customHeight="1">
      <c r="A172" s="129">
        <v>1</v>
      </c>
      <c r="B172" s="21" t="str">
        <f>VLOOKUP(Ruimtestaat[[#This Row],[Code]],Locaties[#All],2,FALSE)</f>
        <v>PXC Aalderinkshoek</v>
      </c>
      <c r="C172" s="21" t="str">
        <f>VLOOKUP(Ruimtestaat[[#This Row],[Code]],Locaties[#All],4,FALSE)</f>
        <v>Cesar Frankstraat 4</v>
      </c>
      <c r="D172" s="243" t="str">
        <f>VLOOKUP(Ruimtestaat[[#This Row],[Code]],Locaties[#All],5,FALSE)</f>
        <v>7604 JG</v>
      </c>
      <c r="E172" s="243" t="str">
        <f>VLOOKUP(Ruimtestaat[[#This Row],[Code]],Locaties[#All],6,FALSE)</f>
        <v>Almelo</v>
      </c>
      <c r="F172" s="244"/>
      <c r="G172" s="200" t="s">
        <v>653</v>
      </c>
      <c r="H172" s="215" t="s">
        <v>672</v>
      </c>
      <c r="I172" s="258" t="s">
        <v>455</v>
      </c>
      <c r="J172" s="200">
        <v>10</v>
      </c>
      <c r="K172" s="200" t="s">
        <v>111</v>
      </c>
      <c r="L172" s="200" t="s">
        <v>128</v>
      </c>
      <c r="M172" s="213">
        <v>21.01</v>
      </c>
      <c r="N172" s="213"/>
      <c r="O172" s="243" t="str">
        <f>VLOOKUP(Ruimtestaat[[#This Row],[Ruimte code]],Ruimtegroepen[#All],4,FALSE)</f>
        <v>V  (Verkeersruimte)</v>
      </c>
      <c r="P172" s="214"/>
      <c r="Q172" s="215">
        <v>40</v>
      </c>
      <c r="R172" s="215" t="s">
        <v>15</v>
      </c>
      <c r="S172" s="215">
        <f>IF(R172&gt;0,IF(RIGHT(Ruimtestaat[[#This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172" s="215">
        <f>IF(S172&gt;0,VLOOKUP($J172,Ruimtegroepen[],3,FALSE)*VLOOKUP($K172,Vloersoorten[],3,FALSE)*VLOOKUP($R172,Frequenties[],3,FALSE)*VLOOKUP($A172,Locaties[],3,FALSE),0)</f>
        <v>0</v>
      </c>
      <c r="U172" s="215">
        <f>Ruimtestaat[[#This Row],[Uitvoeringen werkdagen]]*Ruimtestaat[[#This Row],[Oppervlak (netto)]]</f>
        <v>840.40000000000009</v>
      </c>
      <c r="V172" s="259">
        <f>IF(T172&gt;0,Ruimtestaat[[#This Row],[Prest. (m2 /jaar) werkdagen]]/Ruimtestaat[[#This Row],[Norm (m2/uur) werkdagen]],0)</f>
        <v>0</v>
      </c>
      <c r="W172" s="260">
        <f>Ruimtestaat[[#This Row],[uren / jaar werkdagen]]*Tariefsopbouw!$D$38</f>
        <v>0</v>
      </c>
      <c r="X172" s="33"/>
      <c r="Y172" s="33">
        <f>IF(Ruimtestaat[[#This Row],[Frequentie weekend]]&gt;0,VALUE(LEFT(X172,1))*Q172,0)</f>
        <v>0</v>
      </c>
      <c r="Z172" s="33">
        <f>IF($Y172&gt;0,VLOOKUP($J172,Ruimtegroepen[],3,FALSE)*VLOOKUP($K172,Vloersoorten[],3,FALSE)*VLOOKUP($X172,Frequenties[],3,FALSE)*VLOOKUP(#REF!,Locaties[],3,FALSE),0)</f>
        <v>0</v>
      </c>
      <c r="AA172" s="33"/>
      <c r="AB172" s="33"/>
      <c r="AC172" s="33">
        <f>Ruimtestaat[[#This Row],[uren / jaar weekend]]*Tariefsopbouw!$D$40</f>
        <v>0</v>
      </c>
      <c r="AD172" s="88">
        <f>Ruimtestaat[[#This Row],[Prest. (m2 /jaar) weekend]]+Ruimtestaat[[#This Row],[Prest. (m2 /jaar) werkdagen]]</f>
        <v>840.40000000000009</v>
      </c>
      <c r="AE172" s="88">
        <f>Ruimtestaat[[#This Row],[uren / jaar weekend]]+Ruimtestaat[[#This Row],[uren / jaar werkdagen]]</f>
        <v>0</v>
      </c>
      <c r="AF172" s="89">
        <f>Ruimtestaat[[#This Row],[kosten / jaar weekend]]+Ruimtestaat[[#This Row],[kosten / jaar werkdagen]]</f>
        <v>0</v>
      </c>
    </row>
    <row r="173" spans="1:219" ht="15" customHeight="1">
      <c r="A173" s="129">
        <v>1</v>
      </c>
      <c r="B173" s="21" t="str">
        <f>VLOOKUP(Ruimtestaat[[#This Row],[Code]],Locaties[#All],2,FALSE)</f>
        <v>PXC Aalderinkshoek</v>
      </c>
      <c r="C173" s="21" t="str">
        <f>VLOOKUP(Ruimtestaat[[#This Row],[Code]],Locaties[#All],4,FALSE)</f>
        <v>Cesar Frankstraat 4</v>
      </c>
      <c r="D173" s="243" t="str">
        <f>VLOOKUP(Ruimtestaat[[#This Row],[Code]],Locaties[#All],5,FALSE)</f>
        <v>7604 JG</v>
      </c>
      <c r="E173" s="243" t="str">
        <f>VLOOKUP(Ruimtestaat[[#This Row],[Code]],Locaties[#All],6,FALSE)</f>
        <v>Almelo</v>
      </c>
      <c r="F173" s="244"/>
      <c r="G173" s="200" t="s">
        <v>653</v>
      </c>
      <c r="H173" s="200" t="s">
        <v>673</v>
      </c>
      <c r="I173" s="244" t="s">
        <v>463</v>
      </c>
      <c r="J173" s="200">
        <v>16</v>
      </c>
      <c r="K173" s="200" t="s">
        <v>110</v>
      </c>
      <c r="L173" s="200" t="s">
        <v>132</v>
      </c>
      <c r="M173" s="213">
        <v>47.94</v>
      </c>
      <c r="N173" s="213"/>
      <c r="O173" s="243" t="str">
        <f>VLOOKUP(Ruimtestaat[[#This Row],[Ruimte code]],Ruimtegroepen[#All],4,FALSE)</f>
        <v>L  (Lesruimte)</v>
      </c>
      <c r="P173" s="214"/>
      <c r="Q173" s="215">
        <v>40</v>
      </c>
      <c r="R173" s="215" t="s">
        <v>1344</v>
      </c>
      <c r="S173" s="215">
        <f>IF(R173&gt;0,IF(RIGHT(Ruimtestaat[[#This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73" s="215">
        <f>IF(S173&gt;0,VLOOKUP($J173,Ruimtegroepen[],3,FALSE)*VLOOKUP($K173,Vloersoorten[],3,FALSE)*VLOOKUP($R173,Frequenties[],3,FALSE)*VLOOKUP($A173,Locaties[],3,FALSE),0)</f>
        <v>0</v>
      </c>
      <c r="U173" s="215">
        <f>Ruimtestaat[[#This Row],[Uitvoeringen werkdagen]]*Ruimtestaat[[#This Row],[Oppervlak (netto)]]</f>
        <v>1150.56</v>
      </c>
      <c r="V173" s="259">
        <f>IF(T173&gt;0,Ruimtestaat[[#This Row],[Prest. (m2 /jaar) werkdagen]]/Ruimtestaat[[#This Row],[Norm (m2/uur) werkdagen]],0)</f>
        <v>0</v>
      </c>
      <c r="W173" s="260">
        <f>Ruimtestaat[[#This Row],[uren / jaar werkdagen]]*Tariefsopbouw!$D$38</f>
        <v>0</v>
      </c>
      <c r="X173" s="33"/>
      <c r="Y173" s="33">
        <f>IF(Ruimtestaat[[#This Row],[Frequentie weekend]]&gt;0,VALUE(LEFT(X173,1))*Q173,0)</f>
        <v>0</v>
      </c>
      <c r="Z173" s="33">
        <f>IF($Y173&gt;0,VLOOKUP($J173,Ruimtegroepen[],3,FALSE)*VLOOKUP($K173,Vloersoorten[],3,FALSE)*VLOOKUP($X173,Frequenties[],3,FALSE)*VLOOKUP(#REF!,Locaties[],3,FALSE),0)</f>
        <v>0</v>
      </c>
      <c r="AA173" s="33"/>
      <c r="AB173" s="33"/>
      <c r="AC173" s="33">
        <f>Ruimtestaat[[#This Row],[uren / jaar weekend]]*Tariefsopbouw!$D$40</f>
        <v>0</v>
      </c>
      <c r="AD173" s="88">
        <f>Ruimtestaat[[#This Row],[Prest. (m2 /jaar) weekend]]+Ruimtestaat[[#This Row],[Prest. (m2 /jaar) werkdagen]]</f>
        <v>1150.56</v>
      </c>
      <c r="AE173" s="88">
        <f>Ruimtestaat[[#This Row],[uren / jaar weekend]]+Ruimtestaat[[#This Row],[uren / jaar werkdagen]]</f>
        <v>0</v>
      </c>
      <c r="AF173" s="89">
        <f>Ruimtestaat[[#This Row],[kosten / jaar weekend]]+Ruimtestaat[[#This Row],[kosten / jaar werkdagen]]</f>
        <v>0</v>
      </c>
    </row>
    <row r="174" spans="1:219" ht="15" customHeight="1">
      <c r="A174" s="129">
        <v>1</v>
      </c>
      <c r="B174" s="21" t="str">
        <f>VLOOKUP(Ruimtestaat[[#This Row],[Code]],Locaties[#All],2,FALSE)</f>
        <v>PXC Aalderinkshoek</v>
      </c>
      <c r="C174" s="21" t="str">
        <f>VLOOKUP(Ruimtestaat[[#This Row],[Code]],Locaties[#All],4,FALSE)</f>
        <v>Cesar Frankstraat 4</v>
      </c>
      <c r="D174" s="243" t="str">
        <f>VLOOKUP(Ruimtestaat[[#This Row],[Code]],Locaties[#All],5,FALSE)</f>
        <v>7604 JG</v>
      </c>
      <c r="E174" s="243" t="str">
        <f>VLOOKUP(Ruimtestaat[[#This Row],[Code]],Locaties[#All],6,FALSE)</f>
        <v>Almelo</v>
      </c>
      <c r="F174" s="244"/>
      <c r="G174" s="200" t="s">
        <v>653</v>
      </c>
      <c r="H174" s="200" t="s">
        <v>674</v>
      </c>
      <c r="I174" s="244" t="s">
        <v>463</v>
      </c>
      <c r="J174" s="200">
        <v>16</v>
      </c>
      <c r="K174" s="200" t="s">
        <v>110</v>
      </c>
      <c r="L174" s="200" t="s">
        <v>132</v>
      </c>
      <c r="M174" s="213">
        <v>45.33</v>
      </c>
      <c r="N174" s="213"/>
      <c r="O174" s="243" t="str">
        <f>VLOOKUP(Ruimtestaat[[#This Row],[Ruimte code]],Ruimtegroepen[#All],4,FALSE)</f>
        <v>L  (Lesruimte)</v>
      </c>
      <c r="P174" s="214"/>
      <c r="Q174" s="215">
        <v>40</v>
      </c>
      <c r="R174" s="215" t="s">
        <v>1344</v>
      </c>
      <c r="S174" s="215">
        <f>IF(R174&gt;0,IF(RIGHT(Ruimtestaat[[#This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74" s="215">
        <f>IF(S174&gt;0,VLOOKUP($J174,Ruimtegroepen[],3,FALSE)*VLOOKUP($K174,Vloersoorten[],3,FALSE)*VLOOKUP($R174,Frequenties[],3,FALSE)*VLOOKUP($A174,Locaties[],3,FALSE),0)</f>
        <v>0</v>
      </c>
      <c r="U174" s="215">
        <f>Ruimtestaat[[#This Row],[Uitvoeringen werkdagen]]*Ruimtestaat[[#This Row],[Oppervlak (netto)]]</f>
        <v>1087.92</v>
      </c>
      <c r="V174" s="259">
        <f>IF(T174&gt;0,Ruimtestaat[[#This Row],[Prest. (m2 /jaar) werkdagen]]/Ruimtestaat[[#This Row],[Norm (m2/uur) werkdagen]],0)</f>
        <v>0</v>
      </c>
      <c r="W174" s="260">
        <f>Ruimtestaat[[#This Row],[uren / jaar werkdagen]]*Tariefsopbouw!$D$38</f>
        <v>0</v>
      </c>
      <c r="X174" s="33"/>
      <c r="Y174" s="33">
        <f>IF(Ruimtestaat[[#This Row],[Frequentie weekend]]&gt;0,VALUE(LEFT(X174,1))*Q174,0)</f>
        <v>0</v>
      </c>
      <c r="Z174" s="33">
        <f>IF($Y174&gt;0,VLOOKUP($J174,Ruimtegroepen[],3,FALSE)*VLOOKUP($K174,Vloersoorten[],3,FALSE)*VLOOKUP($X174,Frequenties[],3,FALSE)*VLOOKUP(#REF!,Locaties[],3,FALSE),0)</f>
        <v>0</v>
      </c>
      <c r="AA174" s="33"/>
      <c r="AB174" s="33"/>
      <c r="AC174" s="33">
        <f>Ruimtestaat[[#This Row],[uren / jaar weekend]]*Tariefsopbouw!$D$40</f>
        <v>0</v>
      </c>
      <c r="AD174" s="88">
        <f>Ruimtestaat[[#This Row],[Prest. (m2 /jaar) weekend]]+Ruimtestaat[[#This Row],[Prest. (m2 /jaar) werkdagen]]</f>
        <v>1087.92</v>
      </c>
      <c r="AE174" s="88">
        <f>Ruimtestaat[[#This Row],[uren / jaar weekend]]+Ruimtestaat[[#This Row],[uren / jaar werkdagen]]</f>
        <v>0</v>
      </c>
      <c r="AF174" s="89">
        <f>Ruimtestaat[[#This Row],[kosten / jaar weekend]]+Ruimtestaat[[#This Row],[kosten / jaar werkdagen]]</f>
        <v>0</v>
      </c>
    </row>
    <row r="175" spans="1:219" ht="15" customHeight="1">
      <c r="A175" s="129">
        <v>1</v>
      </c>
      <c r="B175" s="21" t="str">
        <f>VLOOKUP(Ruimtestaat[[#This Row],[Code]],Locaties[#All],2,FALSE)</f>
        <v>PXC Aalderinkshoek</v>
      </c>
      <c r="C175" s="21" t="str">
        <f>VLOOKUP(Ruimtestaat[[#This Row],[Code]],Locaties[#All],4,FALSE)</f>
        <v>Cesar Frankstraat 4</v>
      </c>
      <c r="D175" s="243" t="str">
        <f>VLOOKUP(Ruimtestaat[[#This Row],[Code]],Locaties[#All],5,FALSE)</f>
        <v>7604 JG</v>
      </c>
      <c r="E175" s="243" t="str">
        <f>VLOOKUP(Ruimtestaat[[#This Row],[Code]],Locaties[#All],6,FALSE)</f>
        <v>Almelo</v>
      </c>
      <c r="F175" s="244"/>
      <c r="G175" s="200" t="s">
        <v>653</v>
      </c>
      <c r="H175" s="200" t="s">
        <v>675</v>
      </c>
      <c r="I175" s="244" t="s">
        <v>463</v>
      </c>
      <c r="J175" s="200">
        <v>16</v>
      </c>
      <c r="K175" s="200" t="s">
        <v>110</v>
      </c>
      <c r="L175" s="200" t="s">
        <v>132</v>
      </c>
      <c r="M175" s="213">
        <v>45.33</v>
      </c>
      <c r="N175" s="213"/>
      <c r="O175" s="243" t="str">
        <f>VLOOKUP(Ruimtestaat[[#This Row],[Ruimte code]],Ruimtegroepen[#All],4,FALSE)</f>
        <v>L  (Lesruimte)</v>
      </c>
      <c r="P175" s="214"/>
      <c r="Q175" s="215">
        <v>40</v>
      </c>
      <c r="R175" s="215" t="s">
        <v>1344</v>
      </c>
      <c r="S175" s="215">
        <f>IF(R175&gt;0,IF(RIGHT(Ruimtestaat[[#This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24</v>
      </c>
      <c r="T175" s="215">
        <f>IF(S175&gt;0,VLOOKUP($J175,Ruimtegroepen[],3,FALSE)*VLOOKUP($K175,Vloersoorten[],3,FALSE)*VLOOKUP($R175,Frequenties[],3,FALSE)*VLOOKUP($A175,Locaties[],3,FALSE),0)</f>
        <v>0</v>
      </c>
      <c r="U175" s="215">
        <f>Ruimtestaat[[#This Row],[Uitvoeringen werkdagen]]*Ruimtestaat[[#This Row],[Oppervlak (netto)]]</f>
        <v>1087.92</v>
      </c>
      <c r="V175" s="259">
        <f>IF(T175&gt;0,Ruimtestaat[[#This Row],[Prest. (m2 /jaar) werkdagen]]/Ruimtestaat[[#This Row],[Norm (m2/uur) werkdagen]],0)</f>
        <v>0</v>
      </c>
      <c r="W175" s="260">
        <f>Ruimtestaat[[#This Row],[uren / jaar werkdagen]]*Tariefsopbouw!$D$38</f>
        <v>0</v>
      </c>
      <c r="X175" s="33"/>
      <c r="Y175" s="33">
        <f>IF(Ruimtestaat[[#This Row],[Frequentie weekend]]&gt;0,VALUE(LEFT(X175,1))*Q175,0)</f>
        <v>0</v>
      </c>
      <c r="Z175" s="33">
        <f>IF($Y175&gt;0,VLOOKUP($J175,Ruimtegroepen[],3,FALSE)*VLOOKUP($K175,Vloersoorten[],3,FALSE)*VLOOKUP($X175,Frequenties[],3,FALSE)*VLOOKUP(#REF!,Locaties[],3,FALSE),0)</f>
        <v>0</v>
      </c>
      <c r="AA175" s="33"/>
      <c r="AB175" s="33"/>
      <c r="AC175" s="33">
        <f>Ruimtestaat[[#This Row],[uren / jaar weekend]]*Tariefsopbouw!$D$40</f>
        <v>0</v>
      </c>
      <c r="AD175" s="88">
        <f>Ruimtestaat[[#This Row],[Prest. (m2 /jaar) weekend]]+Ruimtestaat[[#This Row],[Prest. (m2 /jaar) werkdagen]]</f>
        <v>1087.92</v>
      </c>
      <c r="AE175" s="88">
        <f>Ruimtestaat[[#This Row],[uren / jaar weekend]]+Ruimtestaat[[#This Row],[uren / jaar werkdagen]]</f>
        <v>0</v>
      </c>
      <c r="AF175" s="89">
        <f>Ruimtestaat[[#This Row],[kosten / jaar weekend]]+Ruimtestaat[[#This Row],[kosten / jaar werkdagen]]</f>
        <v>0</v>
      </c>
    </row>
    <row r="176" spans="1:219" ht="15" customHeight="1">
      <c r="A176" s="129">
        <v>1</v>
      </c>
      <c r="B176" s="21" t="str">
        <f>VLOOKUP(Ruimtestaat[[#This Row],[Code]],Locaties[#All],2,FALSE)</f>
        <v>PXC Aalderinkshoek</v>
      </c>
      <c r="C176" s="21" t="str">
        <f>VLOOKUP(Ruimtestaat[[#This Row],[Code]],Locaties[#All],4,FALSE)</f>
        <v>Cesar Frankstraat 4</v>
      </c>
      <c r="D176" s="243" t="str">
        <f>VLOOKUP(Ruimtestaat[[#This Row],[Code]],Locaties[#All],5,FALSE)</f>
        <v>7604 JG</v>
      </c>
      <c r="E176" s="243" t="str">
        <f>VLOOKUP(Ruimtestaat[[#This Row],[Code]],Locaties[#All],6,FALSE)</f>
        <v>Almelo</v>
      </c>
      <c r="F176" s="244"/>
      <c r="G176" s="200" t="s">
        <v>653</v>
      </c>
      <c r="H176" s="200" t="s">
        <v>676</v>
      </c>
      <c r="I176" s="244" t="s">
        <v>463</v>
      </c>
      <c r="J176" s="200">
        <v>16</v>
      </c>
      <c r="K176" s="200" t="s">
        <v>110</v>
      </c>
      <c r="L176" s="200" t="s">
        <v>132</v>
      </c>
      <c r="M176" s="213">
        <v>45.33</v>
      </c>
      <c r="N176" s="213"/>
      <c r="O176" s="243" t="str">
        <f>VLOOKUP(Ruimtestaat[[#This Row],[Ruimte code]],Ruimtegroepen[#All],4,FALSE)</f>
        <v>L  (Lesruimte)</v>
      </c>
      <c r="P176" s="214"/>
      <c r="Q176" s="215">
        <v>40</v>
      </c>
      <c r="R176" s="215" t="s">
        <v>2</v>
      </c>
      <c r="S176" s="215">
        <f>IF(R176&gt;0,IF(RIGHT(Ruimtestaat[[#This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6" s="215">
        <f>IF(S176&gt;0,VLOOKUP($J176,Ruimtegroepen[],3,FALSE)*VLOOKUP($K176,Vloersoorten[],3,FALSE)*VLOOKUP($R176,Frequenties[],3,FALSE)*VLOOKUP($A176,Locaties[],3,FALSE),0)</f>
        <v>0</v>
      </c>
      <c r="U176" s="215">
        <f>Ruimtestaat[[#This Row],[Uitvoeringen werkdagen]]*Ruimtestaat[[#This Row],[Oppervlak (netto)]]</f>
        <v>9066</v>
      </c>
      <c r="V176" s="259">
        <f>IF(T176&gt;0,Ruimtestaat[[#This Row],[Prest. (m2 /jaar) werkdagen]]/Ruimtestaat[[#This Row],[Norm (m2/uur) werkdagen]],0)</f>
        <v>0</v>
      </c>
      <c r="W176" s="260">
        <f>Ruimtestaat[[#This Row],[uren / jaar werkdagen]]*Tariefsopbouw!$D$38</f>
        <v>0</v>
      </c>
      <c r="X176" s="33"/>
      <c r="Y176" s="33">
        <f>IF(Ruimtestaat[[#This Row],[Frequentie weekend]]&gt;0,VALUE(LEFT(X176,1))*Q176,0)</f>
        <v>0</v>
      </c>
      <c r="Z176" s="33">
        <f>IF($Y176&gt;0,VLOOKUP($J176,Ruimtegroepen[],3,FALSE)*VLOOKUP($K176,Vloersoorten[],3,FALSE)*VLOOKUP($X176,Frequenties[],3,FALSE)*VLOOKUP(#REF!,Locaties[],3,FALSE),0)</f>
        <v>0</v>
      </c>
      <c r="AA176" s="33"/>
      <c r="AB176" s="33"/>
      <c r="AC176" s="33">
        <f>Ruimtestaat[[#This Row],[uren / jaar weekend]]*Tariefsopbouw!$D$40</f>
        <v>0</v>
      </c>
      <c r="AD176" s="88">
        <f>Ruimtestaat[[#This Row],[Prest. (m2 /jaar) weekend]]+Ruimtestaat[[#This Row],[Prest. (m2 /jaar) werkdagen]]</f>
        <v>9066</v>
      </c>
      <c r="AE176" s="88">
        <f>Ruimtestaat[[#This Row],[uren / jaar weekend]]+Ruimtestaat[[#This Row],[uren / jaar werkdagen]]</f>
        <v>0</v>
      </c>
      <c r="AF176" s="89">
        <f>Ruimtestaat[[#This Row],[kosten / jaar weekend]]+Ruimtestaat[[#This Row],[kosten / jaar werkdagen]]</f>
        <v>0</v>
      </c>
    </row>
    <row r="177" spans="1:32" ht="15" customHeight="1">
      <c r="A177" s="129">
        <v>1</v>
      </c>
      <c r="B177" s="21" t="str">
        <f>VLOOKUP(Ruimtestaat[[#This Row],[Code]],Locaties[#All],2,FALSE)</f>
        <v>PXC Aalderinkshoek</v>
      </c>
      <c r="C177" s="21" t="str">
        <f>VLOOKUP(Ruimtestaat[[#This Row],[Code]],Locaties[#All],4,FALSE)</f>
        <v>Cesar Frankstraat 4</v>
      </c>
      <c r="D177" s="243" t="str">
        <f>VLOOKUP(Ruimtestaat[[#This Row],[Code]],Locaties[#All],5,FALSE)</f>
        <v>7604 JG</v>
      </c>
      <c r="E177" s="243" t="str">
        <f>VLOOKUP(Ruimtestaat[[#This Row],[Code]],Locaties[#All],6,FALSE)</f>
        <v>Almelo</v>
      </c>
      <c r="F177" s="244"/>
      <c r="G177" s="200" t="s">
        <v>653</v>
      </c>
      <c r="H177" s="200" t="s">
        <v>677</v>
      </c>
      <c r="I177" s="244" t="s">
        <v>463</v>
      </c>
      <c r="J177" s="200">
        <v>16</v>
      </c>
      <c r="K177" s="200" t="s">
        <v>110</v>
      </c>
      <c r="L177" s="200" t="s">
        <v>132</v>
      </c>
      <c r="M177" s="213">
        <v>45.33</v>
      </c>
      <c r="N177" s="213"/>
      <c r="O177" s="243" t="str">
        <f>VLOOKUP(Ruimtestaat[[#This Row],[Ruimte code]],Ruimtegroepen[#All],4,FALSE)</f>
        <v>L  (Lesruimte)</v>
      </c>
      <c r="P177" s="214"/>
      <c r="Q177" s="215">
        <v>40</v>
      </c>
      <c r="R177" s="215" t="s">
        <v>2</v>
      </c>
      <c r="S177" s="215">
        <f>IF(R177&gt;0,IF(RIGHT(Ruimtestaat[[#This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7" s="215">
        <f>IF(S177&gt;0,VLOOKUP($J177,Ruimtegroepen[],3,FALSE)*VLOOKUP($K177,Vloersoorten[],3,FALSE)*VLOOKUP($R177,Frequenties[],3,FALSE)*VLOOKUP($A177,Locaties[],3,FALSE),0)</f>
        <v>0</v>
      </c>
      <c r="U177" s="215">
        <f>Ruimtestaat[[#This Row],[Uitvoeringen werkdagen]]*Ruimtestaat[[#This Row],[Oppervlak (netto)]]</f>
        <v>9066</v>
      </c>
      <c r="V177" s="259">
        <f>IF(T177&gt;0,Ruimtestaat[[#This Row],[Prest. (m2 /jaar) werkdagen]]/Ruimtestaat[[#This Row],[Norm (m2/uur) werkdagen]],0)</f>
        <v>0</v>
      </c>
      <c r="W177" s="260">
        <f>Ruimtestaat[[#This Row],[uren / jaar werkdagen]]*Tariefsopbouw!$D$38</f>
        <v>0</v>
      </c>
      <c r="X177" s="33"/>
      <c r="Y177" s="33">
        <f>IF(Ruimtestaat[[#This Row],[Frequentie weekend]]&gt;0,VALUE(LEFT(X177,1))*Q177,0)</f>
        <v>0</v>
      </c>
      <c r="Z177" s="33">
        <f>IF($Y177&gt;0,VLOOKUP($J177,Ruimtegroepen[],3,FALSE)*VLOOKUP($K177,Vloersoorten[],3,FALSE)*VLOOKUP($X177,Frequenties[],3,FALSE)*VLOOKUP(#REF!,Locaties[],3,FALSE),0)</f>
        <v>0</v>
      </c>
      <c r="AA177" s="33"/>
      <c r="AB177" s="33"/>
      <c r="AC177" s="33">
        <f>Ruimtestaat[[#This Row],[uren / jaar weekend]]*Tariefsopbouw!$D$40</f>
        <v>0</v>
      </c>
      <c r="AD177" s="88">
        <f>Ruimtestaat[[#This Row],[Prest. (m2 /jaar) weekend]]+Ruimtestaat[[#This Row],[Prest. (m2 /jaar) werkdagen]]</f>
        <v>9066</v>
      </c>
      <c r="AE177" s="88">
        <f>Ruimtestaat[[#This Row],[uren / jaar weekend]]+Ruimtestaat[[#This Row],[uren / jaar werkdagen]]</f>
        <v>0</v>
      </c>
      <c r="AF177" s="89">
        <f>Ruimtestaat[[#This Row],[kosten / jaar weekend]]+Ruimtestaat[[#This Row],[kosten / jaar werkdagen]]</f>
        <v>0</v>
      </c>
    </row>
    <row r="178" spans="1:32" ht="15" customHeight="1">
      <c r="A178" s="129">
        <v>1</v>
      </c>
      <c r="B178" s="21" t="str">
        <f>VLOOKUP(Ruimtestaat[[#This Row],[Code]],Locaties[#All],2,FALSE)</f>
        <v>PXC Aalderinkshoek</v>
      </c>
      <c r="C178" s="21" t="str">
        <f>VLOOKUP(Ruimtestaat[[#This Row],[Code]],Locaties[#All],4,FALSE)</f>
        <v>Cesar Frankstraat 4</v>
      </c>
      <c r="D178" s="243" t="str">
        <f>VLOOKUP(Ruimtestaat[[#This Row],[Code]],Locaties[#All],5,FALSE)</f>
        <v>7604 JG</v>
      </c>
      <c r="E178" s="243" t="str">
        <f>VLOOKUP(Ruimtestaat[[#This Row],[Code]],Locaties[#All],6,FALSE)</f>
        <v>Almelo</v>
      </c>
      <c r="F178" s="244"/>
      <c r="G178" s="200" t="s">
        <v>653</v>
      </c>
      <c r="H178" s="200" t="s">
        <v>678</v>
      </c>
      <c r="I178" s="244" t="s">
        <v>463</v>
      </c>
      <c r="J178" s="200">
        <v>16</v>
      </c>
      <c r="K178" s="200" t="s">
        <v>110</v>
      </c>
      <c r="L178" s="200" t="s">
        <v>132</v>
      </c>
      <c r="M178" s="213">
        <v>45.33</v>
      </c>
      <c r="N178" s="213"/>
      <c r="O178" s="243" t="str">
        <f>VLOOKUP(Ruimtestaat[[#This Row],[Ruimte code]],Ruimtegroepen[#All],4,FALSE)</f>
        <v>L  (Lesruimte)</v>
      </c>
      <c r="P178" s="214"/>
      <c r="Q178" s="215">
        <v>40</v>
      </c>
      <c r="R178" s="215" t="s">
        <v>2</v>
      </c>
      <c r="S178" s="215">
        <f>IF(R178&gt;0,IF(RIGHT(Ruimtestaat[[#This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8" s="215">
        <f>IF(S178&gt;0,VLOOKUP($J178,Ruimtegroepen[],3,FALSE)*VLOOKUP($K178,Vloersoorten[],3,FALSE)*VLOOKUP($R178,Frequenties[],3,FALSE)*VLOOKUP($A178,Locaties[],3,FALSE),0)</f>
        <v>0</v>
      </c>
      <c r="U178" s="215">
        <f>Ruimtestaat[[#This Row],[Uitvoeringen werkdagen]]*Ruimtestaat[[#This Row],[Oppervlak (netto)]]</f>
        <v>9066</v>
      </c>
      <c r="V178" s="259">
        <f>IF(T178&gt;0,Ruimtestaat[[#This Row],[Prest. (m2 /jaar) werkdagen]]/Ruimtestaat[[#This Row],[Norm (m2/uur) werkdagen]],0)</f>
        <v>0</v>
      </c>
      <c r="W178" s="260">
        <f>Ruimtestaat[[#This Row],[uren / jaar werkdagen]]*Tariefsopbouw!$D$38</f>
        <v>0</v>
      </c>
      <c r="X178" s="33"/>
      <c r="Y178" s="33">
        <f>IF(Ruimtestaat[[#This Row],[Frequentie weekend]]&gt;0,VALUE(LEFT(X178,1))*Q178,0)</f>
        <v>0</v>
      </c>
      <c r="Z178" s="33">
        <f>IF($Y178&gt;0,VLOOKUP($J178,Ruimtegroepen[],3,FALSE)*VLOOKUP($K178,Vloersoorten[],3,FALSE)*VLOOKUP($X178,Frequenties[],3,FALSE)*VLOOKUP(#REF!,Locaties[],3,FALSE),0)</f>
        <v>0</v>
      </c>
      <c r="AA178" s="33"/>
      <c r="AB178" s="33"/>
      <c r="AC178" s="33">
        <f>Ruimtestaat[[#This Row],[uren / jaar weekend]]*Tariefsopbouw!$D$40</f>
        <v>0</v>
      </c>
      <c r="AD178" s="88">
        <f>Ruimtestaat[[#This Row],[Prest. (m2 /jaar) weekend]]+Ruimtestaat[[#This Row],[Prest. (m2 /jaar) werkdagen]]</f>
        <v>9066</v>
      </c>
      <c r="AE178" s="88">
        <f>Ruimtestaat[[#This Row],[uren / jaar weekend]]+Ruimtestaat[[#This Row],[uren / jaar werkdagen]]</f>
        <v>0</v>
      </c>
      <c r="AF178" s="89">
        <f>Ruimtestaat[[#This Row],[kosten / jaar weekend]]+Ruimtestaat[[#This Row],[kosten / jaar werkdagen]]</f>
        <v>0</v>
      </c>
    </row>
    <row r="179" spans="1:32" ht="15" customHeight="1">
      <c r="A179" s="129">
        <v>1</v>
      </c>
      <c r="B179" s="21" t="str">
        <f>VLOOKUP(Ruimtestaat[[#This Row],[Code]],Locaties[#All],2,FALSE)</f>
        <v>PXC Aalderinkshoek</v>
      </c>
      <c r="C179" s="21" t="str">
        <f>VLOOKUP(Ruimtestaat[[#This Row],[Code]],Locaties[#All],4,FALSE)</f>
        <v>Cesar Frankstraat 4</v>
      </c>
      <c r="D179" s="243" t="str">
        <f>VLOOKUP(Ruimtestaat[[#This Row],[Code]],Locaties[#All],5,FALSE)</f>
        <v>7604 JG</v>
      </c>
      <c r="E179" s="243" t="str">
        <f>VLOOKUP(Ruimtestaat[[#This Row],[Code]],Locaties[#All],6,FALSE)</f>
        <v>Almelo</v>
      </c>
      <c r="F179" s="244"/>
      <c r="G179" s="200" t="s">
        <v>653</v>
      </c>
      <c r="H179" s="200" t="s">
        <v>679</v>
      </c>
      <c r="I179" s="244" t="s">
        <v>463</v>
      </c>
      <c r="J179" s="200">
        <v>16</v>
      </c>
      <c r="K179" s="200" t="s">
        <v>110</v>
      </c>
      <c r="L179" s="200" t="s">
        <v>132</v>
      </c>
      <c r="M179" s="213">
        <v>45.33</v>
      </c>
      <c r="N179" s="213"/>
      <c r="O179" s="243" t="str">
        <f>VLOOKUP(Ruimtestaat[[#This Row],[Ruimte code]],Ruimtegroepen[#All],4,FALSE)</f>
        <v>L  (Lesruimte)</v>
      </c>
      <c r="P179" s="214"/>
      <c r="Q179" s="215">
        <v>40</v>
      </c>
      <c r="R179" s="215" t="s">
        <v>2</v>
      </c>
      <c r="S179" s="215">
        <f>IF(R179&gt;0,IF(RIGHT(Ruimtestaat[[#This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79" s="215">
        <f>IF(S179&gt;0,VLOOKUP($J179,Ruimtegroepen[],3,FALSE)*VLOOKUP($K179,Vloersoorten[],3,FALSE)*VLOOKUP($R179,Frequenties[],3,FALSE)*VLOOKUP($A179,Locaties[],3,FALSE),0)</f>
        <v>0</v>
      </c>
      <c r="U179" s="215">
        <f>Ruimtestaat[[#This Row],[Uitvoeringen werkdagen]]*Ruimtestaat[[#This Row],[Oppervlak (netto)]]</f>
        <v>9066</v>
      </c>
      <c r="V179" s="259">
        <f>IF(T179&gt;0,Ruimtestaat[[#This Row],[Prest. (m2 /jaar) werkdagen]]/Ruimtestaat[[#This Row],[Norm (m2/uur) werkdagen]],0)</f>
        <v>0</v>
      </c>
      <c r="W179" s="260">
        <f>Ruimtestaat[[#This Row],[uren / jaar werkdagen]]*Tariefsopbouw!$D$38</f>
        <v>0</v>
      </c>
      <c r="X179" s="33"/>
      <c r="Y179" s="33">
        <f>IF(Ruimtestaat[[#This Row],[Frequentie weekend]]&gt;0,VALUE(LEFT(X179,1))*Q179,0)</f>
        <v>0</v>
      </c>
      <c r="Z179" s="33">
        <f>IF($Y179&gt;0,VLOOKUP($J179,Ruimtegroepen[],3,FALSE)*VLOOKUP($K179,Vloersoorten[],3,FALSE)*VLOOKUP($X179,Frequenties[],3,FALSE)*VLOOKUP(#REF!,Locaties[],3,FALSE),0)</f>
        <v>0</v>
      </c>
      <c r="AA179" s="33"/>
      <c r="AB179" s="33"/>
      <c r="AC179" s="33">
        <f>Ruimtestaat[[#This Row],[uren / jaar weekend]]*Tariefsopbouw!$D$40</f>
        <v>0</v>
      </c>
      <c r="AD179" s="88">
        <f>Ruimtestaat[[#This Row],[Prest. (m2 /jaar) weekend]]+Ruimtestaat[[#This Row],[Prest. (m2 /jaar) werkdagen]]</f>
        <v>9066</v>
      </c>
      <c r="AE179" s="88">
        <f>Ruimtestaat[[#This Row],[uren / jaar weekend]]+Ruimtestaat[[#This Row],[uren / jaar werkdagen]]</f>
        <v>0</v>
      </c>
      <c r="AF179" s="89">
        <f>Ruimtestaat[[#This Row],[kosten / jaar weekend]]+Ruimtestaat[[#This Row],[kosten / jaar werkdagen]]</f>
        <v>0</v>
      </c>
    </row>
    <row r="180" spans="1:32" ht="15" customHeight="1">
      <c r="A180" s="129">
        <v>1</v>
      </c>
      <c r="B180" s="21" t="str">
        <f>VLOOKUP(Ruimtestaat[[#This Row],[Code]],Locaties[#All],2,FALSE)</f>
        <v>PXC Aalderinkshoek</v>
      </c>
      <c r="C180" s="21" t="str">
        <f>VLOOKUP(Ruimtestaat[[#This Row],[Code]],Locaties[#All],4,FALSE)</f>
        <v>Cesar Frankstraat 4</v>
      </c>
      <c r="D180" s="243" t="str">
        <f>VLOOKUP(Ruimtestaat[[#This Row],[Code]],Locaties[#All],5,FALSE)</f>
        <v>7604 JG</v>
      </c>
      <c r="E180" s="243" t="str">
        <f>VLOOKUP(Ruimtestaat[[#This Row],[Code]],Locaties[#All],6,FALSE)</f>
        <v>Almelo</v>
      </c>
      <c r="F180" s="244"/>
      <c r="G180" s="200" t="s">
        <v>653</v>
      </c>
      <c r="H180" s="200" t="s">
        <v>680</v>
      </c>
      <c r="I180" s="244" t="s">
        <v>463</v>
      </c>
      <c r="J180" s="200">
        <v>16</v>
      </c>
      <c r="K180" s="200" t="s">
        <v>110</v>
      </c>
      <c r="L180" s="200" t="s">
        <v>132</v>
      </c>
      <c r="M180" s="213">
        <v>47.94</v>
      </c>
      <c r="N180" s="213"/>
      <c r="O180" s="243" t="str">
        <f>VLOOKUP(Ruimtestaat[[#This Row],[Ruimte code]],Ruimtegroepen[#All],4,FALSE)</f>
        <v>L  (Lesruimte)</v>
      </c>
      <c r="P180" s="214"/>
      <c r="Q180" s="215">
        <v>40</v>
      </c>
      <c r="R180" s="215" t="s">
        <v>2</v>
      </c>
      <c r="S180" s="215">
        <f>IF(R180&gt;0,IF(RIGHT(Ruimtestaat[[#This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0" s="215">
        <f>IF(S180&gt;0,VLOOKUP($J180,Ruimtegroepen[],3,FALSE)*VLOOKUP($K180,Vloersoorten[],3,FALSE)*VLOOKUP($R180,Frequenties[],3,FALSE)*VLOOKUP($A180,Locaties[],3,FALSE),0)</f>
        <v>0</v>
      </c>
      <c r="U180" s="215">
        <f>Ruimtestaat[[#This Row],[Uitvoeringen werkdagen]]*Ruimtestaat[[#This Row],[Oppervlak (netto)]]</f>
        <v>9588</v>
      </c>
      <c r="V180" s="259">
        <f>IF(T180&gt;0,Ruimtestaat[[#This Row],[Prest. (m2 /jaar) werkdagen]]/Ruimtestaat[[#This Row],[Norm (m2/uur) werkdagen]],0)</f>
        <v>0</v>
      </c>
      <c r="W180" s="260">
        <f>Ruimtestaat[[#This Row],[uren / jaar werkdagen]]*Tariefsopbouw!$D$38</f>
        <v>0</v>
      </c>
      <c r="X180" s="33"/>
      <c r="Y180" s="33">
        <f>IF(Ruimtestaat[[#This Row],[Frequentie weekend]]&gt;0,VALUE(LEFT(X180,1))*Q180,0)</f>
        <v>0</v>
      </c>
      <c r="Z180" s="33">
        <f>IF($Y180&gt;0,VLOOKUP($J180,Ruimtegroepen[],3,FALSE)*VLOOKUP($K180,Vloersoorten[],3,FALSE)*VLOOKUP($X180,Frequenties[],3,FALSE)*VLOOKUP(#REF!,Locaties[],3,FALSE),0)</f>
        <v>0</v>
      </c>
      <c r="AA180" s="33"/>
      <c r="AB180" s="33"/>
      <c r="AC180" s="33">
        <f>Ruimtestaat[[#This Row],[uren / jaar weekend]]*Tariefsopbouw!$D$40</f>
        <v>0</v>
      </c>
      <c r="AD180" s="88">
        <f>Ruimtestaat[[#This Row],[Prest. (m2 /jaar) weekend]]+Ruimtestaat[[#This Row],[Prest. (m2 /jaar) werkdagen]]</f>
        <v>9588</v>
      </c>
      <c r="AE180" s="88">
        <f>Ruimtestaat[[#This Row],[uren / jaar weekend]]+Ruimtestaat[[#This Row],[uren / jaar werkdagen]]</f>
        <v>0</v>
      </c>
      <c r="AF180" s="89">
        <f>Ruimtestaat[[#This Row],[kosten / jaar weekend]]+Ruimtestaat[[#This Row],[kosten / jaar werkdagen]]</f>
        <v>0</v>
      </c>
    </row>
    <row r="181" spans="1:32" ht="15" customHeight="1">
      <c r="A181" s="129">
        <v>1</v>
      </c>
      <c r="B181" s="21" t="str">
        <f>VLOOKUP(Ruimtestaat[[#This Row],[Code]],Locaties[#All],2,FALSE)</f>
        <v>PXC Aalderinkshoek</v>
      </c>
      <c r="C181" s="21" t="str">
        <f>VLOOKUP(Ruimtestaat[[#This Row],[Code]],Locaties[#All],4,FALSE)</f>
        <v>Cesar Frankstraat 4</v>
      </c>
      <c r="D181" s="243" t="str">
        <f>VLOOKUP(Ruimtestaat[[#This Row],[Code]],Locaties[#All],5,FALSE)</f>
        <v>7604 JG</v>
      </c>
      <c r="E181" s="243" t="str">
        <f>VLOOKUP(Ruimtestaat[[#This Row],[Code]],Locaties[#All],6,FALSE)</f>
        <v>Almelo</v>
      </c>
      <c r="F181" s="244"/>
      <c r="G181" s="200" t="s">
        <v>653</v>
      </c>
      <c r="H181" s="200" t="s">
        <v>681</v>
      </c>
      <c r="I181" s="244" t="s">
        <v>447</v>
      </c>
      <c r="J181" s="200">
        <v>1</v>
      </c>
      <c r="K181" s="215" t="s">
        <v>110</v>
      </c>
      <c r="L181" s="200" t="s">
        <v>132</v>
      </c>
      <c r="M181" s="213">
        <v>6.15</v>
      </c>
      <c r="N181" s="213"/>
      <c r="O181" s="243" t="str">
        <f>VLOOKUP(Ruimtestaat[[#This Row],[Ruimte code]],Ruimtegroepen[#All],4,FALSE)</f>
        <v>V  (Verkeersruimte)</v>
      </c>
      <c r="P181" s="214"/>
      <c r="Q181" s="215">
        <v>40</v>
      </c>
      <c r="R181" s="215" t="s">
        <v>16</v>
      </c>
      <c r="S181" s="215">
        <f>IF(R181&gt;0,IF(RIGHT(Ruimtestaat[[#This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81" s="215">
        <f>IF(S181&gt;0,VLOOKUP($J181,Ruimtegroepen[],3,FALSE)*VLOOKUP($K181,Vloersoorten[],3,FALSE)*VLOOKUP($R181,Frequenties[],3,FALSE)*VLOOKUP($A181,Locaties[],3,FALSE),0)</f>
        <v>0</v>
      </c>
      <c r="U181" s="215">
        <f>Ruimtestaat[[#This Row],[Uitvoeringen werkdagen]]*Ruimtestaat[[#This Row],[Oppervlak (netto)]]</f>
        <v>73.800000000000011</v>
      </c>
      <c r="V181" s="259">
        <f>IF(T181&gt;0,Ruimtestaat[[#This Row],[Prest. (m2 /jaar) werkdagen]]/Ruimtestaat[[#This Row],[Norm (m2/uur) werkdagen]],0)</f>
        <v>0</v>
      </c>
      <c r="W181" s="260">
        <f>Ruimtestaat[[#This Row],[uren / jaar werkdagen]]*Tariefsopbouw!$D$38</f>
        <v>0</v>
      </c>
      <c r="X181" s="33"/>
      <c r="Y181" s="33">
        <f>IF(Ruimtestaat[[#This Row],[Frequentie weekend]]&gt;0,VALUE(LEFT(X181,1))*Q181,0)</f>
        <v>0</v>
      </c>
      <c r="Z181" s="33">
        <f>IF($Y181&gt;0,VLOOKUP($J181,Ruimtegroepen[],3,FALSE)*VLOOKUP($K181,Vloersoorten[],3,FALSE)*VLOOKUP($X181,Frequenties[],3,FALSE)*VLOOKUP(#REF!,Locaties[],3,FALSE),0)</f>
        <v>0</v>
      </c>
      <c r="AA181" s="33"/>
      <c r="AB181" s="33"/>
      <c r="AC181" s="33">
        <f>Ruimtestaat[[#This Row],[uren / jaar weekend]]*Tariefsopbouw!$D$40</f>
        <v>0</v>
      </c>
      <c r="AD181" s="88">
        <f>Ruimtestaat[[#This Row],[Prest. (m2 /jaar) weekend]]+Ruimtestaat[[#This Row],[Prest. (m2 /jaar) werkdagen]]</f>
        <v>73.800000000000011</v>
      </c>
      <c r="AE181" s="88">
        <f>Ruimtestaat[[#This Row],[uren / jaar weekend]]+Ruimtestaat[[#This Row],[uren / jaar werkdagen]]</f>
        <v>0</v>
      </c>
      <c r="AF181" s="89">
        <f>Ruimtestaat[[#This Row],[kosten / jaar weekend]]+Ruimtestaat[[#This Row],[kosten / jaar werkdagen]]</f>
        <v>0</v>
      </c>
    </row>
    <row r="182" spans="1:32" ht="15" customHeight="1">
      <c r="A182" s="129">
        <v>1</v>
      </c>
      <c r="B182" s="21" t="str">
        <f>VLOOKUP(Ruimtestaat[[#This Row],[Code]],Locaties[#All],2,FALSE)</f>
        <v>PXC Aalderinkshoek</v>
      </c>
      <c r="C182" s="21" t="str">
        <f>VLOOKUP(Ruimtestaat[[#This Row],[Code]],Locaties[#All],4,FALSE)</f>
        <v>Cesar Frankstraat 4</v>
      </c>
      <c r="D182" s="243" t="str">
        <f>VLOOKUP(Ruimtestaat[[#This Row],[Code]],Locaties[#All],5,FALSE)</f>
        <v>7604 JG</v>
      </c>
      <c r="E182" s="243" t="str">
        <f>VLOOKUP(Ruimtestaat[[#This Row],[Code]],Locaties[#All],6,FALSE)</f>
        <v>Almelo</v>
      </c>
      <c r="F182" s="244"/>
      <c r="G182" s="200" t="s">
        <v>653</v>
      </c>
      <c r="H182" s="200" t="s">
        <v>682</v>
      </c>
      <c r="I182" s="244" t="s">
        <v>552</v>
      </c>
      <c r="J182" s="200">
        <v>21</v>
      </c>
      <c r="K182" s="243"/>
      <c r="L182" s="200"/>
      <c r="M182" s="213"/>
      <c r="N182" s="213">
        <v>0.8</v>
      </c>
      <c r="O182" s="243" t="str">
        <f>VLOOKUP(Ruimtestaat[[#This Row],[Ruimte code]],Ruimtegroepen[#All],4,FALSE)</f>
        <v>Niet in onderhoud</v>
      </c>
      <c r="P182" s="214"/>
      <c r="Q182" s="215"/>
      <c r="R182" s="215"/>
      <c r="S182" s="215">
        <f>IF(R182&gt;0,IF(RIGHT(Ruimtestaat[[#This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82" s="215">
        <f>IF(S182&gt;0,VLOOKUP($J182,Ruimtegroepen[],3,FALSE)*VLOOKUP($K182,Vloersoorten[],3,FALSE)*VLOOKUP($R182,Frequenties[],3,FALSE)*VLOOKUP($A182,Locaties[],3,FALSE),0)</f>
        <v>0</v>
      </c>
      <c r="U182" s="215">
        <f>Ruimtestaat[[#This Row],[Uitvoeringen werkdagen]]*Ruimtestaat[[#This Row],[Oppervlak (netto)]]</f>
        <v>0</v>
      </c>
      <c r="V182" s="259">
        <f>IF(T182&gt;0,Ruimtestaat[[#This Row],[Prest. (m2 /jaar) werkdagen]]/Ruimtestaat[[#This Row],[Norm (m2/uur) werkdagen]],0)</f>
        <v>0</v>
      </c>
      <c r="W182" s="260">
        <f>Ruimtestaat[[#This Row],[uren / jaar werkdagen]]*Tariefsopbouw!$D$38</f>
        <v>0</v>
      </c>
      <c r="X182" s="33"/>
      <c r="Y182" s="33">
        <f>IF(Ruimtestaat[[#This Row],[Frequentie weekend]]&gt;0,VALUE(LEFT(X182,1))*Q182,0)</f>
        <v>0</v>
      </c>
      <c r="Z182" s="33">
        <f>IF($Y182&gt;0,VLOOKUP($J182,Ruimtegroepen[],3,FALSE)*VLOOKUP($K182,Vloersoorten[],3,FALSE)*VLOOKUP($X182,Frequenties[],3,FALSE)*VLOOKUP(#REF!,Locaties[],3,FALSE),0)</f>
        <v>0</v>
      </c>
      <c r="AA182" s="33"/>
      <c r="AB182" s="33"/>
      <c r="AC182" s="33">
        <f>Ruimtestaat[[#This Row],[uren / jaar weekend]]*Tariefsopbouw!$D$40</f>
        <v>0</v>
      </c>
      <c r="AD182" s="88">
        <f>Ruimtestaat[[#This Row],[Prest. (m2 /jaar) weekend]]+Ruimtestaat[[#This Row],[Prest. (m2 /jaar) werkdagen]]</f>
        <v>0</v>
      </c>
      <c r="AE182" s="88">
        <f>Ruimtestaat[[#This Row],[uren / jaar weekend]]+Ruimtestaat[[#This Row],[uren / jaar werkdagen]]</f>
        <v>0</v>
      </c>
      <c r="AF182" s="89">
        <f>Ruimtestaat[[#This Row],[kosten / jaar weekend]]+Ruimtestaat[[#This Row],[kosten / jaar werkdagen]]</f>
        <v>0</v>
      </c>
    </row>
    <row r="183" spans="1:32" ht="15" customHeight="1">
      <c r="A183" s="129">
        <v>1</v>
      </c>
      <c r="B183" s="21" t="str">
        <f>VLOOKUP(Ruimtestaat[[#This Row],[Code]],Locaties[#All],2,FALSE)</f>
        <v>PXC Aalderinkshoek</v>
      </c>
      <c r="C183" s="21" t="str">
        <f>VLOOKUP(Ruimtestaat[[#This Row],[Code]],Locaties[#All],4,FALSE)</f>
        <v>Cesar Frankstraat 4</v>
      </c>
      <c r="D183" s="243" t="str">
        <f>VLOOKUP(Ruimtestaat[[#This Row],[Code]],Locaties[#All],5,FALSE)</f>
        <v>7604 JG</v>
      </c>
      <c r="E183" s="243" t="str">
        <f>VLOOKUP(Ruimtestaat[[#This Row],[Code]],Locaties[#All],6,FALSE)</f>
        <v>Almelo</v>
      </c>
      <c r="F183" s="244"/>
      <c r="G183" s="200" t="s">
        <v>653</v>
      </c>
      <c r="H183" s="200" t="s">
        <v>683</v>
      </c>
      <c r="I183" s="244" t="s">
        <v>638</v>
      </c>
      <c r="J183" s="215">
        <v>16</v>
      </c>
      <c r="K183" s="200" t="s">
        <v>110</v>
      </c>
      <c r="L183" s="200" t="s">
        <v>132</v>
      </c>
      <c r="M183" s="213">
        <v>65.47</v>
      </c>
      <c r="N183" s="213"/>
      <c r="O183" s="243" t="str">
        <f>VLOOKUP(Ruimtestaat[[#This Row],[Ruimte code]],Ruimtegroepen[#All],4,FALSE)</f>
        <v>L  (Lesruimte)</v>
      </c>
      <c r="P183" s="214"/>
      <c r="Q183" s="215">
        <v>40</v>
      </c>
      <c r="R183" s="215" t="s">
        <v>2</v>
      </c>
      <c r="S183" s="215">
        <f>IF(R183&gt;0,IF(RIGHT(Ruimtestaat[[#This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3" s="215">
        <f>IF(S183&gt;0,VLOOKUP($J183,Ruimtegroepen[],3,FALSE)*VLOOKUP($K183,Vloersoorten[],3,FALSE)*VLOOKUP($R183,Frequenties[],3,FALSE)*VLOOKUP($A183,Locaties[],3,FALSE),0)</f>
        <v>0</v>
      </c>
      <c r="U183" s="215">
        <f>Ruimtestaat[[#This Row],[Uitvoeringen werkdagen]]*Ruimtestaat[[#This Row],[Oppervlak (netto)]]</f>
        <v>13094</v>
      </c>
      <c r="V183" s="259">
        <f>IF(T183&gt;0,Ruimtestaat[[#This Row],[Prest. (m2 /jaar) werkdagen]]/Ruimtestaat[[#This Row],[Norm (m2/uur) werkdagen]],0)</f>
        <v>0</v>
      </c>
      <c r="W183" s="260">
        <f>Ruimtestaat[[#This Row],[uren / jaar werkdagen]]*Tariefsopbouw!$D$38</f>
        <v>0</v>
      </c>
      <c r="X183" s="33"/>
      <c r="Y183" s="33">
        <f>IF(Ruimtestaat[[#This Row],[Frequentie weekend]]&gt;0,VALUE(LEFT(X183,1))*Q183,0)</f>
        <v>0</v>
      </c>
      <c r="Z183" s="33">
        <f>IF($Y183&gt;0,VLOOKUP($J183,Ruimtegroepen[],3,FALSE)*VLOOKUP($K183,Vloersoorten[],3,FALSE)*VLOOKUP($X183,Frequenties[],3,FALSE)*VLOOKUP(#REF!,Locaties[],3,FALSE),0)</f>
        <v>0</v>
      </c>
      <c r="AA183" s="33"/>
      <c r="AB183" s="33"/>
      <c r="AC183" s="33">
        <f>Ruimtestaat[[#This Row],[uren / jaar weekend]]*Tariefsopbouw!$D$40</f>
        <v>0</v>
      </c>
      <c r="AD183" s="88">
        <f>Ruimtestaat[[#This Row],[Prest. (m2 /jaar) weekend]]+Ruimtestaat[[#This Row],[Prest. (m2 /jaar) werkdagen]]</f>
        <v>13094</v>
      </c>
      <c r="AE183" s="88">
        <f>Ruimtestaat[[#This Row],[uren / jaar weekend]]+Ruimtestaat[[#This Row],[uren / jaar werkdagen]]</f>
        <v>0</v>
      </c>
      <c r="AF183" s="89">
        <f>Ruimtestaat[[#This Row],[kosten / jaar weekend]]+Ruimtestaat[[#This Row],[kosten / jaar werkdagen]]</f>
        <v>0</v>
      </c>
    </row>
    <row r="184" spans="1:32" ht="15" customHeight="1">
      <c r="A184" s="129">
        <v>1</v>
      </c>
      <c r="B184" s="21" t="str">
        <f>VLOOKUP(Ruimtestaat[[#This Row],[Code]],Locaties[#All],2,FALSE)</f>
        <v>PXC Aalderinkshoek</v>
      </c>
      <c r="C184" s="21" t="str">
        <f>VLOOKUP(Ruimtestaat[[#This Row],[Code]],Locaties[#All],4,FALSE)</f>
        <v>Cesar Frankstraat 4</v>
      </c>
      <c r="D184" s="243" t="str">
        <f>VLOOKUP(Ruimtestaat[[#This Row],[Code]],Locaties[#All],5,FALSE)</f>
        <v>7604 JG</v>
      </c>
      <c r="E184" s="243" t="str">
        <f>VLOOKUP(Ruimtestaat[[#This Row],[Code]],Locaties[#All],6,FALSE)</f>
        <v>Almelo</v>
      </c>
      <c r="F184" s="244"/>
      <c r="G184" s="200" t="s">
        <v>653</v>
      </c>
      <c r="H184" s="200" t="s">
        <v>684</v>
      </c>
      <c r="I184" s="244" t="s">
        <v>455</v>
      </c>
      <c r="J184" s="200">
        <v>10</v>
      </c>
      <c r="K184" s="200" t="s">
        <v>111</v>
      </c>
      <c r="L184" s="200" t="s">
        <v>128</v>
      </c>
      <c r="M184" s="213">
        <v>6.72</v>
      </c>
      <c r="N184" s="213"/>
      <c r="O184" s="243" t="str">
        <f>VLOOKUP(Ruimtestaat[[#This Row],[Ruimte code]],Ruimtegroepen[#All],4,FALSE)</f>
        <v>V  (Verkeersruimte)</v>
      </c>
      <c r="P184" s="214"/>
      <c r="Q184" s="215">
        <v>40</v>
      </c>
      <c r="R184" s="215" t="s">
        <v>2</v>
      </c>
      <c r="S184" s="215">
        <f>IF(R184&gt;0,IF(RIGHT(Ruimtestaat[[#This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4" s="215">
        <f>IF(S184&gt;0,VLOOKUP($J184,Ruimtegroepen[],3,FALSE)*VLOOKUP($K184,Vloersoorten[],3,FALSE)*VLOOKUP($R184,Frequenties[],3,FALSE)*VLOOKUP($A184,Locaties[],3,FALSE),0)</f>
        <v>0</v>
      </c>
      <c r="U184" s="215">
        <f>Ruimtestaat[[#This Row],[Uitvoeringen werkdagen]]*Ruimtestaat[[#This Row],[Oppervlak (netto)]]</f>
        <v>1344</v>
      </c>
      <c r="V184" s="259">
        <f>IF(T184&gt;0,Ruimtestaat[[#This Row],[Prest. (m2 /jaar) werkdagen]]/Ruimtestaat[[#This Row],[Norm (m2/uur) werkdagen]],0)</f>
        <v>0</v>
      </c>
      <c r="W184" s="260">
        <f>Ruimtestaat[[#This Row],[uren / jaar werkdagen]]*Tariefsopbouw!$D$38</f>
        <v>0</v>
      </c>
      <c r="X184" s="33"/>
      <c r="Y184" s="33">
        <f>IF(Ruimtestaat[[#This Row],[Frequentie weekend]]&gt;0,VALUE(LEFT(X184,1))*Q184,0)</f>
        <v>0</v>
      </c>
      <c r="Z184" s="33">
        <f>IF($Y184&gt;0,VLOOKUP($J184,Ruimtegroepen[],3,FALSE)*VLOOKUP($K184,Vloersoorten[],3,FALSE)*VLOOKUP($X184,Frequenties[],3,FALSE)*VLOOKUP(#REF!,Locaties[],3,FALSE),0)</f>
        <v>0</v>
      </c>
      <c r="AA184" s="33"/>
      <c r="AB184" s="33"/>
      <c r="AC184" s="33">
        <f>Ruimtestaat[[#This Row],[uren / jaar weekend]]*Tariefsopbouw!$D$40</f>
        <v>0</v>
      </c>
      <c r="AD184" s="88">
        <f>Ruimtestaat[[#This Row],[Prest. (m2 /jaar) weekend]]+Ruimtestaat[[#This Row],[Prest. (m2 /jaar) werkdagen]]</f>
        <v>1344</v>
      </c>
      <c r="AE184" s="88">
        <f>Ruimtestaat[[#This Row],[uren / jaar weekend]]+Ruimtestaat[[#This Row],[uren / jaar werkdagen]]</f>
        <v>0</v>
      </c>
      <c r="AF184" s="89">
        <f>Ruimtestaat[[#This Row],[kosten / jaar weekend]]+Ruimtestaat[[#This Row],[kosten / jaar werkdagen]]</f>
        <v>0</v>
      </c>
    </row>
    <row r="185" spans="1:32" ht="15" customHeight="1">
      <c r="A185" s="129">
        <v>1</v>
      </c>
      <c r="B185" s="21" t="str">
        <f>VLOOKUP(Ruimtestaat[[#This Row],[Code]],Locaties[#All],2,FALSE)</f>
        <v>PXC Aalderinkshoek</v>
      </c>
      <c r="C185" s="21" t="str">
        <f>VLOOKUP(Ruimtestaat[[#This Row],[Code]],Locaties[#All],4,FALSE)</f>
        <v>Cesar Frankstraat 4</v>
      </c>
      <c r="D185" s="243" t="str">
        <f>VLOOKUP(Ruimtestaat[[#This Row],[Code]],Locaties[#All],5,FALSE)</f>
        <v>7604 JG</v>
      </c>
      <c r="E185" s="243" t="str">
        <f>VLOOKUP(Ruimtestaat[[#This Row],[Code]],Locaties[#All],6,FALSE)</f>
        <v>Almelo</v>
      </c>
      <c r="F185" s="244"/>
      <c r="G185" s="200" t="s">
        <v>653</v>
      </c>
      <c r="H185" s="200" t="s">
        <v>685</v>
      </c>
      <c r="I185" s="244" t="s">
        <v>447</v>
      </c>
      <c r="J185" s="200">
        <v>1</v>
      </c>
      <c r="K185" s="215" t="s">
        <v>110</v>
      </c>
      <c r="L185" s="200" t="s">
        <v>132</v>
      </c>
      <c r="M185" s="213">
        <v>4.33</v>
      </c>
      <c r="N185" s="213"/>
      <c r="O185" s="243" t="str">
        <f>VLOOKUP(Ruimtestaat[[#This Row],[Ruimte code]],Ruimtegroepen[#All],4,FALSE)</f>
        <v>V  (Verkeersruimte)</v>
      </c>
      <c r="P185" s="214"/>
      <c r="Q185" s="215">
        <v>40</v>
      </c>
      <c r="R185" s="215" t="s">
        <v>16</v>
      </c>
      <c r="S185" s="215">
        <f>IF(R185&gt;0,IF(RIGHT(Ruimtestaat[[#This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85" s="215">
        <f>IF(S185&gt;0,VLOOKUP($J185,Ruimtegroepen[],3,FALSE)*VLOOKUP($K185,Vloersoorten[],3,FALSE)*VLOOKUP($R185,Frequenties[],3,FALSE)*VLOOKUP($A185,Locaties[],3,FALSE),0)</f>
        <v>0</v>
      </c>
      <c r="U185" s="215">
        <f>Ruimtestaat[[#This Row],[Uitvoeringen werkdagen]]*Ruimtestaat[[#This Row],[Oppervlak (netto)]]</f>
        <v>51.96</v>
      </c>
      <c r="V185" s="259">
        <f>IF(T185&gt;0,Ruimtestaat[[#This Row],[Prest. (m2 /jaar) werkdagen]]/Ruimtestaat[[#This Row],[Norm (m2/uur) werkdagen]],0)</f>
        <v>0</v>
      </c>
      <c r="W185" s="260">
        <f>Ruimtestaat[[#This Row],[uren / jaar werkdagen]]*Tariefsopbouw!$D$38</f>
        <v>0</v>
      </c>
      <c r="X185" s="33"/>
      <c r="Y185" s="33">
        <f>IF(Ruimtestaat[[#This Row],[Frequentie weekend]]&gt;0,VALUE(LEFT(X185,1))*Q185,0)</f>
        <v>0</v>
      </c>
      <c r="Z185" s="33">
        <f>IF($Y185&gt;0,VLOOKUP($J185,Ruimtegroepen[],3,FALSE)*VLOOKUP($K185,Vloersoorten[],3,FALSE)*VLOOKUP($X185,Frequenties[],3,FALSE)*VLOOKUP(#REF!,Locaties[],3,FALSE),0)</f>
        <v>0</v>
      </c>
      <c r="AA185" s="33"/>
      <c r="AB185" s="33"/>
      <c r="AC185" s="33">
        <f>Ruimtestaat[[#This Row],[uren / jaar weekend]]*Tariefsopbouw!$D$40</f>
        <v>0</v>
      </c>
      <c r="AD185" s="88">
        <f>Ruimtestaat[[#This Row],[Prest. (m2 /jaar) weekend]]+Ruimtestaat[[#This Row],[Prest. (m2 /jaar) werkdagen]]</f>
        <v>51.96</v>
      </c>
      <c r="AE185" s="88">
        <f>Ruimtestaat[[#This Row],[uren / jaar weekend]]+Ruimtestaat[[#This Row],[uren / jaar werkdagen]]</f>
        <v>0</v>
      </c>
      <c r="AF185" s="89">
        <f>Ruimtestaat[[#This Row],[kosten / jaar weekend]]+Ruimtestaat[[#This Row],[kosten / jaar werkdagen]]</f>
        <v>0</v>
      </c>
    </row>
    <row r="186" spans="1:32" ht="15" customHeight="1">
      <c r="A186" s="129">
        <v>1</v>
      </c>
      <c r="B186" s="21" t="str">
        <f>VLOOKUP(Ruimtestaat[[#This Row],[Code]],Locaties[#All],2,FALSE)</f>
        <v>PXC Aalderinkshoek</v>
      </c>
      <c r="C186" s="21" t="str">
        <f>VLOOKUP(Ruimtestaat[[#This Row],[Code]],Locaties[#All],4,FALSE)</f>
        <v>Cesar Frankstraat 4</v>
      </c>
      <c r="D186" s="243" t="str">
        <f>VLOOKUP(Ruimtestaat[[#This Row],[Code]],Locaties[#All],5,FALSE)</f>
        <v>7604 JG</v>
      </c>
      <c r="E186" s="243" t="str">
        <f>VLOOKUP(Ruimtestaat[[#This Row],[Code]],Locaties[#All],6,FALSE)</f>
        <v>Almelo</v>
      </c>
      <c r="F186" s="244"/>
      <c r="G186" s="200" t="s">
        <v>653</v>
      </c>
      <c r="H186" s="200" t="s">
        <v>686</v>
      </c>
      <c r="I186" s="244" t="s">
        <v>396</v>
      </c>
      <c r="J186" s="200">
        <v>16</v>
      </c>
      <c r="K186" s="200" t="s">
        <v>110</v>
      </c>
      <c r="L186" s="200" t="s">
        <v>132</v>
      </c>
      <c r="M186" s="213">
        <v>53.77</v>
      </c>
      <c r="N186" s="213"/>
      <c r="O186" s="243" t="str">
        <f>VLOOKUP(Ruimtestaat[[#This Row],[Ruimte code]],Ruimtegroepen[#All],4,FALSE)</f>
        <v>L  (Lesruimte)</v>
      </c>
      <c r="P186" s="214"/>
      <c r="Q186" s="215">
        <v>40</v>
      </c>
      <c r="R186" s="215" t="s">
        <v>2</v>
      </c>
      <c r="S186" s="215">
        <f>IF(R186&gt;0,IF(RIGHT(Ruimtestaat[[#This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6" s="215">
        <f>IF(S186&gt;0,VLOOKUP($J186,Ruimtegroepen[],3,FALSE)*VLOOKUP($K186,Vloersoorten[],3,FALSE)*VLOOKUP($R186,Frequenties[],3,FALSE)*VLOOKUP($A186,Locaties[],3,FALSE),0)</f>
        <v>0</v>
      </c>
      <c r="U186" s="215">
        <f>Ruimtestaat[[#This Row],[Uitvoeringen werkdagen]]*Ruimtestaat[[#This Row],[Oppervlak (netto)]]</f>
        <v>10754</v>
      </c>
      <c r="V186" s="259">
        <f>IF(T186&gt;0,Ruimtestaat[[#This Row],[Prest. (m2 /jaar) werkdagen]]/Ruimtestaat[[#This Row],[Norm (m2/uur) werkdagen]],0)</f>
        <v>0</v>
      </c>
      <c r="W186" s="260">
        <f>Ruimtestaat[[#This Row],[uren / jaar werkdagen]]*Tariefsopbouw!$D$38</f>
        <v>0</v>
      </c>
      <c r="X186" s="33"/>
      <c r="Y186" s="33">
        <f>IF(Ruimtestaat[[#This Row],[Frequentie weekend]]&gt;0,VALUE(LEFT(X186,1))*Q186,0)</f>
        <v>0</v>
      </c>
      <c r="Z186" s="33">
        <f>IF($Y186&gt;0,VLOOKUP($J186,Ruimtegroepen[],3,FALSE)*VLOOKUP($K186,Vloersoorten[],3,FALSE)*VLOOKUP($X186,Frequenties[],3,FALSE)*VLOOKUP(#REF!,Locaties[],3,FALSE),0)</f>
        <v>0</v>
      </c>
      <c r="AA186" s="33"/>
      <c r="AB186" s="33"/>
      <c r="AC186" s="33">
        <f>Ruimtestaat[[#This Row],[uren / jaar weekend]]*Tariefsopbouw!$D$40</f>
        <v>0</v>
      </c>
      <c r="AD186" s="88">
        <f>Ruimtestaat[[#This Row],[Prest. (m2 /jaar) weekend]]+Ruimtestaat[[#This Row],[Prest. (m2 /jaar) werkdagen]]</f>
        <v>10754</v>
      </c>
      <c r="AE186" s="88">
        <f>Ruimtestaat[[#This Row],[uren / jaar weekend]]+Ruimtestaat[[#This Row],[uren / jaar werkdagen]]</f>
        <v>0</v>
      </c>
      <c r="AF186" s="89">
        <f>Ruimtestaat[[#This Row],[kosten / jaar weekend]]+Ruimtestaat[[#This Row],[kosten / jaar werkdagen]]</f>
        <v>0</v>
      </c>
    </row>
    <row r="187" spans="1:32" ht="15" customHeight="1">
      <c r="A187" s="129">
        <v>1</v>
      </c>
      <c r="B187" s="21" t="str">
        <f>VLOOKUP(Ruimtestaat[[#This Row],[Code]],Locaties[#All],2,FALSE)</f>
        <v>PXC Aalderinkshoek</v>
      </c>
      <c r="C187" s="21" t="str">
        <f>VLOOKUP(Ruimtestaat[[#This Row],[Code]],Locaties[#All],4,FALSE)</f>
        <v>Cesar Frankstraat 4</v>
      </c>
      <c r="D187" s="243" t="str">
        <f>VLOOKUP(Ruimtestaat[[#This Row],[Code]],Locaties[#All],5,FALSE)</f>
        <v>7604 JG</v>
      </c>
      <c r="E187" s="243" t="str">
        <f>VLOOKUP(Ruimtestaat[[#This Row],[Code]],Locaties[#All],6,FALSE)</f>
        <v>Almelo</v>
      </c>
      <c r="F187" s="244"/>
      <c r="G187" s="200" t="s">
        <v>653</v>
      </c>
      <c r="H187" s="200" t="s">
        <v>687</v>
      </c>
      <c r="I187" s="244" t="s">
        <v>396</v>
      </c>
      <c r="J187" s="200">
        <v>16</v>
      </c>
      <c r="K187" s="200" t="s">
        <v>110</v>
      </c>
      <c r="L187" s="200" t="s">
        <v>132</v>
      </c>
      <c r="M187" s="213">
        <v>67.81</v>
      </c>
      <c r="N187" s="213"/>
      <c r="O187" s="243" t="str">
        <f>VLOOKUP(Ruimtestaat[[#This Row],[Ruimte code]],Ruimtegroepen[#All],4,FALSE)</f>
        <v>L  (Lesruimte)</v>
      </c>
      <c r="P187" s="214"/>
      <c r="Q187" s="215">
        <v>40</v>
      </c>
      <c r="R187" s="215" t="s">
        <v>2</v>
      </c>
      <c r="S187" s="215">
        <f>IF(R187&gt;0,IF(RIGHT(Ruimtestaat[[#This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7" s="215">
        <f>IF(S187&gt;0,VLOOKUP($J187,Ruimtegroepen[],3,FALSE)*VLOOKUP($K187,Vloersoorten[],3,FALSE)*VLOOKUP($R187,Frequenties[],3,FALSE)*VLOOKUP($A187,Locaties[],3,FALSE),0)</f>
        <v>0</v>
      </c>
      <c r="U187" s="215">
        <f>Ruimtestaat[[#This Row],[Uitvoeringen werkdagen]]*Ruimtestaat[[#This Row],[Oppervlak (netto)]]</f>
        <v>13562</v>
      </c>
      <c r="V187" s="259">
        <f>IF(T187&gt;0,Ruimtestaat[[#This Row],[Prest. (m2 /jaar) werkdagen]]/Ruimtestaat[[#This Row],[Norm (m2/uur) werkdagen]],0)</f>
        <v>0</v>
      </c>
      <c r="W187" s="260">
        <f>Ruimtestaat[[#This Row],[uren / jaar werkdagen]]*Tariefsopbouw!$D$38</f>
        <v>0</v>
      </c>
      <c r="X187" s="33"/>
      <c r="Y187" s="33">
        <f>IF(Ruimtestaat[[#This Row],[Frequentie weekend]]&gt;0,VALUE(LEFT(X187,1))*Q187,0)</f>
        <v>0</v>
      </c>
      <c r="Z187" s="33">
        <f>IF($Y187&gt;0,VLOOKUP($J187,Ruimtegroepen[],3,FALSE)*VLOOKUP($K187,Vloersoorten[],3,FALSE)*VLOOKUP($X187,Frequenties[],3,FALSE)*VLOOKUP(#REF!,Locaties[],3,FALSE),0)</f>
        <v>0</v>
      </c>
      <c r="AA187" s="33"/>
      <c r="AB187" s="33"/>
      <c r="AC187" s="33">
        <f>Ruimtestaat[[#This Row],[uren / jaar weekend]]*Tariefsopbouw!$D$40</f>
        <v>0</v>
      </c>
      <c r="AD187" s="88">
        <f>Ruimtestaat[[#This Row],[Prest. (m2 /jaar) weekend]]+Ruimtestaat[[#This Row],[Prest. (m2 /jaar) werkdagen]]</f>
        <v>13562</v>
      </c>
      <c r="AE187" s="88">
        <f>Ruimtestaat[[#This Row],[uren / jaar weekend]]+Ruimtestaat[[#This Row],[uren / jaar werkdagen]]</f>
        <v>0</v>
      </c>
      <c r="AF187" s="89">
        <f>Ruimtestaat[[#This Row],[kosten / jaar weekend]]+Ruimtestaat[[#This Row],[kosten / jaar werkdagen]]</f>
        <v>0</v>
      </c>
    </row>
    <row r="188" spans="1:32" ht="15" customHeight="1">
      <c r="A188" s="129">
        <v>1</v>
      </c>
      <c r="B188" s="21" t="str">
        <f>VLOOKUP(Ruimtestaat[[#This Row],[Code]],Locaties[#All],2,FALSE)</f>
        <v>PXC Aalderinkshoek</v>
      </c>
      <c r="C188" s="21" t="str">
        <f>VLOOKUP(Ruimtestaat[[#This Row],[Code]],Locaties[#All],4,FALSE)</f>
        <v>Cesar Frankstraat 4</v>
      </c>
      <c r="D188" s="243" t="str">
        <f>VLOOKUP(Ruimtestaat[[#This Row],[Code]],Locaties[#All],5,FALSE)</f>
        <v>7604 JG</v>
      </c>
      <c r="E188" s="243" t="str">
        <f>VLOOKUP(Ruimtestaat[[#This Row],[Code]],Locaties[#All],6,FALSE)</f>
        <v>Almelo</v>
      </c>
      <c r="F188" s="244"/>
      <c r="G188" s="200" t="s">
        <v>653</v>
      </c>
      <c r="H188" s="200" t="s">
        <v>688</v>
      </c>
      <c r="I188" s="244" t="s">
        <v>647</v>
      </c>
      <c r="J188" s="243">
        <v>16</v>
      </c>
      <c r="K188" s="200" t="s">
        <v>110</v>
      </c>
      <c r="L188" s="200" t="s">
        <v>132</v>
      </c>
      <c r="M188" s="213">
        <v>226.28</v>
      </c>
      <c r="N188" s="213"/>
      <c r="O188" s="243" t="str">
        <f>VLOOKUP(Ruimtestaat[[#This Row],[Ruimte code]],Ruimtegroepen[#All],4,FALSE)</f>
        <v>L  (Lesruimte)</v>
      </c>
      <c r="P188" s="214"/>
      <c r="Q188" s="215">
        <v>40</v>
      </c>
      <c r="R188" s="215" t="s">
        <v>2</v>
      </c>
      <c r="S188" s="215">
        <f>IF(R188&gt;0,IF(RIGHT(Ruimtestaat[[#This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8" s="215">
        <f>IF(S188&gt;0,VLOOKUP($J188,Ruimtegroepen[],3,FALSE)*VLOOKUP($K188,Vloersoorten[],3,FALSE)*VLOOKUP($R188,Frequenties[],3,FALSE)*VLOOKUP($A188,Locaties[],3,FALSE),0)</f>
        <v>0</v>
      </c>
      <c r="U188" s="215">
        <f>Ruimtestaat[[#This Row],[Uitvoeringen werkdagen]]*Ruimtestaat[[#This Row],[Oppervlak (netto)]]</f>
        <v>45256</v>
      </c>
      <c r="V188" s="259">
        <f>IF(T188&gt;0,Ruimtestaat[[#This Row],[Prest. (m2 /jaar) werkdagen]]/Ruimtestaat[[#This Row],[Norm (m2/uur) werkdagen]],0)</f>
        <v>0</v>
      </c>
      <c r="W188" s="260">
        <f>Ruimtestaat[[#This Row],[uren / jaar werkdagen]]*Tariefsopbouw!$D$38</f>
        <v>0</v>
      </c>
      <c r="X188" s="33"/>
      <c r="Y188" s="33">
        <f>IF(Ruimtestaat[[#This Row],[Frequentie weekend]]&gt;0,VALUE(LEFT(X188,1))*Q188,0)</f>
        <v>0</v>
      </c>
      <c r="Z188" s="33">
        <f>IF($Y188&gt;0,VLOOKUP($J188,Ruimtegroepen[],3,FALSE)*VLOOKUP($K188,Vloersoorten[],3,FALSE)*VLOOKUP($X188,Frequenties[],3,FALSE)*VLOOKUP(#REF!,Locaties[],3,FALSE),0)</f>
        <v>0</v>
      </c>
      <c r="AA188" s="33"/>
      <c r="AB188" s="33"/>
      <c r="AC188" s="33">
        <f>Ruimtestaat[[#This Row],[uren / jaar weekend]]*Tariefsopbouw!$D$40</f>
        <v>0</v>
      </c>
      <c r="AD188" s="88">
        <f>Ruimtestaat[[#This Row],[Prest. (m2 /jaar) weekend]]+Ruimtestaat[[#This Row],[Prest. (m2 /jaar) werkdagen]]</f>
        <v>45256</v>
      </c>
      <c r="AE188" s="88">
        <f>Ruimtestaat[[#This Row],[uren / jaar weekend]]+Ruimtestaat[[#This Row],[uren / jaar werkdagen]]</f>
        <v>0</v>
      </c>
      <c r="AF188" s="89">
        <f>Ruimtestaat[[#This Row],[kosten / jaar weekend]]+Ruimtestaat[[#This Row],[kosten / jaar werkdagen]]</f>
        <v>0</v>
      </c>
    </row>
    <row r="189" spans="1:32" ht="15" customHeight="1">
      <c r="A189" s="129">
        <v>1</v>
      </c>
      <c r="B189" s="21" t="str">
        <f>VLOOKUP(Ruimtestaat[[#This Row],[Code]],Locaties[#All],2,FALSE)</f>
        <v>PXC Aalderinkshoek</v>
      </c>
      <c r="C189" s="21" t="str">
        <f>VLOOKUP(Ruimtestaat[[#This Row],[Code]],Locaties[#All],4,FALSE)</f>
        <v>Cesar Frankstraat 4</v>
      </c>
      <c r="D189" s="243" t="str">
        <f>VLOOKUP(Ruimtestaat[[#This Row],[Code]],Locaties[#All],5,FALSE)</f>
        <v>7604 JG</v>
      </c>
      <c r="E189" s="243" t="str">
        <f>VLOOKUP(Ruimtestaat[[#This Row],[Code]],Locaties[#All],6,FALSE)</f>
        <v>Almelo</v>
      </c>
      <c r="F189" s="244"/>
      <c r="G189" s="200" t="s">
        <v>653</v>
      </c>
      <c r="H189" s="200" t="s">
        <v>689</v>
      </c>
      <c r="I189" s="244" t="s">
        <v>457</v>
      </c>
      <c r="J189" s="200">
        <v>10</v>
      </c>
      <c r="K189" s="200" t="s">
        <v>111</v>
      </c>
      <c r="L189" s="200" t="s">
        <v>128</v>
      </c>
      <c r="M189" s="213">
        <v>6.36</v>
      </c>
      <c r="N189" s="213"/>
      <c r="O189" s="243" t="str">
        <f>VLOOKUP(Ruimtestaat[[#This Row],[Ruimte code]],Ruimtegroepen[#All],4,FALSE)</f>
        <v>V  (Verkeersruimte)</v>
      </c>
      <c r="P189" s="214"/>
      <c r="Q189" s="215">
        <v>40</v>
      </c>
      <c r="R189" s="215" t="s">
        <v>2</v>
      </c>
      <c r="S189" s="215">
        <f>IF(R189&gt;0,IF(RIGHT(Ruimtestaat[[#This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89" s="215">
        <f>IF(S189&gt;0,VLOOKUP($J189,Ruimtegroepen[],3,FALSE)*VLOOKUP($K189,Vloersoorten[],3,FALSE)*VLOOKUP($R189,Frequenties[],3,FALSE)*VLOOKUP($A189,Locaties[],3,FALSE),0)</f>
        <v>0</v>
      </c>
      <c r="U189" s="215">
        <f>Ruimtestaat[[#This Row],[Uitvoeringen werkdagen]]*Ruimtestaat[[#This Row],[Oppervlak (netto)]]</f>
        <v>1272</v>
      </c>
      <c r="V189" s="259">
        <f>IF(T189&gt;0,Ruimtestaat[[#This Row],[Prest. (m2 /jaar) werkdagen]]/Ruimtestaat[[#This Row],[Norm (m2/uur) werkdagen]],0)</f>
        <v>0</v>
      </c>
      <c r="W189" s="260">
        <f>Ruimtestaat[[#This Row],[uren / jaar werkdagen]]*Tariefsopbouw!$D$38</f>
        <v>0</v>
      </c>
      <c r="X189" s="33"/>
      <c r="Y189" s="33">
        <f>IF(Ruimtestaat[[#This Row],[Frequentie weekend]]&gt;0,VALUE(LEFT(X189,1))*Q189,0)</f>
        <v>0</v>
      </c>
      <c r="Z189" s="33">
        <f>IF($Y189&gt;0,VLOOKUP($J189,Ruimtegroepen[],3,FALSE)*VLOOKUP($K189,Vloersoorten[],3,FALSE)*VLOOKUP($X189,Frequenties[],3,FALSE)*VLOOKUP(#REF!,Locaties[],3,FALSE),0)</f>
        <v>0</v>
      </c>
      <c r="AA189" s="33"/>
      <c r="AB189" s="33"/>
      <c r="AC189" s="33">
        <f>Ruimtestaat[[#This Row],[uren / jaar weekend]]*Tariefsopbouw!$D$40</f>
        <v>0</v>
      </c>
      <c r="AD189" s="88">
        <f>Ruimtestaat[[#This Row],[Prest. (m2 /jaar) weekend]]+Ruimtestaat[[#This Row],[Prest. (m2 /jaar) werkdagen]]</f>
        <v>1272</v>
      </c>
      <c r="AE189" s="88">
        <f>Ruimtestaat[[#This Row],[uren / jaar weekend]]+Ruimtestaat[[#This Row],[uren / jaar werkdagen]]</f>
        <v>0</v>
      </c>
      <c r="AF189" s="89">
        <f>Ruimtestaat[[#This Row],[kosten / jaar weekend]]+Ruimtestaat[[#This Row],[kosten / jaar werkdagen]]</f>
        <v>0</v>
      </c>
    </row>
    <row r="190" spans="1:32" ht="15" customHeight="1">
      <c r="A190" s="129">
        <v>1</v>
      </c>
      <c r="B190" s="21" t="str">
        <f>VLOOKUP(Ruimtestaat[[#This Row],[Code]],Locaties[#All],2,FALSE)</f>
        <v>PXC Aalderinkshoek</v>
      </c>
      <c r="C190" s="21" t="str">
        <f>VLOOKUP(Ruimtestaat[[#This Row],[Code]],Locaties[#All],4,FALSE)</f>
        <v>Cesar Frankstraat 4</v>
      </c>
      <c r="D190" s="243" t="str">
        <f>VLOOKUP(Ruimtestaat[[#This Row],[Code]],Locaties[#All],5,FALSE)</f>
        <v>7604 JG</v>
      </c>
      <c r="E190" s="243" t="str">
        <f>VLOOKUP(Ruimtestaat[[#This Row],[Code]],Locaties[#All],6,FALSE)</f>
        <v>Almelo</v>
      </c>
      <c r="F190" s="244"/>
      <c r="G190" s="200" t="s">
        <v>653</v>
      </c>
      <c r="H190" s="200" t="s">
        <v>690</v>
      </c>
      <c r="I190" s="244" t="s">
        <v>457</v>
      </c>
      <c r="J190" s="200">
        <v>10</v>
      </c>
      <c r="K190" s="200" t="s">
        <v>111</v>
      </c>
      <c r="L190" s="200" t="s">
        <v>128</v>
      </c>
      <c r="M190" s="213">
        <v>6.17</v>
      </c>
      <c r="N190" s="213"/>
      <c r="O190" s="243" t="str">
        <f>VLOOKUP(Ruimtestaat[[#This Row],[Ruimte code]],Ruimtegroepen[#All],4,FALSE)</f>
        <v>V  (Verkeersruimte)</v>
      </c>
      <c r="P190" s="214"/>
      <c r="Q190" s="215">
        <v>40</v>
      </c>
      <c r="R190" s="215" t="s">
        <v>2</v>
      </c>
      <c r="S190" s="215">
        <f>IF(R190&gt;0,IF(RIGHT(Ruimtestaat[[#This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190" s="215">
        <f>IF(S190&gt;0,VLOOKUP($J190,Ruimtegroepen[],3,FALSE)*VLOOKUP($K190,Vloersoorten[],3,FALSE)*VLOOKUP($R190,Frequenties[],3,FALSE)*VLOOKUP($A190,Locaties[],3,FALSE),0)</f>
        <v>0</v>
      </c>
      <c r="U190" s="215">
        <f>Ruimtestaat[[#This Row],[Uitvoeringen werkdagen]]*Ruimtestaat[[#This Row],[Oppervlak (netto)]]</f>
        <v>1234</v>
      </c>
      <c r="V190" s="259">
        <f>IF(T190&gt;0,Ruimtestaat[[#This Row],[Prest. (m2 /jaar) werkdagen]]/Ruimtestaat[[#This Row],[Norm (m2/uur) werkdagen]],0)</f>
        <v>0</v>
      </c>
      <c r="W190" s="260">
        <f>Ruimtestaat[[#This Row],[uren / jaar werkdagen]]*Tariefsopbouw!$D$38</f>
        <v>0</v>
      </c>
      <c r="X190" s="33"/>
      <c r="Y190" s="33">
        <f>IF(Ruimtestaat[[#This Row],[Frequentie weekend]]&gt;0,VALUE(LEFT(X190,1))*Q190,0)</f>
        <v>0</v>
      </c>
      <c r="Z190" s="33">
        <f>IF($Y190&gt;0,VLOOKUP($J190,Ruimtegroepen[],3,FALSE)*VLOOKUP($K190,Vloersoorten[],3,FALSE)*VLOOKUP($X190,Frequenties[],3,FALSE)*VLOOKUP(#REF!,Locaties[],3,FALSE),0)</f>
        <v>0</v>
      </c>
      <c r="AA190" s="33"/>
      <c r="AB190" s="33"/>
      <c r="AC190" s="33">
        <f>Ruimtestaat[[#This Row],[uren / jaar weekend]]*Tariefsopbouw!$D$40</f>
        <v>0</v>
      </c>
      <c r="AD190" s="88">
        <f>Ruimtestaat[[#This Row],[Prest. (m2 /jaar) weekend]]+Ruimtestaat[[#This Row],[Prest. (m2 /jaar) werkdagen]]</f>
        <v>1234</v>
      </c>
      <c r="AE190" s="88">
        <f>Ruimtestaat[[#This Row],[uren / jaar weekend]]+Ruimtestaat[[#This Row],[uren / jaar werkdagen]]</f>
        <v>0</v>
      </c>
      <c r="AF190" s="89">
        <f>Ruimtestaat[[#This Row],[kosten / jaar weekend]]+Ruimtestaat[[#This Row],[kosten / jaar werkdagen]]</f>
        <v>0</v>
      </c>
    </row>
    <row r="191" spans="1:32" ht="15" customHeight="1">
      <c r="A191" s="200">
        <v>2</v>
      </c>
      <c r="B191" s="21" t="str">
        <f>VLOOKUP(Ruimtestaat[[#This Row],[Code]],Locaties[#All],2,FALSE)</f>
        <v>Stichting Facilitair Beheer Van Renneslaan</v>
      </c>
      <c r="C191" s="243" t="str">
        <f>VLOOKUP(Ruimtestaat[[#This Row],[Code]],Locaties[#All],4,FALSE)</f>
        <v>Catharina van Renneslaan 35</v>
      </c>
      <c r="D191" s="243" t="str">
        <f>VLOOKUP(Ruimtestaat[[#This Row],[Code]],Locaties[#All],5,FALSE)</f>
        <v>7604 KV</v>
      </c>
      <c r="E191" s="243" t="str">
        <f>VLOOKUP(Ruimtestaat[[#This Row],[Code]],Locaties[#All],6,FALSE)</f>
        <v>Almelo</v>
      </c>
      <c r="F191" s="244"/>
      <c r="G191" s="200" t="s">
        <v>1055</v>
      </c>
      <c r="H191" s="200"/>
      <c r="I191" s="244" t="s">
        <v>1091</v>
      </c>
      <c r="J191" s="200">
        <v>21</v>
      </c>
      <c r="K191" s="243" t="s">
        <v>111</v>
      </c>
      <c r="L191" s="200" t="s">
        <v>1339</v>
      </c>
      <c r="M191" s="213"/>
      <c r="N191" s="213">
        <v>3.8</v>
      </c>
      <c r="O191" s="243" t="str">
        <f>VLOOKUP(Ruimtestaat[[#This Row],[Ruimte code]],Ruimtegroepen[#All],4,FALSE)</f>
        <v>Niet in onderhoud</v>
      </c>
      <c r="P191" s="214"/>
      <c r="Q191" s="215"/>
      <c r="R191" s="215"/>
      <c r="S191" s="215">
        <f>IF(R191&gt;0,IF(RIGHT(Ruimtestaat[[#This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1" s="215">
        <f>IF(S191&gt;0,VLOOKUP($J191,Ruimtegroepen[],3,FALSE)*VLOOKUP($K191,Vloersoorten[],3,FALSE)*VLOOKUP($R191,Frequenties[],3,FALSE)*VLOOKUP($A191,Locaties[],3,FALSE),0)</f>
        <v>0</v>
      </c>
      <c r="U191" s="215">
        <f>Ruimtestaat[[#This Row],[Uitvoeringen werkdagen]]*Ruimtestaat[[#This Row],[Oppervlak (netto)]]</f>
        <v>0</v>
      </c>
      <c r="V191" s="259">
        <f>IF(T191&gt;0,Ruimtestaat[[#This Row],[Prest. (m2 /jaar) werkdagen]]/Ruimtestaat[[#This Row],[Norm (m2/uur) werkdagen]],0)</f>
        <v>0</v>
      </c>
      <c r="W191" s="260">
        <f>Ruimtestaat[[#This Row],[uren / jaar werkdagen]]*Tariefsopbouw!$D$38</f>
        <v>0</v>
      </c>
      <c r="X191" s="33"/>
      <c r="Y191" s="33">
        <f>IF(Ruimtestaat[[#This Row],[Frequentie weekend]]&gt;0,VALUE(LEFT(X191,1))*Q191,0)</f>
        <v>0</v>
      </c>
      <c r="Z191" s="33">
        <f>IF($Y191&gt;0,VLOOKUP($J191,Ruimtegroepen[],3,FALSE)*VLOOKUP($K191,Vloersoorten[],3,FALSE)*VLOOKUP($X191,Frequenties[],3,FALSE)*VLOOKUP(#REF!,Locaties[],3,FALSE),0)</f>
        <v>0</v>
      </c>
      <c r="AA191" s="33"/>
      <c r="AB191" s="33"/>
      <c r="AC191" s="33">
        <f>Ruimtestaat[[#This Row],[uren / jaar weekend]]*Tariefsopbouw!$D$40</f>
        <v>0</v>
      </c>
      <c r="AD191" s="88">
        <f>Ruimtestaat[[#This Row],[Prest. (m2 /jaar) weekend]]+Ruimtestaat[[#This Row],[Prest. (m2 /jaar) werkdagen]]</f>
        <v>0</v>
      </c>
      <c r="AE191" s="88">
        <f>Ruimtestaat[[#This Row],[uren / jaar weekend]]+Ruimtestaat[[#This Row],[uren / jaar werkdagen]]</f>
        <v>0</v>
      </c>
      <c r="AF191" s="89">
        <f>Ruimtestaat[[#This Row],[kosten / jaar weekend]]+Ruimtestaat[[#This Row],[kosten / jaar werkdagen]]</f>
        <v>0</v>
      </c>
    </row>
    <row r="192" spans="1:32" ht="15" customHeight="1">
      <c r="A192" s="200">
        <v>2</v>
      </c>
      <c r="B192" s="21" t="str">
        <f>VLOOKUP(Ruimtestaat[[#This Row],[Code]],Locaties[#All],2,FALSE)</f>
        <v>Stichting Facilitair Beheer Van Renneslaan</v>
      </c>
      <c r="C192" s="243" t="str">
        <f>VLOOKUP(Ruimtestaat[[#This Row],[Code]],Locaties[#All],4,FALSE)</f>
        <v>Catharina van Renneslaan 35</v>
      </c>
      <c r="D192" s="243" t="str">
        <f>VLOOKUP(Ruimtestaat[[#This Row],[Code]],Locaties[#All],5,FALSE)</f>
        <v>7604 KV</v>
      </c>
      <c r="E192" s="243" t="str">
        <f>VLOOKUP(Ruimtestaat[[#This Row],[Code]],Locaties[#All],6,FALSE)</f>
        <v>Almelo</v>
      </c>
      <c r="F192" s="244"/>
      <c r="G192" s="200" t="s">
        <v>1055</v>
      </c>
      <c r="H192" s="200"/>
      <c r="I192" s="244" t="s">
        <v>1130</v>
      </c>
      <c r="J192" s="200">
        <v>21</v>
      </c>
      <c r="K192" s="243" t="s">
        <v>111</v>
      </c>
      <c r="L192" s="200" t="s">
        <v>1339</v>
      </c>
      <c r="M192" s="213"/>
      <c r="N192" s="213">
        <v>9.6999999999999993</v>
      </c>
      <c r="O192" s="243" t="str">
        <f>VLOOKUP(Ruimtestaat[[#This Row],[Ruimte code]],Ruimtegroepen[#All],4,FALSE)</f>
        <v>Niet in onderhoud</v>
      </c>
      <c r="P192" s="214"/>
      <c r="Q192" s="215"/>
      <c r="R192" s="215"/>
      <c r="S192" s="215">
        <f>IF(R192&gt;0,IF(RIGHT(Ruimtestaat[[#This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2" s="215">
        <f>IF(S192&gt;0,VLOOKUP($J192,Ruimtegroepen[],3,FALSE)*VLOOKUP($K192,Vloersoorten[],3,FALSE)*VLOOKUP($R192,Frequenties[],3,FALSE)*VLOOKUP($A192,Locaties[],3,FALSE),0)</f>
        <v>0</v>
      </c>
      <c r="U192" s="215">
        <f>Ruimtestaat[[#This Row],[Uitvoeringen werkdagen]]*Ruimtestaat[[#This Row],[Oppervlak (netto)]]</f>
        <v>0</v>
      </c>
      <c r="V192" s="259">
        <f>IF(T192&gt;0,Ruimtestaat[[#This Row],[Prest. (m2 /jaar) werkdagen]]/Ruimtestaat[[#This Row],[Norm (m2/uur) werkdagen]],0)</f>
        <v>0</v>
      </c>
      <c r="W192" s="260">
        <f>Ruimtestaat[[#This Row],[uren / jaar werkdagen]]*Tariefsopbouw!$D$38</f>
        <v>0</v>
      </c>
      <c r="X192" s="33"/>
      <c r="Y192" s="33">
        <f>IF(Ruimtestaat[[#This Row],[Frequentie weekend]]&gt;0,VALUE(LEFT(X192,1))*Q192,0)</f>
        <v>0</v>
      </c>
      <c r="Z192" s="33">
        <f>IF($Y192&gt;0,VLOOKUP($J192,Ruimtegroepen[],3,FALSE)*VLOOKUP($K192,Vloersoorten[],3,FALSE)*VLOOKUP($X192,Frequenties[],3,FALSE)*VLOOKUP(#REF!,Locaties[],3,FALSE),0)</f>
        <v>0</v>
      </c>
      <c r="AA192" s="33"/>
      <c r="AB192" s="33"/>
      <c r="AC192" s="33">
        <f>Ruimtestaat[[#This Row],[uren / jaar weekend]]*Tariefsopbouw!$D$40</f>
        <v>0</v>
      </c>
      <c r="AD192" s="88">
        <f>Ruimtestaat[[#This Row],[Prest. (m2 /jaar) weekend]]+Ruimtestaat[[#This Row],[Prest. (m2 /jaar) werkdagen]]</f>
        <v>0</v>
      </c>
      <c r="AE192" s="88">
        <f>Ruimtestaat[[#This Row],[uren / jaar weekend]]+Ruimtestaat[[#This Row],[uren / jaar werkdagen]]</f>
        <v>0</v>
      </c>
      <c r="AF192" s="89">
        <f>Ruimtestaat[[#This Row],[kosten / jaar weekend]]+Ruimtestaat[[#This Row],[kosten / jaar werkdagen]]</f>
        <v>0</v>
      </c>
    </row>
    <row r="193" spans="1:32" ht="15" customHeight="1">
      <c r="A193" s="200">
        <v>2</v>
      </c>
      <c r="B193" s="21" t="str">
        <f>VLOOKUP(Ruimtestaat[[#This Row],[Code]],Locaties[#All],2,FALSE)</f>
        <v>Stichting Facilitair Beheer Van Renneslaan</v>
      </c>
      <c r="C193" s="243" t="str">
        <f>VLOOKUP(Ruimtestaat[[#This Row],[Code]],Locaties[#All],4,FALSE)</f>
        <v>Catharina van Renneslaan 35</v>
      </c>
      <c r="D193" s="243" t="str">
        <f>VLOOKUP(Ruimtestaat[[#This Row],[Code]],Locaties[#All],5,FALSE)</f>
        <v>7604 KV</v>
      </c>
      <c r="E193" s="243" t="str">
        <f>VLOOKUP(Ruimtestaat[[#This Row],[Code]],Locaties[#All],6,FALSE)</f>
        <v>Almelo</v>
      </c>
      <c r="F193" s="244" t="s">
        <v>1342</v>
      </c>
      <c r="G193" s="200" t="s">
        <v>1055</v>
      </c>
      <c r="H193" s="200"/>
      <c r="I193" s="244" t="s">
        <v>1131</v>
      </c>
      <c r="J193" s="200">
        <v>1</v>
      </c>
      <c r="K193" s="243" t="s">
        <v>111</v>
      </c>
      <c r="L193" s="200" t="s">
        <v>1339</v>
      </c>
      <c r="M193" s="213">
        <v>20.5</v>
      </c>
      <c r="N193" s="213"/>
      <c r="O193" s="243" t="str">
        <f>VLOOKUP(Ruimtestaat[[#This Row],[Ruimte code]],Ruimtegroepen[#All],4,FALSE)</f>
        <v>V  (Verkeersruimte)</v>
      </c>
      <c r="P193" s="214"/>
      <c r="Q193" s="215">
        <v>40</v>
      </c>
      <c r="R193" s="215" t="s">
        <v>16</v>
      </c>
      <c r="S193" s="215">
        <f>IF(R193&gt;0,IF(RIGHT(Ruimtestaat[[#This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93" s="215">
        <f>IF(S193&gt;0,VLOOKUP($J193,Ruimtegroepen[],3,FALSE)*VLOOKUP($K193,Vloersoorten[],3,FALSE)*VLOOKUP($R193,Frequenties[],3,FALSE)*VLOOKUP($A193,Locaties[],3,FALSE),0)</f>
        <v>0</v>
      </c>
      <c r="U193" s="215">
        <f>Ruimtestaat[[#This Row],[Uitvoeringen werkdagen]]*Ruimtestaat[[#This Row],[Oppervlak (netto)]]</f>
        <v>246</v>
      </c>
      <c r="V193" s="259">
        <f>IF(T193&gt;0,Ruimtestaat[[#This Row],[Prest. (m2 /jaar) werkdagen]]/Ruimtestaat[[#This Row],[Norm (m2/uur) werkdagen]],0)</f>
        <v>0</v>
      </c>
      <c r="W193" s="260">
        <f>Ruimtestaat[[#This Row],[uren / jaar werkdagen]]*Tariefsopbouw!$D$38</f>
        <v>0</v>
      </c>
      <c r="X193" s="33"/>
      <c r="Y193" s="33">
        <f>IF(Ruimtestaat[[#This Row],[Frequentie weekend]]&gt;0,VALUE(LEFT(X193,1))*Q193,0)</f>
        <v>0</v>
      </c>
      <c r="Z193" s="33">
        <f>IF($Y193&gt;0,VLOOKUP($J193,Ruimtegroepen[],3,FALSE)*VLOOKUP($K193,Vloersoorten[],3,FALSE)*VLOOKUP($X193,Frequenties[],3,FALSE)*VLOOKUP(#REF!,Locaties[],3,FALSE),0)</f>
        <v>0</v>
      </c>
      <c r="AA193" s="33"/>
      <c r="AB193" s="33"/>
      <c r="AC193" s="33">
        <f>Ruimtestaat[[#This Row],[uren / jaar weekend]]*Tariefsopbouw!$D$40</f>
        <v>0</v>
      </c>
      <c r="AD193" s="88">
        <f>Ruimtestaat[[#This Row],[Prest. (m2 /jaar) weekend]]+Ruimtestaat[[#This Row],[Prest. (m2 /jaar) werkdagen]]</f>
        <v>246</v>
      </c>
      <c r="AE193" s="88">
        <f>Ruimtestaat[[#This Row],[uren / jaar weekend]]+Ruimtestaat[[#This Row],[uren / jaar werkdagen]]</f>
        <v>0</v>
      </c>
      <c r="AF193" s="89">
        <f>Ruimtestaat[[#This Row],[kosten / jaar weekend]]+Ruimtestaat[[#This Row],[kosten / jaar werkdagen]]</f>
        <v>0</v>
      </c>
    </row>
    <row r="194" spans="1:32" ht="15" customHeight="1">
      <c r="A194" s="200">
        <v>2</v>
      </c>
      <c r="B194" s="21" t="str">
        <f>VLOOKUP(Ruimtestaat[[#This Row],[Code]],Locaties[#All],2,FALSE)</f>
        <v>Stichting Facilitair Beheer Van Renneslaan</v>
      </c>
      <c r="C194" s="243" t="str">
        <f>VLOOKUP(Ruimtestaat[[#This Row],[Code]],Locaties[#All],4,FALSE)</f>
        <v>Catharina van Renneslaan 35</v>
      </c>
      <c r="D194" s="243" t="str">
        <f>VLOOKUP(Ruimtestaat[[#This Row],[Code]],Locaties[#All],5,FALSE)</f>
        <v>7604 KV</v>
      </c>
      <c r="E194" s="243" t="str">
        <f>VLOOKUP(Ruimtestaat[[#This Row],[Code]],Locaties[#All],6,FALSE)</f>
        <v>Almelo</v>
      </c>
      <c r="F194" s="244"/>
      <c r="G194" s="200" t="s">
        <v>1055</v>
      </c>
      <c r="H194" s="200"/>
      <c r="I194" s="244" t="s">
        <v>1132</v>
      </c>
      <c r="J194" s="243">
        <v>21</v>
      </c>
      <c r="K194" s="243" t="s">
        <v>111</v>
      </c>
      <c r="L194" s="200" t="s">
        <v>1339</v>
      </c>
      <c r="M194" s="213"/>
      <c r="N194" s="213">
        <v>82.7</v>
      </c>
      <c r="O194" s="243" t="str">
        <f>VLOOKUP(Ruimtestaat[[#This Row],[Ruimte code]],Ruimtegroepen[#All],4,FALSE)</f>
        <v>Niet in onderhoud</v>
      </c>
      <c r="P194" s="214"/>
      <c r="Q194" s="215"/>
      <c r="R194" s="215"/>
      <c r="S194" s="215">
        <f>IF(R194&gt;0,IF(RIGHT(Ruimtestaat[[#This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4" s="215">
        <f>IF(S194&gt;0,VLOOKUP($J194,Ruimtegroepen[],3,FALSE)*VLOOKUP($K194,Vloersoorten[],3,FALSE)*VLOOKUP($R194,Frequenties[],3,FALSE)*VLOOKUP($A194,Locaties[],3,FALSE),0)</f>
        <v>0</v>
      </c>
      <c r="U194" s="215">
        <f>Ruimtestaat[[#This Row],[Uitvoeringen werkdagen]]*Ruimtestaat[[#This Row],[Oppervlak (netto)]]</f>
        <v>0</v>
      </c>
      <c r="V194" s="259">
        <f>IF(T194&gt;0,Ruimtestaat[[#This Row],[Prest. (m2 /jaar) werkdagen]]/Ruimtestaat[[#This Row],[Norm (m2/uur) werkdagen]],0)</f>
        <v>0</v>
      </c>
      <c r="W194" s="260">
        <f>Ruimtestaat[[#This Row],[uren / jaar werkdagen]]*Tariefsopbouw!$D$38</f>
        <v>0</v>
      </c>
      <c r="X194" s="33"/>
      <c r="Y194" s="33">
        <f>IF(Ruimtestaat[[#This Row],[Frequentie weekend]]&gt;0,VALUE(LEFT(X194,1))*Q194,0)</f>
        <v>0</v>
      </c>
      <c r="Z194" s="33">
        <f>IF($Y194&gt;0,VLOOKUP($J194,Ruimtegroepen[],3,FALSE)*VLOOKUP($K194,Vloersoorten[],3,FALSE)*VLOOKUP($X194,Frequenties[],3,FALSE)*VLOOKUP(#REF!,Locaties[],3,FALSE),0)</f>
        <v>0</v>
      </c>
      <c r="AA194" s="33"/>
      <c r="AB194" s="33"/>
      <c r="AC194" s="33">
        <f>Ruimtestaat[[#This Row],[uren / jaar weekend]]*Tariefsopbouw!$D$40</f>
        <v>0</v>
      </c>
      <c r="AD194" s="88">
        <f>Ruimtestaat[[#This Row],[Prest. (m2 /jaar) weekend]]+Ruimtestaat[[#This Row],[Prest. (m2 /jaar) werkdagen]]</f>
        <v>0</v>
      </c>
      <c r="AE194" s="88">
        <f>Ruimtestaat[[#This Row],[uren / jaar weekend]]+Ruimtestaat[[#This Row],[uren / jaar werkdagen]]</f>
        <v>0</v>
      </c>
      <c r="AF194" s="89">
        <f>Ruimtestaat[[#This Row],[kosten / jaar weekend]]+Ruimtestaat[[#This Row],[kosten / jaar werkdagen]]</f>
        <v>0</v>
      </c>
    </row>
    <row r="195" spans="1:32" ht="15" customHeight="1">
      <c r="A195" s="200">
        <v>2</v>
      </c>
      <c r="B195" s="21" t="str">
        <f>VLOOKUP(Ruimtestaat[[#This Row],[Code]],Locaties[#All],2,FALSE)</f>
        <v>Stichting Facilitair Beheer Van Renneslaan</v>
      </c>
      <c r="C195" s="243" t="str">
        <f>VLOOKUP(Ruimtestaat[[#This Row],[Code]],Locaties[#All],4,FALSE)</f>
        <v>Catharina van Renneslaan 35</v>
      </c>
      <c r="D195" s="243" t="str">
        <f>VLOOKUP(Ruimtestaat[[#This Row],[Code]],Locaties[#All],5,FALSE)</f>
        <v>7604 KV</v>
      </c>
      <c r="E195" s="243" t="str">
        <f>VLOOKUP(Ruimtestaat[[#This Row],[Code]],Locaties[#All],6,FALSE)</f>
        <v>Almelo</v>
      </c>
      <c r="F195" s="244"/>
      <c r="G195" s="200" t="s">
        <v>1055</v>
      </c>
      <c r="H195" s="200"/>
      <c r="I195" s="244" t="s">
        <v>1133</v>
      </c>
      <c r="J195" s="243">
        <v>1</v>
      </c>
      <c r="K195" s="243" t="s">
        <v>111</v>
      </c>
      <c r="L195" s="200" t="s">
        <v>1339</v>
      </c>
      <c r="M195" s="213">
        <v>11.2</v>
      </c>
      <c r="N195" s="213"/>
      <c r="O195" s="243" t="str">
        <f>VLOOKUP(Ruimtestaat[[#This Row],[Ruimte code]],Ruimtegroepen[#All],4,FALSE)</f>
        <v>V  (Verkeersruimte)</v>
      </c>
      <c r="P195" s="214"/>
      <c r="Q195" s="215">
        <v>40</v>
      </c>
      <c r="R195" s="215" t="s">
        <v>16</v>
      </c>
      <c r="S195" s="215">
        <f>IF(R195&gt;0,IF(RIGHT(Ruimtestaat[[#This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95" s="215">
        <f>IF(S195&gt;0,VLOOKUP($J195,Ruimtegroepen[],3,FALSE)*VLOOKUP($K195,Vloersoorten[],3,FALSE)*VLOOKUP($R195,Frequenties[],3,FALSE)*VLOOKUP($A195,Locaties[],3,FALSE),0)</f>
        <v>0</v>
      </c>
      <c r="U195" s="215">
        <f>Ruimtestaat[[#This Row],[Uitvoeringen werkdagen]]*Ruimtestaat[[#This Row],[Oppervlak (netto)]]</f>
        <v>134.39999999999998</v>
      </c>
      <c r="V195" s="259">
        <f>IF(T195&gt;0,Ruimtestaat[[#This Row],[Prest. (m2 /jaar) werkdagen]]/Ruimtestaat[[#This Row],[Norm (m2/uur) werkdagen]],0)</f>
        <v>0</v>
      </c>
      <c r="W195" s="260">
        <f>Ruimtestaat[[#This Row],[uren / jaar werkdagen]]*Tariefsopbouw!$D$38</f>
        <v>0</v>
      </c>
      <c r="X195" s="33"/>
      <c r="Y195" s="33">
        <f>IF(Ruimtestaat[[#This Row],[Frequentie weekend]]&gt;0,VALUE(LEFT(X195,1))*Q195,0)</f>
        <v>0</v>
      </c>
      <c r="Z195" s="33">
        <f>IF($Y195&gt;0,VLOOKUP($J195,Ruimtegroepen[],3,FALSE)*VLOOKUP($K195,Vloersoorten[],3,FALSE)*VLOOKUP($X195,Frequenties[],3,FALSE)*VLOOKUP(#REF!,Locaties[],3,FALSE),0)</f>
        <v>0</v>
      </c>
      <c r="AA195" s="33"/>
      <c r="AB195" s="33"/>
      <c r="AC195" s="33">
        <f>Ruimtestaat[[#This Row],[uren / jaar weekend]]*Tariefsopbouw!$D$40</f>
        <v>0</v>
      </c>
      <c r="AD195" s="88">
        <f>Ruimtestaat[[#This Row],[Prest. (m2 /jaar) weekend]]+Ruimtestaat[[#This Row],[Prest. (m2 /jaar) werkdagen]]</f>
        <v>134.39999999999998</v>
      </c>
      <c r="AE195" s="88">
        <f>Ruimtestaat[[#This Row],[uren / jaar weekend]]+Ruimtestaat[[#This Row],[uren / jaar werkdagen]]</f>
        <v>0</v>
      </c>
      <c r="AF195" s="89">
        <f>Ruimtestaat[[#This Row],[kosten / jaar weekend]]+Ruimtestaat[[#This Row],[kosten / jaar werkdagen]]</f>
        <v>0</v>
      </c>
    </row>
    <row r="196" spans="1:32" ht="15" customHeight="1">
      <c r="A196" s="200">
        <v>2</v>
      </c>
      <c r="B196" s="21" t="str">
        <f>VLOOKUP(Ruimtestaat[[#This Row],[Code]],Locaties[#All],2,FALSE)</f>
        <v>Stichting Facilitair Beheer Van Renneslaan</v>
      </c>
      <c r="C196" s="243" t="str">
        <f>VLOOKUP(Ruimtestaat[[#This Row],[Code]],Locaties[#All],4,FALSE)</f>
        <v>Catharina van Renneslaan 35</v>
      </c>
      <c r="D196" s="243" t="str">
        <f>VLOOKUP(Ruimtestaat[[#This Row],[Code]],Locaties[#All],5,FALSE)</f>
        <v>7604 KV</v>
      </c>
      <c r="E196" s="243" t="str">
        <f>VLOOKUP(Ruimtestaat[[#This Row],[Code]],Locaties[#All],6,FALSE)</f>
        <v>Almelo</v>
      </c>
      <c r="F196" s="244"/>
      <c r="G196" s="200" t="s">
        <v>1055</v>
      </c>
      <c r="H196" s="200"/>
      <c r="I196" s="244" t="s">
        <v>1134</v>
      </c>
      <c r="J196" s="200">
        <v>21</v>
      </c>
      <c r="K196" s="243" t="s">
        <v>111</v>
      </c>
      <c r="L196" s="200" t="s">
        <v>1339</v>
      </c>
      <c r="M196" s="213"/>
      <c r="N196" s="213">
        <v>22.3</v>
      </c>
      <c r="O196" s="243" t="str">
        <f>VLOOKUP(Ruimtestaat[[#This Row],[Ruimte code]],Ruimtegroepen[#All],4,FALSE)</f>
        <v>Niet in onderhoud</v>
      </c>
      <c r="P196" s="214"/>
      <c r="Q196" s="215"/>
      <c r="R196" s="215"/>
      <c r="S196" s="215">
        <f>IF(R196&gt;0,IF(RIGHT(Ruimtestaat[[#This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196" s="215">
        <f>IF(S196&gt;0,VLOOKUP($J196,Ruimtegroepen[],3,FALSE)*VLOOKUP($K196,Vloersoorten[],3,FALSE)*VLOOKUP($R196,Frequenties[],3,FALSE)*VLOOKUP($A196,Locaties[],3,FALSE),0)</f>
        <v>0</v>
      </c>
      <c r="U196" s="215">
        <f>Ruimtestaat[[#This Row],[Uitvoeringen werkdagen]]*Ruimtestaat[[#This Row],[Oppervlak (netto)]]</f>
        <v>0</v>
      </c>
      <c r="V196" s="259">
        <f>IF(T196&gt;0,Ruimtestaat[[#This Row],[Prest. (m2 /jaar) werkdagen]]/Ruimtestaat[[#This Row],[Norm (m2/uur) werkdagen]],0)</f>
        <v>0</v>
      </c>
      <c r="W196" s="260">
        <f>Ruimtestaat[[#This Row],[uren / jaar werkdagen]]*Tariefsopbouw!$D$38</f>
        <v>0</v>
      </c>
      <c r="X196" s="33"/>
      <c r="Y196" s="33">
        <f>IF(Ruimtestaat[[#This Row],[Frequentie weekend]]&gt;0,VALUE(LEFT(X196,1))*Q196,0)</f>
        <v>0</v>
      </c>
      <c r="Z196" s="33">
        <f>IF($Y196&gt;0,VLOOKUP($J196,Ruimtegroepen[],3,FALSE)*VLOOKUP($K196,Vloersoorten[],3,FALSE)*VLOOKUP($X196,Frequenties[],3,FALSE)*VLOOKUP(#REF!,Locaties[],3,FALSE),0)</f>
        <v>0</v>
      </c>
      <c r="AA196" s="33"/>
      <c r="AB196" s="33"/>
      <c r="AC196" s="33">
        <f>Ruimtestaat[[#This Row],[uren / jaar weekend]]*Tariefsopbouw!$D$40</f>
        <v>0</v>
      </c>
      <c r="AD196" s="88">
        <f>Ruimtestaat[[#This Row],[Prest. (m2 /jaar) weekend]]+Ruimtestaat[[#This Row],[Prest. (m2 /jaar) werkdagen]]</f>
        <v>0</v>
      </c>
      <c r="AE196" s="88">
        <f>Ruimtestaat[[#This Row],[uren / jaar weekend]]+Ruimtestaat[[#This Row],[uren / jaar werkdagen]]</f>
        <v>0</v>
      </c>
      <c r="AF196" s="89">
        <f>Ruimtestaat[[#This Row],[kosten / jaar weekend]]+Ruimtestaat[[#This Row],[kosten / jaar werkdagen]]</f>
        <v>0</v>
      </c>
    </row>
    <row r="197" spans="1:32" ht="15" customHeight="1">
      <c r="A197" s="200">
        <v>2</v>
      </c>
      <c r="B197" s="21" t="str">
        <f>VLOOKUP(Ruimtestaat[[#This Row],[Code]],Locaties[#All],2,FALSE)</f>
        <v>Stichting Facilitair Beheer Van Renneslaan</v>
      </c>
      <c r="C197" s="243" t="str">
        <f>VLOOKUP(Ruimtestaat[[#This Row],[Code]],Locaties[#All],4,FALSE)</f>
        <v>Catharina van Renneslaan 35</v>
      </c>
      <c r="D197" s="243" t="str">
        <f>VLOOKUP(Ruimtestaat[[#This Row],[Code]],Locaties[#All],5,FALSE)</f>
        <v>7604 KV</v>
      </c>
      <c r="E197" s="243" t="str">
        <f>VLOOKUP(Ruimtestaat[[#This Row],[Code]],Locaties[#All],6,FALSE)</f>
        <v>Almelo</v>
      </c>
      <c r="F197" s="244"/>
      <c r="G197" s="200" t="s">
        <v>1055</v>
      </c>
      <c r="H197" s="200"/>
      <c r="I197" s="244" t="s">
        <v>1135</v>
      </c>
      <c r="J197" s="200">
        <v>1</v>
      </c>
      <c r="K197" s="243" t="s">
        <v>111</v>
      </c>
      <c r="L197" s="200" t="s">
        <v>1339</v>
      </c>
      <c r="M197" s="213">
        <v>20.5</v>
      </c>
      <c r="N197" s="213"/>
      <c r="O197" s="243" t="str">
        <f>VLOOKUP(Ruimtestaat[[#This Row],[Ruimte code]],Ruimtegroepen[#All],4,FALSE)</f>
        <v>V  (Verkeersruimte)</v>
      </c>
      <c r="P197" s="214"/>
      <c r="Q197" s="215">
        <v>40</v>
      </c>
      <c r="R197" s="215" t="s">
        <v>16</v>
      </c>
      <c r="S197" s="215">
        <f>IF(R197&gt;0,IF(RIGHT(Ruimtestaat[[#This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97" s="215">
        <f>IF(S197&gt;0,VLOOKUP($J197,Ruimtegroepen[],3,FALSE)*VLOOKUP($K197,Vloersoorten[],3,FALSE)*VLOOKUP($R197,Frequenties[],3,FALSE)*VLOOKUP($A197,Locaties[],3,FALSE),0)</f>
        <v>0</v>
      </c>
      <c r="U197" s="215">
        <f>Ruimtestaat[[#This Row],[Uitvoeringen werkdagen]]*Ruimtestaat[[#This Row],[Oppervlak (netto)]]</f>
        <v>246</v>
      </c>
      <c r="V197" s="259">
        <f>IF(T197&gt;0,Ruimtestaat[[#This Row],[Prest. (m2 /jaar) werkdagen]]/Ruimtestaat[[#This Row],[Norm (m2/uur) werkdagen]],0)</f>
        <v>0</v>
      </c>
      <c r="W197" s="260">
        <f>Ruimtestaat[[#This Row],[uren / jaar werkdagen]]*Tariefsopbouw!$D$38</f>
        <v>0</v>
      </c>
      <c r="X197" s="33"/>
      <c r="Y197" s="33">
        <f>IF(Ruimtestaat[[#This Row],[Frequentie weekend]]&gt;0,VALUE(LEFT(X197,1))*Q197,0)</f>
        <v>0</v>
      </c>
      <c r="Z197" s="33">
        <f>IF($Y197&gt;0,VLOOKUP($J197,Ruimtegroepen[],3,FALSE)*VLOOKUP($K197,Vloersoorten[],3,FALSE)*VLOOKUP($X197,Frequenties[],3,FALSE)*VLOOKUP(#REF!,Locaties[],3,FALSE),0)</f>
        <v>0</v>
      </c>
      <c r="AA197" s="33"/>
      <c r="AB197" s="33"/>
      <c r="AC197" s="33">
        <f>Ruimtestaat[[#This Row],[uren / jaar weekend]]*Tariefsopbouw!$D$40</f>
        <v>0</v>
      </c>
      <c r="AD197" s="88">
        <f>Ruimtestaat[[#This Row],[Prest. (m2 /jaar) weekend]]+Ruimtestaat[[#This Row],[Prest. (m2 /jaar) werkdagen]]</f>
        <v>246</v>
      </c>
      <c r="AE197" s="88">
        <f>Ruimtestaat[[#This Row],[uren / jaar weekend]]+Ruimtestaat[[#This Row],[uren / jaar werkdagen]]</f>
        <v>0</v>
      </c>
      <c r="AF197" s="89">
        <f>Ruimtestaat[[#This Row],[kosten / jaar weekend]]+Ruimtestaat[[#This Row],[kosten / jaar werkdagen]]</f>
        <v>0</v>
      </c>
    </row>
    <row r="198" spans="1:32" ht="15" customHeight="1">
      <c r="A198" s="200">
        <v>2</v>
      </c>
      <c r="B198" s="21" t="str">
        <f>VLOOKUP(Ruimtestaat[[#This Row],[Code]],Locaties[#All],2,FALSE)</f>
        <v>Stichting Facilitair Beheer Van Renneslaan</v>
      </c>
      <c r="C198" s="243" t="str">
        <f>VLOOKUP(Ruimtestaat[[#This Row],[Code]],Locaties[#All],4,FALSE)</f>
        <v>Catharina van Renneslaan 35</v>
      </c>
      <c r="D198" s="243" t="str">
        <f>VLOOKUP(Ruimtestaat[[#This Row],[Code]],Locaties[#All],5,FALSE)</f>
        <v>7604 KV</v>
      </c>
      <c r="E198" s="243" t="str">
        <f>VLOOKUP(Ruimtestaat[[#This Row],[Code]],Locaties[#All],6,FALSE)</f>
        <v>Almelo</v>
      </c>
      <c r="F198" s="244"/>
      <c r="G198" s="200" t="s">
        <v>1055</v>
      </c>
      <c r="H198" s="200"/>
      <c r="I198" s="244" t="s">
        <v>1136</v>
      </c>
      <c r="J198" s="200">
        <v>2</v>
      </c>
      <c r="K198" s="243" t="s">
        <v>111</v>
      </c>
      <c r="L198" s="200" t="s">
        <v>1339</v>
      </c>
      <c r="M198" s="213">
        <v>29</v>
      </c>
      <c r="N198" s="213"/>
      <c r="O198" s="243" t="str">
        <f>VLOOKUP(Ruimtestaat[[#This Row],[Ruimte code]],Ruimtegroepen[#All],4,FALSE)</f>
        <v>B  (Bureauruimte)</v>
      </c>
      <c r="P198" s="214"/>
      <c r="Q198" s="215">
        <v>40</v>
      </c>
      <c r="R198" s="215" t="s">
        <v>18</v>
      </c>
      <c r="S198" s="215">
        <f>IF(R198&gt;0,IF(RIGHT(Ruimtestaat[[#This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198" s="215">
        <f>IF(S198&gt;0,VLOOKUP($J198,Ruimtegroepen[],3,FALSE)*VLOOKUP($K198,Vloersoorten[],3,FALSE)*VLOOKUP($R198,Frequenties[],3,FALSE)*VLOOKUP($A198,Locaties[],3,FALSE),0)</f>
        <v>0</v>
      </c>
      <c r="U198" s="215">
        <f>Ruimtestaat[[#This Row],[Uitvoeringen werkdagen]]*Ruimtestaat[[#This Row],[Oppervlak (netto)]]</f>
        <v>3480</v>
      </c>
      <c r="V198" s="259">
        <f>IF(T198&gt;0,Ruimtestaat[[#This Row],[Prest. (m2 /jaar) werkdagen]]/Ruimtestaat[[#This Row],[Norm (m2/uur) werkdagen]],0)</f>
        <v>0</v>
      </c>
      <c r="W198" s="260">
        <f>Ruimtestaat[[#This Row],[uren / jaar werkdagen]]*Tariefsopbouw!$D$38</f>
        <v>0</v>
      </c>
      <c r="X198" s="33"/>
      <c r="Y198" s="33">
        <f>IF(Ruimtestaat[[#This Row],[Frequentie weekend]]&gt;0,VALUE(LEFT(X198,1))*Q198,0)</f>
        <v>0</v>
      </c>
      <c r="Z198" s="33">
        <f>IF($Y198&gt;0,VLOOKUP($J198,Ruimtegroepen[],3,FALSE)*VLOOKUP($K198,Vloersoorten[],3,FALSE)*VLOOKUP($X198,Frequenties[],3,FALSE)*VLOOKUP(#REF!,Locaties[],3,FALSE),0)</f>
        <v>0</v>
      </c>
      <c r="AA198" s="33"/>
      <c r="AB198" s="33"/>
      <c r="AC198" s="33">
        <f>Ruimtestaat[[#This Row],[uren / jaar weekend]]*Tariefsopbouw!$D$40</f>
        <v>0</v>
      </c>
      <c r="AD198" s="88">
        <f>Ruimtestaat[[#This Row],[Prest. (m2 /jaar) weekend]]+Ruimtestaat[[#This Row],[Prest. (m2 /jaar) werkdagen]]</f>
        <v>3480</v>
      </c>
      <c r="AE198" s="88">
        <f>Ruimtestaat[[#This Row],[uren / jaar weekend]]+Ruimtestaat[[#This Row],[uren / jaar werkdagen]]</f>
        <v>0</v>
      </c>
      <c r="AF198" s="89">
        <f>Ruimtestaat[[#This Row],[kosten / jaar weekend]]+Ruimtestaat[[#This Row],[kosten / jaar werkdagen]]</f>
        <v>0</v>
      </c>
    </row>
    <row r="199" spans="1:32" ht="15" customHeight="1">
      <c r="A199" s="200">
        <v>2</v>
      </c>
      <c r="B199" s="21" t="str">
        <f>VLOOKUP(Ruimtestaat[[#This Row],[Code]],Locaties[#All],2,FALSE)</f>
        <v>Stichting Facilitair Beheer Van Renneslaan</v>
      </c>
      <c r="C199" s="243" t="str">
        <f>VLOOKUP(Ruimtestaat[[#This Row],[Code]],Locaties[#All],4,FALSE)</f>
        <v>Catharina van Renneslaan 35</v>
      </c>
      <c r="D199" s="243" t="str">
        <f>VLOOKUP(Ruimtestaat[[#This Row],[Code]],Locaties[#All],5,FALSE)</f>
        <v>7604 KV</v>
      </c>
      <c r="E199" s="243" t="str">
        <f>VLOOKUP(Ruimtestaat[[#This Row],[Code]],Locaties[#All],6,FALSE)</f>
        <v>Almelo</v>
      </c>
      <c r="F199" s="244"/>
      <c r="G199" s="200" t="s">
        <v>1055</v>
      </c>
      <c r="H199" s="200"/>
      <c r="I199" s="244" t="s">
        <v>1137</v>
      </c>
      <c r="J199" s="200">
        <v>1</v>
      </c>
      <c r="K199" s="243" t="s">
        <v>111</v>
      </c>
      <c r="L199" s="200" t="s">
        <v>1339</v>
      </c>
      <c r="M199" s="213">
        <v>5.6</v>
      </c>
      <c r="N199" s="213"/>
      <c r="O199" s="243" t="str">
        <f>VLOOKUP(Ruimtestaat[[#This Row],[Ruimte code]],Ruimtegroepen[#All],4,FALSE)</f>
        <v>V  (Verkeersruimte)</v>
      </c>
      <c r="P199" s="214"/>
      <c r="Q199" s="215">
        <v>40</v>
      </c>
      <c r="R199" s="215" t="s">
        <v>16</v>
      </c>
      <c r="S199" s="215">
        <f>IF(R199&gt;0,IF(RIGHT(Ruimtestaat[[#This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199" s="215">
        <f>IF(S199&gt;0,VLOOKUP($J199,Ruimtegroepen[],3,FALSE)*VLOOKUP($K199,Vloersoorten[],3,FALSE)*VLOOKUP($R199,Frequenties[],3,FALSE)*VLOOKUP($A199,Locaties[],3,FALSE),0)</f>
        <v>0</v>
      </c>
      <c r="U199" s="215">
        <f>Ruimtestaat[[#This Row],[Uitvoeringen werkdagen]]*Ruimtestaat[[#This Row],[Oppervlak (netto)]]</f>
        <v>67.199999999999989</v>
      </c>
      <c r="V199" s="259">
        <f>IF(T199&gt;0,Ruimtestaat[[#This Row],[Prest. (m2 /jaar) werkdagen]]/Ruimtestaat[[#This Row],[Norm (m2/uur) werkdagen]],0)</f>
        <v>0</v>
      </c>
      <c r="W199" s="260">
        <f>Ruimtestaat[[#This Row],[uren / jaar werkdagen]]*Tariefsopbouw!$D$38</f>
        <v>0</v>
      </c>
      <c r="X199" s="33"/>
      <c r="Y199" s="33">
        <f>IF(Ruimtestaat[[#This Row],[Frequentie weekend]]&gt;0,VALUE(LEFT(X199,1))*Q199,0)</f>
        <v>0</v>
      </c>
      <c r="Z199" s="33">
        <f>IF($Y199&gt;0,VLOOKUP($J199,Ruimtegroepen[],3,FALSE)*VLOOKUP($K199,Vloersoorten[],3,FALSE)*VLOOKUP($X199,Frequenties[],3,FALSE)*VLOOKUP(#REF!,Locaties[],3,FALSE),0)</f>
        <v>0</v>
      </c>
      <c r="AA199" s="33"/>
      <c r="AB199" s="33"/>
      <c r="AC199" s="33">
        <f>Ruimtestaat[[#This Row],[uren / jaar weekend]]*Tariefsopbouw!$D$40</f>
        <v>0</v>
      </c>
      <c r="AD199" s="88">
        <f>Ruimtestaat[[#This Row],[Prest. (m2 /jaar) weekend]]+Ruimtestaat[[#This Row],[Prest. (m2 /jaar) werkdagen]]</f>
        <v>67.199999999999989</v>
      </c>
      <c r="AE199" s="88">
        <f>Ruimtestaat[[#This Row],[uren / jaar weekend]]+Ruimtestaat[[#This Row],[uren / jaar werkdagen]]</f>
        <v>0</v>
      </c>
      <c r="AF199" s="89">
        <f>Ruimtestaat[[#This Row],[kosten / jaar weekend]]+Ruimtestaat[[#This Row],[kosten / jaar werkdagen]]</f>
        <v>0</v>
      </c>
    </row>
    <row r="200" spans="1:32" ht="15" customHeight="1">
      <c r="A200" s="200">
        <v>2</v>
      </c>
      <c r="B200" s="21" t="str">
        <f>VLOOKUP(Ruimtestaat[[#This Row],[Code]],Locaties[#All],2,FALSE)</f>
        <v>Stichting Facilitair Beheer Van Renneslaan</v>
      </c>
      <c r="C200" s="243" t="str">
        <f>VLOOKUP(Ruimtestaat[[#This Row],[Code]],Locaties[#All],4,FALSE)</f>
        <v>Catharina van Renneslaan 35</v>
      </c>
      <c r="D200" s="243" t="str">
        <f>VLOOKUP(Ruimtestaat[[#This Row],[Code]],Locaties[#All],5,FALSE)</f>
        <v>7604 KV</v>
      </c>
      <c r="E200" s="243" t="str">
        <f>VLOOKUP(Ruimtestaat[[#This Row],[Code]],Locaties[#All],6,FALSE)</f>
        <v>Almelo</v>
      </c>
      <c r="F200" s="244"/>
      <c r="G200" s="200" t="s">
        <v>1055</v>
      </c>
      <c r="H200" s="200"/>
      <c r="I200" s="244" t="s">
        <v>1137</v>
      </c>
      <c r="J200" s="200">
        <v>1</v>
      </c>
      <c r="K200" s="243" t="s">
        <v>111</v>
      </c>
      <c r="L200" s="200" t="s">
        <v>1339</v>
      </c>
      <c r="M200" s="213">
        <v>13.1</v>
      </c>
      <c r="N200" s="213"/>
      <c r="O200" s="243" t="str">
        <f>VLOOKUP(Ruimtestaat[[#This Row],[Ruimte code]],Ruimtegroepen[#All],4,FALSE)</f>
        <v>V  (Verkeersruimte)</v>
      </c>
      <c r="P200" s="214"/>
      <c r="Q200" s="215">
        <v>40</v>
      </c>
      <c r="R200" s="215" t="s">
        <v>16</v>
      </c>
      <c r="S200" s="215">
        <f>IF(R200&gt;0,IF(RIGHT(Ruimtestaat[[#This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00" s="215">
        <f>IF(S200&gt;0,VLOOKUP($J200,Ruimtegroepen[],3,FALSE)*VLOOKUP($K200,Vloersoorten[],3,FALSE)*VLOOKUP($R200,Frequenties[],3,FALSE)*VLOOKUP($A200,Locaties[],3,FALSE),0)</f>
        <v>0</v>
      </c>
      <c r="U200" s="215">
        <f>Ruimtestaat[[#This Row],[Uitvoeringen werkdagen]]*Ruimtestaat[[#This Row],[Oppervlak (netto)]]</f>
        <v>157.19999999999999</v>
      </c>
      <c r="V200" s="259">
        <f>IF(T200&gt;0,Ruimtestaat[[#This Row],[Prest. (m2 /jaar) werkdagen]]/Ruimtestaat[[#This Row],[Norm (m2/uur) werkdagen]],0)</f>
        <v>0</v>
      </c>
      <c r="W200" s="260">
        <f>Ruimtestaat[[#This Row],[uren / jaar werkdagen]]*Tariefsopbouw!$D$38</f>
        <v>0</v>
      </c>
      <c r="X200" s="33"/>
      <c r="Y200" s="33">
        <f>IF(Ruimtestaat[[#This Row],[Frequentie weekend]]&gt;0,VALUE(LEFT(X200,1))*Q200,0)</f>
        <v>0</v>
      </c>
      <c r="Z200" s="33">
        <f>IF($Y200&gt;0,VLOOKUP($J200,Ruimtegroepen[],3,FALSE)*VLOOKUP($K200,Vloersoorten[],3,FALSE)*VLOOKUP($X200,Frequenties[],3,FALSE)*VLOOKUP(#REF!,Locaties[],3,FALSE),0)</f>
        <v>0</v>
      </c>
      <c r="AA200" s="33"/>
      <c r="AB200" s="33"/>
      <c r="AC200" s="33">
        <f>Ruimtestaat[[#This Row],[uren / jaar weekend]]*Tariefsopbouw!$D$40</f>
        <v>0</v>
      </c>
      <c r="AD200" s="88">
        <f>Ruimtestaat[[#This Row],[Prest. (m2 /jaar) weekend]]+Ruimtestaat[[#This Row],[Prest. (m2 /jaar) werkdagen]]</f>
        <v>157.19999999999999</v>
      </c>
      <c r="AE200" s="88">
        <f>Ruimtestaat[[#This Row],[uren / jaar weekend]]+Ruimtestaat[[#This Row],[uren / jaar werkdagen]]</f>
        <v>0</v>
      </c>
      <c r="AF200" s="89">
        <f>Ruimtestaat[[#This Row],[kosten / jaar weekend]]+Ruimtestaat[[#This Row],[kosten / jaar werkdagen]]</f>
        <v>0</v>
      </c>
    </row>
    <row r="201" spans="1:32" ht="15" customHeight="1">
      <c r="A201" s="200">
        <v>2</v>
      </c>
      <c r="B201" s="21" t="str">
        <f>VLOOKUP(Ruimtestaat[[#This Row],[Code]],Locaties[#All],2,FALSE)</f>
        <v>Stichting Facilitair Beheer Van Renneslaan</v>
      </c>
      <c r="C201" s="243" t="str">
        <f>VLOOKUP(Ruimtestaat[[#This Row],[Code]],Locaties[#All],4,FALSE)</f>
        <v>Catharina van Renneslaan 35</v>
      </c>
      <c r="D201" s="243" t="str">
        <f>VLOOKUP(Ruimtestaat[[#This Row],[Code]],Locaties[#All],5,FALSE)</f>
        <v>7604 KV</v>
      </c>
      <c r="E201" s="243" t="str">
        <f>VLOOKUP(Ruimtestaat[[#This Row],[Code]],Locaties[#All],6,FALSE)</f>
        <v>Almelo</v>
      </c>
      <c r="F201" s="244"/>
      <c r="G201" s="200" t="s">
        <v>1055</v>
      </c>
      <c r="H201" s="200"/>
      <c r="I201" s="244" t="s">
        <v>1138</v>
      </c>
      <c r="J201" s="200">
        <v>21</v>
      </c>
      <c r="K201" s="243" t="s">
        <v>111</v>
      </c>
      <c r="L201" s="200" t="s">
        <v>1339</v>
      </c>
      <c r="M201" s="213"/>
      <c r="N201" s="213">
        <v>791.5</v>
      </c>
      <c r="O201" s="243" t="str">
        <f>VLOOKUP(Ruimtestaat[[#This Row],[Ruimte code]],Ruimtegroepen[#All],4,FALSE)</f>
        <v>Niet in onderhoud</v>
      </c>
      <c r="P201" s="214"/>
      <c r="Q201" s="215"/>
      <c r="R201" s="215"/>
      <c r="S201" s="215">
        <f>IF(R201&gt;0,IF(RIGHT(Ruimtestaat[[#This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01" s="215">
        <f>IF(S201&gt;0,VLOOKUP($J201,Ruimtegroepen[],3,FALSE)*VLOOKUP($K201,Vloersoorten[],3,FALSE)*VLOOKUP($R201,Frequenties[],3,FALSE)*VLOOKUP($A201,Locaties[],3,FALSE),0)</f>
        <v>0</v>
      </c>
      <c r="U201" s="215">
        <f>Ruimtestaat[[#This Row],[Uitvoeringen werkdagen]]*Ruimtestaat[[#This Row],[Oppervlak (netto)]]</f>
        <v>0</v>
      </c>
      <c r="V201" s="259">
        <f>IF(T201&gt;0,Ruimtestaat[[#This Row],[Prest. (m2 /jaar) werkdagen]]/Ruimtestaat[[#This Row],[Norm (m2/uur) werkdagen]],0)</f>
        <v>0</v>
      </c>
      <c r="W201" s="260">
        <f>Ruimtestaat[[#This Row],[uren / jaar werkdagen]]*Tariefsopbouw!$D$38</f>
        <v>0</v>
      </c>
      <c r="X201" s="33"/>
      <c r="Y201" s="33">
        <f>IF(Ruimtestaat[[#This Row],[Frequentie weekend]]&gt;0,VALUE(LEFT(X201,1))*Q201,0)</f>
        <v>0</v>
      </c>
      <c r="Z201" s="33">
        <f>IF($Y201&gt;0,VLOOKUP($J201,Ruimtegroepen[],3,FALSE)*VLOOKUP($K201,Vloersoorten[],3,FALSE)*VLOOKUP($X201,Frequenties[],3,FALSE)*VLOOKUP(#REF!,Locaties[],3,FALSE),0)</f>
        <v>0</v>
      </c>
      <c r="AA201" s="33"/>
      <c r="AB201" s="33"/>
      <c r="AC201" s="33">
        <f>Ruimtestaat[[#This Row],[uren / jaar weekend]]*Tariefsopbouw!$D$40</f>
        <v>0</v>
      </c>
      <c r="AD201" s="88">
        <f>Ruimtestaat[[#This Row],[Prest. (m2 /jaar) weekend]]+Ruimtestaat[[#This Row],[Prest. (m2 /jaar) werkdagen]]</f>
        <v>0</v>
      </c>
      <c r="AE201" s="88">
        <f>Ruimtestaat[[#This Row],[uren / jaar weekend]]+Ruimtestaat[[#This Row],[uren / jaar werkdagen]]</f>
        <v>0</v>
      </c>
      <c r="AF201" s="89">
        <f>Ruimtestaat[[#This Row],[kosten / jaar weekend]]+Ruimtestaat[[#This Row],[kosten / jaar werkdagen]]</f>
        <v>0</v>
      </c>
    </row>
    <row r="202" spans="1:32" ht="15" customHeight="1">
      <c r="A202" s="200">
        <v>2</v>
      </c>
      <c r="B202" s="21" t="str">
        <f>VLOOKUP(Ruimtestaat[[#This Row],[Code]],Locaties[#All],2,FALSE)</f>
        <v>Stichting Facilitair Beheer Van Renneslaan</v>
      </c>
      <c r="C202" s="243" t="str">
        <f>VLOOKUP(Ruimtestaat[[#This Row],[Code]],Locaties[#All],4,FALSE)</f>
        <v>Catharina van Renneslaan 35</v>
      </c>
      <c r="D202" s="243" t="str">
        <f>VLOOKUP(Ruimtestaat[[#This Row],[Code]],Locaties[#All],5,FALSE)</f>
        <v>7604 KV</v>
      </c>
      <c r="E202" s="243" t="str">
        <f>VLOOKUP(Ruimtestaat[[#This Row],[Code]],Locaties[#All],6,FALSE)</f>
        <v>Almelo</v>
      </c>
      <c r="F202" s="244"/>
      <c r="G202" s="200" t="s">
        <v>1055</v>
      </c>
      <c r="H202" s="200"/>
      <c r="I202" s="244" t="s">
        <v>1139</v>
      </c>
      <c r="J202" s="200">
        <v>1</v>
      </c>
      <c r="K202" s="243" t="s">
        <v>111</v>
      </c>
      <c r="L202" s="200" t="s">
        <v>1339</v>
      </c>
      <c r="M202" s="213">
        <v>30</v>
      </c>
      <c r="N202" s="213"/>
      <c r="O202" s="243" t="str">
        <f>VLOOKUP(Ruimtestaat[[#This Row],[Ruimte code]],Ruimtegroepen[#All],4,FALSE)</f>
        <v>V  (Verkeersruimte)</v>
      </c>
      <c r="P202" s="214"/>
      <c r="Q202" s="215">
        <v>40</v>
      </c>
      <c r="R202" s="215" t="s">
        <v>16</v>
      </c>
      <c r="S202" s="215">
        <f>IF(R202&gt;0,IF(RIGHT(Ruimtestaat[[#This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02" s="215">
        <f>IF(S202&gt;0,VLOOKUP($J202,Ruimtegroepen[],3,FALSE)*VLOOKUP($K202,Vloersoorten[],3,FALSE)*VLOOKUP($R202,Frequenties[],3,FALSE)*VLOOKUP($A202,Locaties[],3,FALSE),0)</f>
        <v>0</v>
      </c>
      <c r="U202" s="215">
        <f>Ruimtestaat[[#This Row],[Uitvoeringen werkdagen]]*Ruimtestaat[[#This Row],[Oppervlak (netto)]]</f>
        <v>360</v>
      </c>
      <c r="V202" s="259">
        <f>IF(T202&gt;0,Ruimtestaat[[#This Row],[Prest. (m2 /jaar) werkdagen]]/Ruimtestaat[[#This Row],[Norm (m2/uur) werkdagen]],0)</f>
        <v>0</v>
      </c>
      <c r="W202" s="260">
        <f>Ruimtestaat[[#This Row],[uren / jaar werkdagen]]*Tariefsopbouw!$D$38</f>
        <v>0</v>
      </c>
      <c r="X202" s="33"/>
      <c r="Y202" s="33">
        <f>IF(Ruimtestaat[[#This Row],[Frequentie weekend]]&gt;0,VALUE(LEFT(X202,1))*Q202,0)</f>
        <v>0</v>
      </c>
      <c r="Z202" s="33">
        <f>IF($Y202&gt;0,VLOOKUP($J202,Ruimtegroepen[],3,FALSE)*VLOOKUP($K202,Vloersoorten[],3,FALSE)*VLOOKUP($X202,Frequenties[],3,FALSE)*VLOOKUP(#REF!,Locaties[],3,FALSE),0)</f>
        <v>0</v>
      </c>
      <c r="AA202" s="33"/>
      <c r="AB202" s="33"/>
      <c r="AC202" s="33">
        <f>Ruimtestaat[[#This Row],[uren / jaar weekend]]*Tariefsopbouw!$D$40</f>
        <v>0</v>
      </c>
      <c r="AD202" s="88">
        <f>Ruimtestaat[[#This Row],[Prest. (m2 /jaar) weekend]]+Ruimtestaat[[#This Row],[Prest. (m2 /jaar) werkdagen]]</f>
        <v>360</v>
      </c>
      <c r="AE202" s="88">
        <f>Ruimtestaat[[#This Row],[uren / jaar weekend]]+Ruimtestaat[[#This Row],[uren / jaar werkdagen]]</f>
        <v>0</v>
      </c>
      <c r="AF202" s="89">
        <f>Ruimtestaat[[#This Row],[kosten / jaar weekend]]+Ruimtestaat[[#This Row],[kosten / jaar werkdagen]]</f>
        <v>0</v>
      </c>
    </row>
    <row r="203" spans="1:32" ht="15" customHeight="1">
      <c r="A203" s="200">
        <v>2</v>
      </c>
      <c r="B203" s="21" t="str">
        <f>VLOOKUP(Ruimtestaat[[#This Row],[Code]],Locaties[#All],2,FALSE)</f>
        <v>Stichting Facilitair Beheer Van Renneslaan</v>
      </c>
      <c r="C203" s="243" t="str">
        <f>VLOOKUP(Ruimtestaat[[#This Row],[Code]],Locaties[#All],4,FALSE)</f>
        <v>Catharina van Renneslaan 35</v>
      </c>
      <c r="D203" s="243" t="str">
        <f>VLOOKUP(Ruimtestaat[[#This Row],[Code]],Locaties[#All],5,FALSE)</f>
        <v>7604 KV</v>
      </c>
      <c r="E203" s="243" t="str">
        <f>VLOOKUP(Ruimtestaat[[#This Row],[Code]],Locaties[#All],6,FALSE)</f>
        <v>Almelo</v>
      </c>
      <c r="F203" s="244"/>
      <c r="G203" s="200" t="s">
        <v>1055</v>
      </c>
      <c r="H203" s="200"/>
      <c r="I203" s="244" t="s">
        <v>1069</v>
      </c>
      <c r="J203" s="200">
        <v>10</v>
      </c>
      <c r="K203" s="243" t="s">
        <v>111</v>
      </c>
      <c r="L203" s="200" t="s">
        <v>1339</v>
      </c>
      <c r="M203" s="213">
        <v>17.399999999999999</v>
      </c>
      <c r="N203" s="213"/>
      <c r="O203" s="243" t="str">
        <f>VLOOKUP(Ruimtestaat[[#This Row],[Ruimte code]],Ruimtegroepen[#All],4,FALSE)</f>
        <v>V  (Verkeersruimte)</v>
      </c>
      <c r="P203" s="214"/>
      <c r="Q203" s="215">
        <v>40</v>
      </c>
      <c r="R203" s="215" t="s">
        <v>2</v>
      </c>
      <c r="S203" s="215">
        <f>IF(R203&gt;0,IF(RIGHT(Ruimtestaat[[#This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3" s="215">
        <f>IF(S203&gt;0,VLOOKUP($J203,Ruimtegroepen[],3,FALSE)*VLOOKUP($K203,Vloersoorten[],3,FALSE)*VLOOKUP($R203,Frequenties[],3,FALSE)*VLOOKUP($A203,Locaties[],3,FALSE),0)</f>
        <v>0</v>
      </c>
      <c r="U203" s="215">
        <f>Ruimtestaat[[#This Row],[Uitvoeringen werkdagen]]*Ruimtestaat[[#This Row],[Oppervlak (netto)]]</f>
        <v>3479.9999999999995</v>
      </c>
      <c r="V203" s="259">
        <f>IF(T203&gt;0,Ruimtestaat[[#This Row],[Prest. (m2 /jaar) werkdagen]]/Ruimtestaat[[#This Row],[Norm (m2/uur) werkdagen]],0)</f>
        <v>0</v>
      </c>
      <c r="W203" s="260">
        <f>Ruimtestaat[[#This Row],[uren / jaar werkdagen]]*Tariefsopbouw!$D$38</f>
        <v>0</v>
      </c>
      <c r="X203" s="33"/>
      <c r="Y203" s="33">
        <f>IF(Ruimtestaat[[#This Row],[Frequentie weekend]]&gt;0,VALUE(LEFT(X203,1))*Q203,0)</f>
        <v>0</v>
      </c>
      <c r="Z203" s="33">
        <f>IF($Y203&gt;0,VLOOKUP($J203,Ruimtegroepen[],3,FALSE)*VLOOKUP($K203,Vloersoorten[],3,FALSE)*VLOOKUP($X203,Frequenties[],3,FALSE)*VLOOKUP(#REF!,Locaties[],3,FALSE),0)</f>
        <v>0</v>
      </c>
      <c r="AA203" s="33"/>
      <c r="AB203" s="33"/>
      <c r="AC203" s="33">
        <f>Ruimtestaat[[#This Row],[uren / jaar weekend]]*Tariefsopbouw!$D$40</f>
        <v>0</v>
      </c>
      <c r="AD203" s="88">
        <f>Ruimtestaat[[#This Row],[Prest. (m2 /jaar) weekend]]+Ruimtestaat[[#This Row],[Prest. (m2 /jaar) werkdagen]]</f>
        <v>3479.9999999999995</v>
      </c>
      <c r="AE203" s="88">
        <f>Ruimtestaat[[#This Row],[uren / jaar weekend]]+Ruimtestaat[[#This Row],[uren / jaar werkdagen]]</f>
        <v>0</v>
      </c>
      <c r="AF203" s="89">
        <f>Ruimtestaat[[#This Row],[kosten / jaar weekend]]+Ruimtestaat[[#This Row],[kosten / jaar werkdagen]]</f>
        <v>0</v>
      </c>
    </row>
    <row r="204" spans="1:32" ht="15" customHeight="1">
      <c r="A204" s="200">
        <v>2</v>
      </c>
      <c r="B204" s="21" t="str">
        <f>VLOOKUP(Ruimtestaat[[#This Row],[Code]],Locaties[#All],2,FALSE)</f>
        <v>Stichting Facilitair Beheer Van Renneslaan</v>
      </c>
      <c r="C204" s="243" t="str">
        <f>VLOOKUP(Ruimtestaat[[#This Row],[Code]],Locaties[#All],4,FALSE)</f>
        <v>Catharina van Renneslaan 35</v>
      </c>
      <c r="D204" s="243" t="str">
        <f>VLOOKUP(Ruimtestaat[[#This Row],[Code]],Locaties[#All],5,FALSE)</f>
        <v>7604 KV</v>
      </c>
      <c r="E204" s="243" t="str">
        <f>VLOOKUP(Ruimtestaat[[#This Row],[Code]],Locaties[#All],6,FALSE)</f>
        <v>Almelo</v>
      </c>
      <c r="F204" s="244"/>
      <c r="G204" s="200" t="s">
        <v>1055</v>
      </c>
      <c r="H204" s="200"/>
      <c r="I204" s="244" t="s">
        <v>1069</v>
      </c>
      <c r="J204" s="200">
        <v>10</v>
      </c>
      <c r="K204" s="243" t="s">
        <v>111</v>
      </c>
      <c r="L204" s="200" t="s">
        <v>1339</v>
      </c>
      <c r="M204" s="213">
        <v>7.5</v>
      </c>
      <c r="N204" s="213"/>
      <c r="O204" s="243" t="str">
        <f>VLOOKUP(Ruimtestaat[[#This Row],[Ruimte code]],Ruimtegroepen[#All],4,FALSE)</f>
        <v>V  (Verkeersruimte)</v>
      </c>
      <c r="P204" s="214"/>
      <c r="Q204" s="215">
        <v>40</v>
      </c>
      <c r="R204" s="215" t="s">
        <v>2</v>
      </c>
      <c r="S204" s="215">
        <f>IF(R204&gt;0,IF(RIGHT(Ruimtestaat[[#This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4" s="215">
        <f>IF(S204&gt;0,VLOOKUP($J204,Ruimtegroepen[],3,FALSE)*VLOOKUP($K204,Vloersoorten[],3,FALSE)*VLOOKUP($R204,Frequenties[],3,FALSE)*VLOOKUP($A204,Locaties[],3,FALSE),0)</f>
        <v>0</v>
      </c>
      <c r="U204" s="215">
        <f>Ruimtestaat[[#This Row],[Uitvoeringen werkdagen]]*Ruimtestaat[[#This Row],[Oppervlak (netto)]]</f>
        <v>1500</v>
      </c>
      <c r="V204" s="259">
        <f>IF(T204&gt;0,Ruimtestaat[[#This Row],[Prest. (m2 /jaar) werkdagen]]/Ruimtestaat[[#This Row],[Norm (m2/uur) werkdagen]],0)</f>
        <v>0</v>
      </c>
      <c r="W204" s="260">
        <f>Ruimtestaat[[#This Row],[uren / jaar werkdagen]]*Tariefsopbouw!$D$38</f>
        <v>0</v>
      </c>
      <c r="X204" s="33"/>
      <c r="Y204" s="33">
        <f>IF(Ruimtestaat[[#This Row],[Frequentie weekend]]&gt;0,VALUE(LEFT(X204,1))*Q204,0)</f>
        <v>0</v>
      </c>
      <c r="Z204" s="33">
        <f>IF($Y204&gt;0,VLOOKUP($J204,Ruimtegroepen[],3,FALSE)*VLOOKUP($K204,Vloersoorten[],3,FALSE)*VLOOKUP($X204,Frequenties[],3,FALSE)*VLOOKUP(#REF!,Locaties[],3,FALSE),0)</f>
        <v>0</v>
      </c>
      <c r="AA204" s="33"/>
      <c r="AB204" s="33"/>
      <c r="AC204" s="33">
        <f>Ruimtestaat[[#This Row],[uren / jaar weekend]]*Tariefsopbouw!$D$40</f>
        <v>0</v>
      </c>
      <c r="AD204" s="88">
        <f>Ruimtestaat[[#This Row],[Prest. (m2 /jaar) weekend]]+Ruimtestaat[[#This Row],[Prest. (m2 /jaar) werkdagen]]</f>
        <v>1500</v>
      </c>
      <c r="AE204" s="88">
        <f>Ruimtestaat[[#This Row],[uren / jaar weekend]]+Ruimtestaat[[#This Row],[uren / jaar werkdagen]]</f>
        <v>0</v>
      </c>
      <c r="AF204" s="89">
        <f>Ruimtestaat[[#This Row],[kosten / jaar weekend]]+Ruimtestaat[[#This Row],[kosten / jaar werkdagen]]</f>
        <v>0</v>
      </c>
    </row>
    <row r="205" spans="1:32" ht="15" customHeight="1">
      <c r="A205" s="200">
        <v>2</v>
      </c>
      <c r="B205" s="21" t="str">
        <f>VLOOKUP(Ruimtestaat[[#This Row],[Code]],Locaties[#All],2,FALSE)</f>
        <v>Stichting Facilitair Beheer Van Renneslaan</v>
      </c>
      <c r="C205" s="243" t="str">
        <f>VLOOKUP(Ruimtestaat[[#This Row],[Code]],Locaties[#All],4,FALSE)</f>
        <v>Catharina van Renneslaan 35</v>
      </c>
      <c r="D205" s="243" t="str">
        <f>VLOOKUP(Ruimtestaat[[#This Row],[Code]],Locaties[#All],5,FALSE)</f>
        <v>7604 KV</v>
      </c>
      <c r="E205" s="243" t="str">
        <f>VLOOKUP(Ruimtestaat[[#This Row],[Code]],Locaties[#All],6,FALSE)</f>
        <v>Almelo</v>
      </c>
      <c r="F205" s="244" t="s">
        <v>1343</v>
      </c>
      <c r="G205" s="200" t="s">
        <v>1336</v>
      </c>
      <c r="H205" s="200"/>
      <c r="I205" s="244" t="s">
        <v>1140</v>
      </c>
      <c r="J205" s="263">
        <v>11</v>
      </c>
      <c r="K205" s="243" t="s">
        <v>111</v>
      </c>
      <c r="L205" s="200" t="s">
        <v>1339</v>
      </c>
      <c r="M205" s="213">
        <v>234</v>
      </c>
      <c r="N205" s="213"/>
      <c r="O205" s="243" t="str">
        <f>VLOOKUP(Ruimtestaat[[#This Row],[Ruimte code]],Ruimtegroepen[#All],4,FALSE)</f>
        <v>L  (Lesruimte)</v>
      </c>
      <c r="P205" s="214"/>
      <c r="Q205" s="215">
        <v>40</v>
      </c>
      <c r="R205" s="215" t="s">
        <v>2</v>
      </c>
      <c r="S205" s="215">
        <f>IF(R205&gt;0,IF(RIGHT(Ruimtestaat[[#This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5" s="215">
        <f>IF(S205&gt;0,VLOOKUP($J205,Ruimtegroepen[],3,FALSE)*VLOOKUP($K205,Vloersoorten[],3,FALSE)*VLOOKUP($R205,Frequenties[],3,FALSE)*VLOOKUP($A205,Locaties[],3,FALSE),0)</f>
        <v>0</v>
      </c>
      <c r="U205" s="215">
        <f>Ruimtestaat[[#This Row],[Uitvoeringen werkdagen]]*Ruimtestaat[[#This Row],[Oppervlak (netto)]]</f>
        <v>46800</v>
      </c>
      <c r="V205" s="259">
        <f>IF(T205&gt;0,Ruimtestaat[[#This Row],[Prest. (m2 /jaar) werkdagen]]/Ruimtestaat[[#This Row],[Norm (m2/uur) werkdagen]],0)</f>
        <v>0</v>
      </c>
      <c r="W205" s="260">
        <f>Ruimtestaat[[#This Row],[uren / jaar werkdagen]]*Tariefsopbouw!$D$38</f>
        <v>0</v>
      </c>
      <c r="X205" s="33"/>
      <c r="Y205" s="33">
        <f>IF(Ruimtestaat[[#This Row],[Frequentie weekend]]&gt;0,VALUE(LEFT(X205,1))*Q205,0)</f>
        <v>0</v>
      </c>
      <c r="Z205" s="33">
        <f>IF($Y205&gt;0,VLOOKUP($J205,Ruimtegroepen[],3,FALSE)*VLOOKUP($K205,Vloersoorten[],3,FALSE)*VLOOKUP($X205,Frequenties[],3,FALSE)*VLOOKUP(#REF!,Locaties[],3,FALSE),0)</f>
        <v>0</v>
      </c>
      <c r="AA205" s="33"/>
      <c r="AB205" s="33"/>
      <c r="AC205" s="33">
        <f>Ruimtestaat[[#This Row],[uren / jaar weekend]]*Tariefsopbouw!$D$40</f>
        <v>0</v>
      </c>
      <c r="AD205" s="88">
        <f>Ruimtestaat[[#This Row],[Prest. (m2 /jaar) weekend]]+Ruimtestaat[[#This Row],[Prest. (m2 /jaar) werkdagen]]</f>
        <v>46800</v>
      </c>
      <c r="AE205" s="88">
        <f>Ruimtestaat[[#This Row],[uren / jaar weekend]]+Ruimtestaat[[#This Row],[uren / jaar werkdagen]]</f>
        <v>0</v>
      </c>
      <c r="AF205" s="89">
        <f>Ruimtestaat[[#This Row],[kosten / jaar weekend]]+Ruimtestaat[[#This Row],[kosten / jaar werkdagen]]</f>
        <v>0</v>
      </c>
    </row>
    <row r="206" spans="1:32" ht="15" customHeight="1">
      <c r="A206" s="200">
        <v>2</v>
      </c>
      <c r="B206" s="21" t="str">
        <f>VLOOKUP(Ruimtestaat[[#This Row],[Code]],Locaties[#All],2,FALSE)</f>
        <v>Stichting Facilitair Beheer Van Renneslaan</v>
      </c>
      <c r="C206" s="243" t="str">
        <f>VLOOKUP(Ruimtestaat[[#This Row],[Code]],Locaties[#All],4,FALSE)</f>
        <v>Catharina van Renneslaan 35</v>
      </c>
      <c r="D206" s="243" t="str">
        <f>VLOOKUP(Ruimtestaat[[#This Row],[Code]],Locaties[#All],5,FALSE)</f>
        <v>7604 KV</v>
      </c>
      <c r="E206" s="243" t="str">
        <f>VLOOKUP(Ruimtestaat[[#This Row],[Code]],Locaties[#All],6,FALSE)</f>
        <v>Almelo</v>
      </c>
      <c r="F206" s="244" t="s">
        <v>1343</v>
      </c>
      <c r="G206" s="200" t="s">
        <v>1336</v>
      </c>
      <c r="H206" s="200"/>
      <c r="I206" s="244" t="s">
        <v>1141</v>
      </c>
      <c r="J206" s="200">
        <v>11</v>
      </c>
      <c r="K206" s="243" t="s">
        <v>111</v>
      </c>
      <c r="L206" s="200" t="s">
        <v>1339</v>
      </c>
      <c r="M206" s="213">
        <v>87</v>
      </c>
      <c r="N206" s="213"/>
      <c r="O206" s="243" t="str">
        <f>VLOOKUP(Ruimtestaat[[#This Row],[Ruimte code]],Ruimtegroepen[#All],4,FALSE)</f>
        <v>L  (Lesruimte)</v>
      </c>
      <c r="P206" s="214"/>
      <c r="Q206" s="215">
        <v>40</v>
      </c>
      <c r="R206" s="215" t="s">
        <v>2</v>
      </c>
      <c r="S206" s="215">
        <f>IF(R206&gt;0,IF(RIGHT(Ruimtestaat[[#This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6" s="215">
        <f>IF(S206&gt;0,VLOOKUP($J206,Ruimtegroepen[],3,FALSE)*VLOOKUP($K206,Vloersoorten[],3,FALSE)*VLOOKUP($R206,Frequenties[],3,FALSE)*VLOOKUP($A206,Locaties[],3,FALSE),0)</f>
        <v>0</v>
      </c>
      <c r="U206" s="215">
        <f>Ruimtestaat[[#This Row],[Uitvoeringen werkdagen]]*Ruimtestaat[[#This Row],[Oppervlak (netto)]]</f>
        <v>17400</v>
      </c>
      <c r="V206" s="259">
        <f>IF(T206&gt;0,Ruimtestaat[[#This Row],[Prest. (m2 /jaar) werkdagen]]/Ruimtestaat[[#This Row],[Norm (m2/uur) werkdagen]],0)</f>
        <v>0</v>
      </c>
      <c r="W206" s="260">
        <f>Ruimtestaat[[#This Row],[uren / jaar werkdagen]]*Tariefsopbouw!$D$38</f>
        <v>0</v>
      </c>
      <c r="X206" s="33"/>
      <c r="Y206" s="33">
        <f>IF(Ruimtestaat[[#This Row],[Frequentie weekend]]&gt;0,VALUE(LEFT(X206,1))*Q206,0)</f>
        <v>0</v>
      </c>
      <c r="Z206" s="33">
        <f>IF($Y206&gt;0,VLOOKUP($J206,Ruimtegroepen[],3,FALSE)*VLOOKUP($K206,Vloersoorten[],3,FALSE)*VLOOKUP($X206,Frequenties[],3,FALSE)*VLOOKUP(#REF!,Locaties[],3,FALSE),0)</f>
        <v>0</v>
      </c>
      <c r="AA206" s="33"/>
      <c r="AB206" s="33"/>
      <c r="AC206" s="33">
        <f>Ruimtestaat[[#This Row],[uren / jaar weekend]]*Tariefsopbouw!$D$40</f>
        <v>0</v>
      </c>
      <c r="AD206" s="88">
        <f>Ruimtestaat[[#This Row],[Prest. (m2 /jaar) weekend]]+Ruimtestaat[[#This Row],[Prest. (m2 /jaar) werkdagen]]</f>
        <v>17400</v>
      </c>
      <c r="AE206" s="88">
        <f>Ruimtestaat[[#This Row],[uren / jaar weekend]]+Ruimtestaat[[#This Row],[uren / jaar werkdagen]]</f>
        <v>0</v>
      </c>
      <c r="AF206" s="89">
        <f>Ruimtestaat[[#This Row],[kosten / jaar weekend]]+Ruimtestaat[[#This Row],[kosten / jaar werkdagen]]</f>
        <v>0</v>
      </c>
    </row>
    <row r="207" spans="1:32" ht="15" customHeight="1">
      <c r="A207" s="200">
        <v>2</v>
      </c>
      <c r="B207" s="21" t="str">
        <f>VLOOKUP(Ruimtestaat[[#This Row],[Code]],Locaties[#All],2,FALSE)</f>
        <v>Stichting Facilitair Beheer Van Renneslaan</v>
      </c>
      <c r="C207" s="243" t="str">
        <f>VLOOKUP(Ruimtestaat[[#This Row],[Code]],Locaties[#All],4,FALSE)</f>
        <v>Catharina van Renneslaan 35</v>
      </c>
      <c r="D207" s="243" t="str">
        <f>VLOOKUP(Ruimtestaat[[#This Row],[Code]],Locaties[#All],5,FALSE)</f>
        <v>7604 KV</v>
      </c>
      <c r="E207" s="243" t="str">
        <f>VLOOKUP(Ruimtestaat[[#This Row],[Code]],Locaties[#All],6,FALSE)</f>
        <v>Almelo</v>
      </c>
      <c r="F207" s="244"/>
      <c r="G207" s="200" t="s">
        <v>1336</v>
      </c>
      <c r="H207" s="200"/>
      <c r="I207" s="244" t="s">
        <v>1142</v>
      </c>
      <c r="J207" s="200">
        <v>11</v>
      </c>
      <c r="K207" s="243" t="s">
        <v>111</v>
      </c>
      <c r="L207" s="200" t="s">
        <v>1339</v>
      </c>
      <c r="M207" s="213">
        <v>610</v>
      </c>
      <c r="N207" s="213"/>
      <c r="O207" s="243" t="str">
        <f>VLOOKUP(Ruimtestaat[[#This Row],[Ruimte code]],Ruimtegroepen[#All],4,FALSE)</f>
        <v>L  (Lesruimte)</v>
      </c>
      <c r="P207" s="214"/>
      <c r="Q207" s="215">
        <v>40</v>
      </c>
      <c r="R207" s="215" t="s">
        <v>2</v>
      </c>
      <c r="S207" s="215">
        <f>IF(R207&gt;0,IF(RIGHT(Ruimtestaat[[#This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7" s="215">
        <f>IF(S207&gt;0,VLOOKUP($J207,Ruimtegroepen[],3,FALSE)*VLOOKUP($K207,Vloersoorten[],3,FALSE)*VLOOKUP($R207,Frequenties[],3,FALSE)*VLOOKUP($A207,Locaties[],3,FALSE),0)</f>
        <v>0</v>
      </c>
      <c r="U207" s="215">
        <f>Ruimtestaat[[#This Row],[Uitvoeringen werkdagen]]*Ruimtestaat[[#This Row],[Oppervlak (netto)]]</f>
        <v>122000</v>
      </c>
      <c r="V207" s="259">
        <f>IF(T207&gt;0,Ruimtestaat[[#This Row],[Prest. (m2 /jaar) werkdagen]]/Ruimtestaat[[#This Row],[Norm (m2/uur) werkdagen]],0)</f>
        <v>0</v>
      </c>
      <c r="W207" s="260">
        <f>Ruimtestaat[[#This Row],[uren / jaar werkdagen]]*Tariefsopbouw!$D$38</f>
        <v>0</v>
      </c>
      <c r="X207" s="33"/>
      <c r="Y207" s="33">
        <f>IF(Ruimtestaat[[#This Row],[Frequentie weekend]]&gt;0,VALUE(LEFT(X207,1))*Q207,0)</f>
        <v>0</v>
      </c>
      <c r="Z207" s="33">
        <f>IF($Y207&gt;0,VLOOKUP($J207,Ruimtegroepen[],3,FALSE)*VLOOKUP($K207,Vloersoorten[],3,FALSE)*VLOOKUP($X207,Frequenties[],3,FALSE)*VLOOKUP(#REF!,Locaties[],3,FALSE),0)</f>
        <v>0</v>
      </c>
      <c r="AA207" s="33"/>
      <c r="AB207" s="33"/>
      <c r="AC207" s="33">
        <f>Ruimtestaat[[#This Row],[uren / jaar weekend]]*Tariefsopbouw!$D$40</f>
        <v>0</v>
      </c>
      <c r="AD207" s="88">
        <f>Ruimtestaat[[#This Row],[Prest. (m2 /jaar) weekend]]+Ruimtestaat[[#This Row],[Prest. (m2 /jaar) werkdagen]]</f>
        <v>122000</v>
      </c>
      <c r="AE207" s="88">
        <f>Ruimtestaat[[#This Row],[uren / jaar weekend]]+Ruimtestaat[[#This Row],[uren / jaar werkdagen]]</f>
        <v>0</v>
      </c>
      <c r="AF207" s="89">
        <f>Ruimtestaat[[#This Row],[kosten / jaar weekend]]+Ruimtestaat[[#This Row],[kosten / jaar werkdagen]]</f>
        <v>0</v>
      </c>
    </row>
    <row r="208" spans="1:32" ht="15" customHeight="1">
      <c r="A208" s="200">
        <v>2</v>
      </c>
      <c r="B208" s="21" t="str">
        <f>VLOOKUP(Ruimtestaat[[#This Row],[Code]],Locaties[#All],2,FALSE)</f>
        <v>Stichting Facilitair Beheer Van Renneslaan</v>
      </c>
      <c r="C208" s="243" t="str">
        <f>VLOOKUP(Ruimtestaat[[#This Row],[Code]],Locaties[#All],4,FALSE)</f>
        <v>Catharina van Renneslaan 35</v>
      </c>
      <c r="D208" s="243" t="str">
        <f>VLOOKUP(Ruimtestaat[[#This Row],[Code]],Locaties[#All],5,FALSE)</f>
        <v>7604 KV</v>
      </c>
      <c r="E208" s="243" t="str">
        <f>VLOOKUP(Ruimtestaat[[#This Row],[Code]],Locaties[#All],6,FALSE)</f>
        <v>Almelo</v>
      </c>
      <c r="F208" s="244" t="s">
        <v>1343</v>
      </c>
      <c r="G208" s="200" t="s">
        <v>1336</v>
      </c>
      <c r="H208" s="200"/>
      <c r="I208" s="244" t="s">
        <v>1143</v>
      </c>
      <c r="J208" s="200">
        <v>11</v>
      </c>
      <c r="K208" s="243" t="s">
        <v>111</v>
      </c>
      <c r="L208" s="200" t="s">
        <v>1339</v>
      </c>
      <c r="M208" s="213">
        <v>86.5</v>
      </c>
      <c r="N208" s="213"/>
      <c r="O208" s="243" t="str">
        <f>VLOOKUP(Ruimtestaat[[#This Row],[Ruimte code]],Ruimtegroepen[#All],4,FALSE)</f>
        <v>L  (Lesruimte)</v>
      </c>
      <c r="P208" s="214"/>
      <c r="Q208" s="215">
        <v>40</v>
      </c>
      <c r="R208" s="215" t="s">
        <v>2</v>
      </c>
      <c r="S208" s="215">
        <f>IF(R208&gt;0,IF(RIGHT(Ruimtestaat[[#This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8" s="215">
        <f>IF(S208&gt;0,VLOOKUP($J208,Ruimtegroepen[],3,FALSE)*VLOOKUP($K208,Vloersoorten[],3,FALSE)*VLOOKUP($R208,Frequenties[],3,FALSE)*VLOOKUP($A208,Locaties[],3,FALSE),0)</f>
        <v>0</v>
      </c>
      <c r="U208" s="215">
        <f>Ruimtestaat[[#This Row],[Uitvoeringen werkdagen]]*Ruimtestaat[[#This Row],[Oppervlak (netto)]]</f>
        <v>17300</v>
      </c>
      <c r="V208" s="259">
        <f>IF(T208&gt;0,Ruimtestaat[[#This Row],[Prest. (m2 /jaar) werkdagen]]/Ruimtestaat[[#This Row],[Norm (m2/uur) werkdagen]],0)</f>
        <v>0</v>
      </c>
      <c r="W208" s="260">
        <f>Ruimtestaat[[#This Row],[uren / jaar werkdagen]]*Tariefsopbouw!$D$38</f>
        <v>0</v>
      </c>
      <c r="X208" s="33"/>
      <c r="Y208" s="33">
        <f>IF(Ruimtestaat[[#This Row],[Frequentie weekend]]&gt;0,VALUE(LEFT(X208,1))*Q208,0)</f>
        <v>0</v>
      </c>
      <c r="Z208" s="33">
        <f>IF($Y208&gt;0,VLOOKUP($J208,Ruimtegroepen[],3,FALSE)*VLOOKUP($K208,Vloersoorten[],3,FALSE)*VLOOKUP($X208,Frequenties[],3,FALSE)*VLOOKUP(#REF!,Locaties[],3,FALSE),0)</f>
        <v>0</v>
      </c>
      <c r="AA208" s="33"/>
      <c r="AB208" s="33"/>
      <c r="AC208" s="33">
        <f>Ruimtestaat[[#This Row],[uren / jaar weekend]]*Tariefsopbouw!$D$40</f>
        <v>0</v>
      </c>
      <c r="AD208" s="88">
        <f>Ruimtestaat[[#This Row],[Prest. (m2 /jaar) weekend]]+Ruimtestaat[[#This Row],[Prest. (m2 /jaar) werkdagen]]</f>
        <v>17300</v>
      </c>
      <c r="AE208" s="88">
        <f>Ruimtestaat[[#This Row],[uren / jaar weekend]]+Ruimtestaat[[#This Row],[uren / jaar werkdagen]]</f>
        <v>0</v>
      </c>
      <c r="AF208" s="89">
        <f>Ruimtestaat[[#This Row],[kosten / jaar weekend]]+Ruimtestaat[[#This Row],[kosten / jaar werkdagen]]</f>
        <v>0</v>
      </c>
    </row>
    <row r="209" spans="1:32" ht="15" customHeight="1">
      <c r="A209" s="200">
        <v>2</v>
      </c>
      <c r="B209" s="21" t="str">
        <f>VLOOKUP(Ruimtestaat[[#This Row],[Code]],Locaties[#All],2,FALSE)</f>
        <v>Stichting Facilitair Beheer Van Renneslaan</v>
      </c>
      <c r="C209" s="243" t="str">
        <f>VLOOKUP(Ruimtestaat[[#This Row],[Code]],Locaties[#All],4,FALSE)</f>
        <v>Catharina van Renneslaan 35</v>
      </c>
      <c r="D209" s="243" t="str">
        <f>VLOOKUP(Ruimtestaat[[#This Row],[Code]],Locaties[#All],5,FALSE)</f>
        <v>7604 KV</v>
      </c>
      <c r="E209" s="243" t="str">
        <f>VLOOKUP(Ruimtestaat[[#This Row],[Code]],Locaties[#All],6,FALSE)</f>
        <v>Almelo</v>
      </c>
      <c r="F209" s="244"/>
      <c r="G209" s="200" t="s">
        <v>1336</v>
      </c>
      <c r="H209" s="200"/>
      <c r="I209" s="244" t="s">
        <v>1144</v>
      </c>
      <c r="J209" s="200">
        <v>11</v>
      </c>
      <c r="K209" s="243" t="s">
        <v>111</v>
      </c>
      <c r="L209" s="200" t="s">
        <v>1339</v>
      </c>
      <c r="M209" s="213">
        <v>119.3</v>
      </c>
      <c r="N209" s="213"/>
      <c r="O209" s="243" t="str">
        <f>VLOOKUP(Ruimtestaat[[#This Row],[Ruimte code]],Ruimtegroepen[#All],4,FALSE)</f>
        <v>L  (Lesruimte)</v>
      </c>
      <c r="P209" s="214"/>
      <c r="Q209" s="215">
        <v>40</v>
      </c>
      <c r="R209" s="215" t="s">
        <v>2</v>
      </c>
      <c r="S209" s="215">
        <f>IF(R209&gt;0,IF(RIGHT(Ruimtestaat[[#This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09" s="215">
        <f>IF(S209&gt;0,VLOOKUP($J209,Ruimtegroepen[],3,FALSE)*VLOOKUP($K209,Vloersoorten[],3,FALSE)*VLOOKUP($R209,Frequenties[],3,FALSE)*VLOOKUP($A209,Locaties[],3,FALSE),0)</f>
        <v>0</v>
      </c>
      <c r="U209" s="215">
        <f>Ruimtestaat[[#This Row],[Uitvoeringen werkdagen]]*Ruimtestaat[[#This Row],[Oppervlak (netto)]]</f>
        <v>23860</v>
      </c>
      <c r="V209" s="259">
        <f>IF(T209&gt;0,Ruimtestaat[[#This Row],[Prest. (m2 /jaar) werkdagen]]/Ruimtestaat[[#This Row],[Norm (m2/uur) werkdagen]],0)</f>
        <v>0</v>
      </c>
      <c r="W209" s="260">
        <f>Ruimtestaat[[#This Row],[uren / jaar werkdagen]]*Tariefsopbouw!$D$38</f>
        <v>0</v>
      </c>
      <c r="X209" s="33"/>
      <c r="Y209" s="33">
        <f>IF(Ruimtestaat[[#This Row],[Frequentie weekend]]&gt;0,VALUE(LEFT(X209,1))*Q209,0)</f>
        <v>0</v>
      </c>
      <c r="Z209" s="33">
        <f>IF($Y209&gt;0,VLOOKUP($J209,Ruimtegroepen[],3,FALSE)*VLOOKUP($K209,Vloersoorten[],3,FALSE)*VLOOKUP($X209,Frequenties[],3,FALSE)*VLOOKUP(#REF!,Locaties[],3,FALSE),0)</f>
        <v>0</v>
      </c>
      <c r="AA209" s="33"/>
      <c r="AB209" s="33"/>
      <c r="AC209" s="33">
        <f>Ruimtestaat[[#This Row],[uren / jaar weekend]]*Tariefsopbouw!$D$40</f>
        <v>0</v>
      </c>
      <c r="AD209" s="88">
        <f>Ruimtestaat[[#This Row],[Prest. (m2 /jaar) weekend]]+Ruimtestaat[[#This Row],[Prest. (m2 /jaar) werkdagen]]</f>
        <v>23860</v>
      </c>
      <c r="AE209" s="88">
        <f>Ruimtestaat[[#This Row],[uren / jaar weekend]]+Ruimtestaat[[#This Row],[uren / jaar werkdagen]]</f>
        <v>0</v>
      </c>
      <c r="AF209" s="89">
        <f>Ruimtestaat[[#This Row],[kosten / jaar weekend]]+Ruimtestaat[[#This Row],[kosten / jaar werkdagen]]</f>
        <v>0</v>
      </c>
    </row>
    <row r="210" spans="1:32" ht="15" customHeight="1">
      <c r="A210" s="200">
        <v>2</v>
      </c>
      <c r="B210" s="21" t="str">
        <f>VLOOKUP(Ruimtestaat[[#This Row],[Code]],Locaties[#All],2,FALSE)</f>
        <v>Stichting Facilitair Beheer Van Renneslaan</v>
      </c>
      <c r="C210" s="243" t="str">
        <f>VLOOKUP(Ruimtestaat[[#This Row],[Code]],Locaties[#All],4,FALSE)</f>
        <v>Catharina van Renneslaan 35</v>
      </c>
      <c r="D210" s="243" t="str">
        <f>VLOOKUP(Ruimtestaat[[#This Row],[Code]],Locaties[#All],5,FALSE)</f>
        <v>7604 KV</v>
      </c>
      <c r="E210" s="243" t="str">
        <f>VLOOKUP(Ruimtestaat[[#This Row],[Code]],Locaties[#All],6,FALSE)</f>
        <v>Almelo</v>
      </c>
      <c r="F210" s="244" t="s">
        <v>1343</v>
      </c>
      <c r="G210" s="200" t="s">
        <v>1336</v>
      </c>
      <c r="H210" s="200"/>
      <c r="I210" s="244" t="s">
        <v>1145</v>
      </c>
      <c r="J210" s="215">
        <v>1</v>
      </c>
      <c r="K210" s="243" t="s">
        <v>111</v>
      </c>
      <c r="L210" s="200" t="s">
        <v>1339</v>
      </c>
      <c r="M210" s="213">
        <v>26.6</v>
      </c>
      <c r="N210" s="213"/>
      <c r="O210" s="243" t="str">
        <f>VLOOKUP(Ruimtestaat[[#This Row],[Ruimte code]],Ruimtegroepen[#All],4,FALSE)</f>
        <v>V  (Verkeersruimte)</v>
      </c>
      <c r="P210" s="214"/>
      <c r="Q210" s="215">
        <v>40</v>
      </c>
      <c r="R210" s="215" t="s">
        <v>16</v>
      </c>
      <c r="S210" s="215">
        <f>IF(R210&gt;0,IF(RIGHT(Ruimtestaat[[#This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10" s="215">
        <f>IF(S210&gt;0,VLOOKUP($J210,Ruimtegroepen[],3,FALSE)*VLOOKUP($K210,Vloersoorten[],3,FALSE)*VLOOKUP($R210,Frequenties[],3,FALSE)*VLOOKUP($A210,Locaties[],3,FALSE),0)</f>
        <v>0</v>
      </c>
      <c r="U210" s="215">
        <f>Ruimtestaat[[#This Row],[Uitvoeringen werkdagen]]*Ruimtestaat[[#This Row],[Oppervlak (netto)]]</f>
        <v>319.20000000000005</v>
      </c>
      <c r="V210" s="259">
        <f>IF(T210&gt;0,Ruimtestaat[[#This Row],[Prest. (m2 /jaar) werkdagen]]/Ruimtestaat[[#This Row],[Norm (m2/uur) werkdagen]],0)</f>
        <v>0</v>
      </c>
      <c r="W210" s="260">
        <f>Ruimtestaat[[#This Row],[uren / jaar werkdagen]]*Tariefsopbouw!$D$38</f>
        <v>0</v>
      </c>
      <c r="X210" s="33"/>
      <c r="Y210" s="33">
        <f>IF(Ruimtestaat[[#This Row],[Frequentie weekend]]&gt;0,VALUE(LEFT(X210,1))*Q210,0)</f>
        <v>0</v>
      </c>
      <c r="Z210" s="33">
        <f>IF($Y210&gt;0,VLOOKUP($J210,Ruimtegroepen[],3,FALSE)*VLOOKUP($K210,Vloersoorten[],3,FALSE)*VLOOKUP($X210,Frequenties[],3,FALSE)*VLOOKUP(#REF!,Locaties[],3,FALSE),0)</f>
        <v>0</v>
      </c>
      <c r="AA210" s="33"/>
      <c r="AB210" s="33"/>
      <c r="AC210" s="33">
        <f>Ruimtestaat[[#This Row],[uren / jaar weekend]]*Tariefsopbouw!$D$40</f>
        <v>0</v>
      </c>
      <c r="AD210" s="88">
        <f>Ruimtestaat[[#This Row],[Prest. (m2 /jaar) weekend]]+Ruimtestaat[[#This Row],[Prest. (m2 /jaar) werkdagen]]</f>
        <v>319.20000000000005</v>
      </c>
      <c r="AE210" s="88">
        <f>Ruimtestaat[[#This Row],[uren / jaar weekend]]+Ruimtestaat[[#This Row],[uren / jaar werkdagen]]</f>
        <v>0</v>
      </c>
      <c r="AF210" s="89">
        <f>Ruimtestaat[[#This Row],[kosten / jaar weekend]]+Ruimtestaat[[#This Row],[kosten / jaar werkdagen]]</f>
        <v>0</v>
      </c>
    </row>
    <row r="211" spans="1:32" ht="15" customHeight="1">
      <c r="A211" s="200">
        <v>2</v>
      </c>
      <c r="B211" s="21" t="str">
        <f>VLOOKUP(Ruimtestaat[[#This Row],[Code]],Locaties[#All],2,FALSE)</f>
        <v>Stichting Facilitair Beheer Van Renneslaan</v>
      </c>
      <c r="C211" s="243" t="str">
        <f>VLOOKUP(Ruimtestaat[[#This Row],[Code]],Locaties[#All],4,FALSE)</f>
        <v>Catharina van Renneslaan 35</v>
      </c>
      <c r="D211" s="243" t="str">
        <f>VLOOKUP(Ruimtestaat[[#This Row],[Code]],Locaties[#All],5,FALSE)</f>
        <v>7604 KV</v>
      </c>
      <c r="E211" s="243" t="str">
        <f>VLOOKUP(Ruimtestaat[[#This Row],[Code]],Locaties[#All],6,FALSE)</f>
        <v>Almelo</v>
      </c>
      <c r="F211" s="244"/>
      <c r="G211" s="200" t="s">
        <v>1336</v>
      </c>
      <c r="H211" s="200"/>
      <c r="I211" s="244" t="s">
        <v>1146</v>
      </c>
      <c r="J211" s="215">
        <v>1</v>
      </c>
      <c r="K211" s="243" t="s">
        <v>111</v>
      </c>
      <c r="L211" s="200" t="s">
        <v>1339</v>
      </c>
      <c r="M211" s="213">
        <v>31.9</v>
      </c>
      <c r="N211" s="213"/>
      <c r="O211" s="243" t="str">
        <f>VLOOKUP(Ruimtestaat[[#This Row],[Ruimte code]],Ruimtegroepen[#All],4,FALSE)</f>
        <v>V  (Verkeersruimte)</v>
      </c>
      <c r="P211" s="214"/>
      <c r="Q211" s="215">
        <v>40</v>
      </c>
      <c r="R211" s="215" t="s">
        <v>16</v>
      </c>
      <c r="S211" s="215">
        <f>IF(R211&gt;0,IF(RIGHT(Ruimtestaat[[#This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11" s="215">
        <f>IF(S211&gt;0,VLOOKUP($J211,Ruimtegroepen[],3,FALSE)*VLOOKUP($K211,Vloersoorten[],3,FALSE)*VLOOKUP($R211,Frequenties[],3,FALSE)*VLOOKUP($A211,Locaties[],3,FALSE),0)</f>
        <v>0</v>
      </c>
      <c r="U211" s="215">
        <f>Ruimtestaat[[#This Row],[Uitvoeringen werkdagen]]*Ruimtestaat[[#This Row],[Oppervlak (netto)]]</f>
        <v>382.79999999999995</v>
      </c>
      <c r="V211" s="259">
        <f>IF(T211&gt;0,Ruimtestaat[[#This Row],[Prest. (m2 /jaar) werkdagen]]/Ruimtestaat[[#This Row],[Norm (m2/uur) werkdagen]],0)</f>
        <v>0</v>
      </c>
      <c r="W211" s="260">
        <f>Ruimtestaat[[#This Row],[uren / jaar werkdagen]]*Tariefsopbouw!$D$38</f>
        <v>0</v>
      </c>
      <c r="X211" s="33"/>
      <c r="Y211" s="33">
        <f>IF(Ruimtestaat[[#This Row],[Frequentie weekend]]&gt;0,VALUE(LEFT(X211,1))*Q211,0)</f>
        <v>0</v>
      </c>
      <c r="Z211" s="33">
        <f>IF($Y211&gt;0,VLOOKUP($J211,Ruimtegroepen[],3,FALSE)*VLOOKUP($K211,Vloersoorten[],3,FALSE)*VLOOKUP($X211,Frequenties[],3,FALSE)*VLOOKUP(#REF!,Locaties[],3,FALSE),0)</f>
        <v>0</v>
      </c>
      <c r="AA211" s="33"/>
      <c r="AB211" s="33"/>
      <c r="AC211" s="33">
        <f>Ruimtestaat[[#This Row],[uren / jaar weekend]]*Tariefsopbouw!$D$40</f>
        <v>0</v>
      </c>
      <c r="AD211" s="88">
        <f>Ruimtestaat[[#This Row],[Prest. (m2 /jaar) weekend]]+Ruimtestaat[[#This Row],[Prest. (m2 /jaar) werkdagen]]</f>
        <v>382.79999999999995</v>
      </c>
      <c r="AE211" s="88">
        <f>Ruimtestaat[[#This Row],[uren / jaar weekend]]+Ruimtestaat[[#This Row],[uren / jaar werkdagen]]</f>
        <v>0</v>
      </c>
      <c r="AF211" s="89">
        <f>Ruimtestaat[[#This Row],[kosten / jaar weekend]]+Ruimtestaat[[#This Row],[kosten / jaar werkdagen]]</f>
        <v>0</v>
      </c>
    </row>
    <row r="212" spans="1:32" ht="15" customHeight="1">
      <c r="A212" s="200">
        <v>2</v>
      </c>
      <c r="B212" s="21" t="str">
        <f>VLOOKUP(Ruimtestaat[[#This Row],[Code]],Locaties[#All],2,FALSE)</f>
        <v>Stichting Facilitair Beheer Van Renneslaan</v>
      </c>
      <c r="C212" s="243" t="str">
        <f>VLOOKUP(Ruimtestaat[[#This Row],[Code]],Locaties[#All],4,FALSE)</f>
        <v>Catharina van Renneslaan 35</v>
      </c>
      <c r="D212" s="243" t="str">
        <f>VLOOKUP(Ruimtestaat[[#This Row],[Code]],Locaties[#All],5,FALSE)</f>
        <v>7604 KV</v>
      </c>
      <c r="E212" s="243" t="str">
        <f>VLOOKUP(Ruimtestaat[[#This Row],[Code]],Locaties[#All],6,FALSE)</f>
        <v>Almelo</v>
      </c>
      <c r="F212" s="244"/>
      <c r="G212" s="200" t="s">
        <v>1336</v>
      </c>
      <c r="H212" s="200"/>
      <c r="I212" s="244" t="s">
        <v>1147</v>
      </c>
      <c r="J212" s="200">
        <v>1</v>
      </c>
      <c r="K212" s="243" t="s">
        <v>111</v>
      </c>
      <c r="L212" s="200" t="s">
        <v>1339</v>
      </c>
      <c r="M212" s="213">
        <v>38.700000000000003</v>
      </c>
      <c r="N212" s="213"/>
      <c r="O212" s="243" t="str">
        <f>VLOOKUP(Ruimtestaat[[#This Row],[Ruimte code]],Ruimtegroepen[#All],4,FALSE)</f>
        <v>V  (Verkeersruimte)</v>
      </c>
      <c r="P212" s="214"/>
      <c r="Q212" s="215">
        <v>40</v>
      </c>
      <c r="R212" s="215" t="s">
        <v>16</v>
      </c>
      <c r="S212" s="215">
        <f>IF(R212&gt;0,IF(RIGHT(Ruimtestaat[[#This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12" s="215">
        <f>IF(S212&gt;0,VLOOKUP($J212,Ruimtegroepen[],3,FALSE)*VLOOKUP($K212,Vloersoorten[],3,FALSE)*VLOOKUP($R212,Frequenties[],3,FALSE)*VLOOKUP($A212,Locaties[],3,FALSE),0)</f>
        <v>0</v>
      </c>
      <c r="U212" s="215">
        <f>Ruimtestaat[[#This Row],[Uitvoeringen werkdagen]]*Ruimtestaat[[#This Row],[Oppervlak (netto)]]</f>
        <v>464.40000000000003</v>
      </c>
      <c r="V212" s="259">
        <f>IF(T212&gt;0,Ruimtestaat[[#This Row],[Prest. (m2 /jaar) werkdagen]]/Ruimtestaat[[#This Row],[Norm (m2/uur) werkdagen]],0)</f>
        <v>0</v>
      </c>
      <c r="W212" s="260">
        <f>Ruimtestaat[[#This Row],[uren / jaar werkdagen]]*Tariefsopbouw!$D$38</f>
        <v>0</v>
      </c>
      <c r="X212" s="33"/>
      <c r="Y212" s="33">
        <f>IF(Ruimtestaat[[#This Row],[Frequentie weekend]]&gt;0,VALUE(LEFT(X212,1))*Q212,0)</f>
        <v>0</v>
      </c>
      <c r="Z212" s="33">
        <f>IF($Y212&gt;0,VLOOKUP($J212,Ruimtegroepen[],3,FALSE)*VLOOKUP($K212,Vloersoorten[],3,FALSE)*VLOOKUP($X212,Frequenties[],3,FALSE)*VLOOKUP(#REF!,Locaties[],3,FALSE),0)</f>
        <v>0</v>
      </c>
      <c r="AA212" s="33"/>
      <c r="AB212" s="33"/>
      <c r="AC212" s="33">
        <f>Ruimtestaat[[#This Row],[uren / jaar weekend]]*Tariefsopbouw!$D$40</f>
        <v>0</v>
      </c>
      <c r="AD212" s="88">
        <f>Ruimtestaat[[#This Row],[Prest. (m2 /jaar) weekend]]+Ruimtestaat[[#This Row],[Prest. (m2 /jaar) werkdagen]]</f>
        <v>464.40000000000003</v>
      </c>
      <c r="AE212" s="88">
        <f>Ruimtestaat[[#This Row],[uren / jaar weekend]]+Ruimtestaat[[#This Row],[uren / jaar werkdagen]]</f>
        <v>0</v>
      </c>
      <c r="AF212" s="89">
        <f>Ruimtestaat[[#This Row],[kosten / jaar weekend]]+Ruimtestaat[[#This Row],[kosten / jaar werkdagen]]</f>
        <v>0</v>
      </c>
    </row>
    <row r="213" spans="1:32" ht="15" customHeight="1">
      <c r="A213" s="200">
        <v>2</v>
      </c>
      <c r="B213" s="21" t="str">
        <f>VLOOKUP(Ruimtestaat[[#This Row],[Code]],Locaties[#All],2,FALSE)</f>
        <v>Stichting Facilitair Beheer Van Renneslaan</v>
      </c>
      <c r="C213" s="243" t="str">
        <f>VLOOKUP(Ruimtestaat[[#This Row],[Code]],Locaties[#All],4,FALSE)</f>
        <v>Catharina van Renneslaan 35</v>
      </c>
      <c r="D213" s="243" t="str">
        <f>VLOOKUP(Ruimtestaat[[#This Row],[Code]],Locaties[#All],5,FALSE)</f>
        <v>7604 KV</v>
      </c>
      <c r="E213" s="243" t="str">
        <f>VLOOKUP(Ruimtestaat[[#This Row],[Code]],Locaties[#All],6,FALSE)</f>
        <v>Almelo</v>
      </c>
      <c r="F213" s="244"/>
      <c r="G213" s="200" t="s">
        <v>1336</v>
      </c>
      <c r="H213" s="200"/>
      <c r="I213" s="244" t="s">
        <v>1148</v>
      </c>
      <c r="J213" s="243">
        <v>5</v>
      </c>
      <c r="K213" s="243" t="s">
        <v>111</v>
      </c>
      <c r="L213" s="200" t="s">
        <v>1340</v>
      </c>
      <c r="M213" s="213">
        <v>30</v>
      </c>
      <c r="N213" s="213"/>
      <c r="O213" s="243" t="str">
        <f>VLOOKUP(Ruimtestaat[[#This Row],[Ruimte code]],Ruimtegroepen[#All],4,FALSE)</f>
        <v>S  (Sanitair)</v>
      </c>
      <c r="P213" s="214"/>
      <c r="Q213" s="215">
        <v>40</v>
      </c>
      <c r="R213" s="215" t="s">
        <v>2</v>
      </c>
      <c r="S213" s="215">
        <f>IF(R213&gt;0,IF(RIGHT(Ruimtestaat[[#This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3" s="215">
        <f>IF(S213&gt;0,VLOOKUP($J213,Ruimtegroepen[],3,FALSE)*VLOOKUP($K213,Vloersoorten[],3,FALSE)*VLOOKUP($R213,Frequenties[],3,FALSE)*VLOOKUP($A213,Locaties[],3,FALSE),0)</f>
        <v>0</v>
      </c>
      <c r="U213" s="215">
        <f>Ruimtestaat[[#This Row],[Uitvoeringen werkdagen]]*Ruimtestaat[[#This Row],[Oppervlak (netto)]]</f>
        <v>6000</v>
      </c>
      <c r="V213" s="259">
        <f>IF(T213&gt;0,Ruimtestaat[[#This Row],[Prest. (m2 /jaar) werkdagen]]/Ruimtestaat[[#This Row],[Norm (m2/uur) werkdagen]],0)</f>
        <v>0</v>
      </c>
      <c r="W213" s="260">
        <f>Ruimtestaat[[#This Row],[uren / jaar werkdagen]]*Tariefsopbouw!$D$38</f>
        <v>0</v>
      </c>
      <c r="X213" s="33"/>
      <c r="Y213" s="33">
        <f>IF(Ruimtestaat[[#This Row],[Frequentie weekend]]&gt;0,VALUE(LEFT(X213,1))*Q213,0)</f>
        <v>0</v>
      </c>
      <c r="Z213" s="33">
        <f>IF($Y213&gt;0,VLOOKUP($J213,Ruimtegroepen[],3,FALSE)*VLOOKUP($K213,Vloersoorten[],3,FALSE)*VLOOKUP($X213,Frequenties[],3,FALSE)*VLOOKUP(#REF!,Locaties[],3,FALSE),0)</f>
        <v>0</v>
      </c>
      <c r="AA213" s="33"/>
      <c r="AB213" s="33"/>
      <c r="AC213" s="33">
        <f>Ruimtestaat[[#This Row],[uren / jaar weekend]]*Tariefsopbouw!$D$40</f>
        <v>0</v>
      </c>
      <c r="AD213" s="88">
        <f>Ruimtestaat[[#This Row],[Prest. (m2 /jaar) weekend]]+Ruimtestaat[[#This Row],[Prest. (m2 /jaar) werkdagen]]</f>
        <v>6000</v>
      </c>
      <c r="AE213" s="88">
        <f>Ruimtestaat[[#This Row],[uren / jaar weekend]]+Ruimtestaat[[#This Row],[uren / jaar werkdagen]]</f>
        <v>0</v>
      </c>
      <c r="AF213" s="89">
        <f>Ruimtestaat[[#This Row],[kosten / jaar weekend]]+Ruimtestaat[[#This Row],[kosten / jaar werkdagen]]</f>
        <v>0</v>
      </c>
    </row>
    <row r="214" spans="1:32" ht="15" customHeight="1">
      <c r="A214" s="200">
        <v>2</v>
      </c>
      <c r="B214" s="21" t="str">
        <f>VLOOKUP(Ruimtestaat[[#This Row],[Code]],Locaties[#All],2,FALSE)</f>
        <v>Stichting Facilitair Beheer Van Renneslaan</v>
      </c>
      <c r="C214" s="243" t="str">
        <f>VLOOKUP(Ruimtestaat[[#This Row],[Code]],Locaties[#All],4,FALSE)</f>
        <v>Catharina van Renneslaan 35</v>
      </c>
      <c r="D214" s="243" t="str">
        <f>VLOOKUP(Ruimtestaat[[#This Row],[Code]],Locaties[#All],5,FALSE)</f>
        <v>7604 KV</v>
      </c>
      <c r="E214" s="243" t="str">
        <f>VLOOKUP(Ruimtestaat[[#This Row],[Code]],Locaties[#All],6,FALSE)</f>
        <v>Almelo</v>
      </c>
      <c r="F214" s="244" t="s">
        <v>1343</v>
      </c>
      <c r="G214" s="200" t="s">
        <v>1336</v>
      </c>
      <c r="H214" s="200"/>
      <c r="I214" s="244" t="s">
        <v>1149</v>
      </c>
      <c r="J214" s="200">
        <v>1</v>
      </c>
      <c r="K214" s="243" t="s">
        <v>111</v>
      </c>
      <c r="L214" s="200" t="s">
        <v>1339</v>
      </c>
      <c r="M214" s="213">
        <v>10.3</v>
      </c>
      <c r="N214" s="213"/>
      <c r="O214" s="243" t="str">
        <f>VLOOKUP(Ruimtestaat[[#This Row],[Ruimte code]],Ruimtegroepen[#All],4,FALSE)</f>
        <v>V  (Verkeersruimte)</v>
      </c>
      <c r="P214" s="214"/>
      <c r="Q214" s="215">
        <v>40</v>
      </c>
      <c r="R214" s="215" t="s">
        <v>16</v>
      </c>
      <c r="S214" s="215">
        <f>IF(R214&gt;0,IF(RIGHT(Ruimtestaat[[#This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14" s="215">
        <f>IF(S214&gt;0,VLOOKUP($J214,Ruimtegroepen[],3,FALSE)*VLOOKUP($K214,Vloersoorten[],3,FALSE)*VLOOKUP($R214,Frequenties[],3,FALSE)*VLOOKUP($A214,Locaties[],3,FALSE),0)</f>
        <v>0</v>
      </c>
      <c r="U214" s="215">
        <f>Ruimtestaat[[#This Row],[Uitvoeringen werkdagen]]*Ruimtestaat[[#This Row],[Oppervlak (netto)]]</f>
        <v>123.60000000000001</v>
      </c>
      <c r="V214" s="259">
        <f>IF(T214&gt;0,Ruimtestaat[[#This Row],[Prest. (m2 /jaar) werkdagen]]/Ruimtestaat[[#This Row],[Norm (m2/uur) werkdagen]],0)</f>
        <v>0</v>
      </c>
      <c r="W214" s="260">
        <f>Ruimtestaat[[#This Row],[uren / jaar werkdagen]]*Tariefsopbouw!$D$38</f>
        <v>0</v>
      </c>
      <c r="X214" s="33"/>
      <c r="Y214" s="33">
        <f>IF(Ruimtestaat[[#This Row],[Frequentie weekend]]&gt;0,VALUE(LEFT(X214,1))*Q214,0)</f>
        <v>0</v>
      </c>
      <c r="Z214" s="33">
        <f>IF($Y214&gt;0,VLOOKUP($J214,Ruimtegroepen[],3,FALSE)*VLOOKUP($K214,Vloersoorten[],3,FALSE)*VLOOKUP($X214,Frequenties[],3,FALSE)*VLOOKUP(#REF!,Locaties[],3,FALSE),0)</f>
        <v>0</v>
      </c>
      <c r="AA214" s="33"/>
      <c r="AB214" s="33"/>
      <c r="AC214" s="33">
        <f>Ruimtestaat[[#This Row],[uren / jaar weekend]]*Tariefsopbouw!$D$40</f>
        <v>0</v>
      </c>
      <c r="AD214" s="88">
        <f>Ruimtestaat[[#This Row],[Prest. (m2 /jaar) weekend]]+Ruimtestaat[[#This Row],[Prest. (m2 /jaar) werkdagen]]</f>
        <v>123.60000000000001</v>
      </c>
      <c r="AE214" s="88">
        <f>Ruimtestaat[[#This Row],[uren / jaar weekend]]+Ruimtestaat[[#This Row],[uren / jaar werkdagen]]</f>
        <v>0</v>
      </c>
      <c r="AF214" s="89">
        <f>Ruimtestaat[[#This Row],[kosten / jaar weekend]]+Ruimtestaat[[#This Row],[kosten / jaar werkdagen]]</f>
        <v>0</v>
      </c>
    </row>
    <row r="215" spans="1:32" ht="15" customHeight="1">
      <c r="A215" s="200">
        <v>2</v>
      </c>
      <c r="B215" s="21" t="str">
        <f>VLOOKUP(Ruimtestaat[[#This Row],[Code]],Locaties[#All],2,FALSE)</f>
        <v>Stichting Facilitair Beheer Van Renneslaan</v>
      </c>
      <c r="C215" s="243" t="str">
        <f>VLOOKUP(Ruimtestaat[[#This Row],[Code]],Locaties[#All],4,FALSE)</f>
        <v>Catharina van Renneslaan 35</v>
      </c>
      <c r="D215" s="243" t="str">
        <f>VLOOKUP(Ruimtestaat[[#This Row],[Code]],Locaties[#All],5,FALSE)</f>
        <v>7604 KV</v>
      </c>
      <c r="E215" s="243" t="str">
        <f>VLOOKUP(Ruimtestaat[[#This Row],[Code]],Locaties[#All],6,FALSE)</f>
        <v>Almelo</v>
      </c>
      <c r="F215" s="244"/>
      <c r="G215" s="200" t="s">
        <v>1336</v>
      </c>
      <c r="H215" s="200" t="s">
        <v>1321</v>
      </c>
      <c r="I215" s="244" t="s">
        <v>1150</v>
      </c>
      <c r="J215" s="243">
        <v>21</v>
      </c>
      <c r="K215" s="243" t="s">
        <v>111</v>
      </c>
      <c r="L215" s="200" t="s">
        <v>1339</v>
      </c>
      <c r="M215" s="213"/>
      <c r="N215" s="213">
        <v>6.7</v>
      </c>
      <c r="O215" s="243" t="str">
        <f>VLOOKUP(Ruimtestaat[[#This Row],[Ruimte code]],Ruimtegroepen[#All],4,FALSE)</f>
        <v>Niet in onderhoud</v>
      </c>
      <c r="P215" s="214"/>
      <c r="Q215" s="215"/>
      <c r="R215" s="215"/>
      <c r="S215" s="215">
        <f>IF(R215&gt;0,IF(RIGHT(Ruimtestaat[[#This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5" s="215">
        <f>IF(S215&gt;0,VLOOKUP($J215,Ruimtegroepen[],3,FALSE)*VLOOKUP($K215,Vloersoorten[],3,FALSE)*VLOOKUP($R215,Frequenties[],3,FALSE)*VLOOKUP($A215,Locaties[],3,FALSE),0)</f>
        <v>0</v>
      </c>
      <c r="U215" s="215">
        <f>Ruimtestaat[[#This Row],[Uitvoeringen werkdagen]]*Ruimtestaat[[#This Row],[Oppervlak (netto)]]</f>
        <v>0</v>
      </c>
      <c r="V215" s="259">
        <f>IF(T215&gt;0,Ruimtestaat[[#This Row],[Prest. (m2 /jaar) werkdagen]]/Ruimtestaat[[#This Row],[Norm (m2/uur) werkdagen]],0)</f>
        <v>0</v>
      </c>
      <c r="W215" s="260">
        <f>Ruimtestaat[[#This Row],[uren / jaar werkdagen]]*Tariefsopbouw!$D$38</f>
        <v>0</v>
      </c>
      <c r="X215" s="33"/>
      <c r="Y215" s="33">
        <f>IF(Ruimtestaat[[#This Row],[Frequentie weekend]]&gt;0,VALUE(LEFT(X215,1))*Q215,0)</f>
        <v>0</v>
      </c>
      <c r="Z215" s="33">
        <f>IF($Y215&gt;0,VLOOKUP($J215,Ruimtegroepen[],3,FALSE)*VLOOKUP($K215,Vloersoorten[],3,FALSE)*VLOOKUP($X215,Frequenties[],3,FALSE)*VLOOKUP(#REF!,Locaties[],3,FALSE),0)</f>
        <v>0</v>
      </c>
      <c r="AA215" s="33"/>
      <c r="AB215" s="33"/>
      <c r="AC215" s="33">
        <f>Ruimtestaat[[#This Row],[uren / jaar weekend]]*Tariefsopbouw!$D$40</f>
        <v>0</v>
      </c>
      <c r="AD215" s="88">
        <f>Ruimtestaat[[#This Row],[Prest. (m2 /jaar) weekend]]+Ruimtestaat[[#This Row],[Prest. (m2 /jaar) werkdagen]]</f>
        <v>0</v>
      </c>
      <c r="AE215" s="88">
        <f>Ruimtestaat[[#This Row],[uren / jaar weekend]]+Ruimtestaat[[#This Row],[uren / jaar werkdagen]]</f>
        <v>0</v>
      </c>
      <c r="AF215" s="89">
        <f>Ruimtestaat[[#This Row],[kosten / jaar weekend]]+Ruimtestaat[[#This Row],[kosten / jaar werkdagen]]</f>
        <v>0</v>
      </c>
    </row>
    <row r="216" spans="1:32" ht="15" customHeight="1">
      <c r="A216" s="200">
        <v>2</v>
      </c>
      <c r="B216" s="21" t="str">
        <f>VLOOKUP(Ruimtestaat[[#This Row],[Code]],Locaties[#All],2,FALSE)</f>
        <v>Stichting Facilitair Beheer Van Renneslaan</v>
      </c>
      <c r="C216" s="243" t="str">
        <f>VLOOKUP(Ruimtestaat[[#This Row],[Code]],Locaties[#All],4,FALSE)</f>
        <v>Catharina van Renneslaan 35</v>
      </c>
      <c r="D216" s="243" t="str">
        <f>VLOOKUP(Ruimtestaat[[#This Row],[Code]],Locaties[#All],5,FALSE)</f>
        <v>7604 KV</v>
      </c>
      <c r="E216" s="243" t="str">
        <f>VLOOKUP(Ruimtestaat[[#This Row],[Code]],Locaties[#All],6,FALSE)</f>
        <v>Almelo</v>
      </c>
      <c r="F216" s="244"/>
      <c r="G216" s="200" t="s">
        <v>1336</v>
      </c>
      <c r="H216" s="200" t="s">
        <v>1322</v>
      </c>
      <c r="I216" s="244" t="s">
        <v>1094</v>
      </c>
      <c r="J216" s="200">
        <v>21</v>
      </c>
      <c r="K216" s="243" t="s">
        <v>111</v>
      </c>
      <c r="L216" s="200" t="s">
        <v>1339</v>
      </c>
      <c r="M216" s="213"/>
      <c r="N216" s="213">
        <v>6.1</v>
      </c>
      <c r="O216" s="243" t="str">
        <f>VLOOKUP(Ruimtestaat[[#This Row],[Ruimte code]],Ruimtegroepen[#All],4,FALSE)</f>
        <v>Niet in onderhoud</v>
      </c>
      <c r="P216" s="214"/>
      <c r="Q216" s="215"/>
      <c r="R216" s="215"/>
      <c r="S216" s="215">
        <f>IF(R216&gt;0,IF(RIGHT(Ruimtestaat[[#This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16" s="215">
        <f>IF(S216&gt;0,VLOOKUP($J216,Ruimtegroepen[],3,FALSE)*VLOOKUP($K216,Vloersoorten[],3,FALSE)*VLOOKUP($R216,Frequenties[],3,FALSE)*VLOOKUP($A216,Locaties[],3,FALSE),0)</f>
        <v>0</v>
      </c>
      <c r="U216" s="215">
        <f>Ruimtestaat[[#This Row],[Uitvoeringen werkdagen]]*Ruimtestaat[[#This Row],[Oppervlak (netto)]]</f>
        <v>0</v>
      </c>
      <c r="V216" s="259">
        <f>IF(T216&gt;0,Ruimtestaat[[#This Row],[Prest. (m2 /jaar) werkdagen]]/Ruimtestaat[[#This Row],[Norm (m2/uur) werkdagen]],0)</f>
        <v>0</v>
      </c>
      <c r="W216" s="260">
        <f>Ruimtestaat[[#This Row],[uren / jaar werkdagen]]*Tariefsopbouw!$D$38</f>
        <v>0</v>
      </c>
      <c r="X216" s="33"/>
      <c r="Y216" s="33">
        <f>IF(Ruimtestaat[[#This Row],[Frequentie weekend]]&gt;0,VALUE(LEFT(X216,1))*Q216,0)</f>
        <v>0</v>
      </c>
      <c r="Z216" s="33">
        <f>IF($Y216&gt;0,VLOOKUP($J216,Ruimtegroepen[],3,FALSE)*VLOOKUP($K216,Vloersoorten[],3,FALSE)*VLOOKUP($X216,Frequenties[],3,FALSE)*VLOOKUP(#REF!,Locaties[],3,FALSE),0)</f>
        <v>0</v>
      </c>
      <c r="AA216" s="33"/>
      <c r="AB216" s="33"/>
      <c r="AC216" s="33">
        <f>Ruimtestaat[[#This Row],[uren / jaar weekend]]*Tariefsopbouw!$D$40</f>
        <v>0</v>
      </c>
      <c r="AD216" s="88">
        <f>Ruimtestaat[[#This Row],[Prest. (m2 /jaar) weekend]]+Ruimtestaat[[#This Row],[Prest. (m2 /jaar) werkdagen]]</f>
        <v>0</v>
      </c>
      <c r="AE216" s="88">
        <f>Ruimtestaat[[#This Row],[uren / jaar weekend]]+Ruimtestaat[[#This Row],[uren / jaar werkdagen]]</f>
        <v>0</v>
      </c>
      <c r="AF216" s="89">
        <f>Ruimtestaat[[#This Row],[kosten / jaar weekend]]+Ruimtestaat[[#This Row],[kosten / jaar werkdagen]]</f>
        <v>0</v>
      </c>
    </row>
    <row r="217" spans="1:32" ht="15" customHeight="1">
      <c r="A217" s="200">
        <v>2</v>
      </c>
      <c r="B217" s="21" t="str">
        <f>VLOOKUP(Ruimtestaat[[#This Row],[Code]],Locaties[#All],2,FALSE)</f>
        <v>Stichting Facilitair Beheer Van Renneslaan</v>
      </c>
      <c r="C217" s="243" t="str">
        <f>VLOOKUP(Ruimtestaat[[#This Row],[Code]],Locaties[#All],4,FALSE)</f>
        <v>Catharina van Renneslaan 35</v>
      </c>
      <c r="D217" s="243" t="str">
        <f>VLOOKUP(Ruimtestaat[[#This Row],[Code]],Locaties[#All],5,FALSE)</f>
        <v>7604 KV</v>
      </c>
      <c r="E217" s="243" t="str">
        <f>VLOOKUP(Ruimtestaat[[#This Row],[Code]],Locaties[#All],6,FALSE)</f>
        <v>Almelo</v>
      </c>
      <c r="F217" s="244"/>
      <c r="G217" s="200" t="s">
        <v>1336</v>
      </c>
      <c r="H217" s="200"/>
      <c r="I217" s="244" t="s">
        <v>1151</v>
      </c>
      <c r="J217" s="200">
        <v>11</v>
      </c>
      <c r="K217" s="243" t="s">
        <v>112</v>
      </c>
      <c r="L217" s="200" t="s">
        <v>1341</v>
      </c>
      <c r="M217" s="213">
        <f>185+140.4</f>
        <v>325.39999999999998</v>
      </c>
      <c r="N217" s="213"/>
      <c r="O217" s="243" t="str">
        <f>VLOOKUP(Ruimtestaat[[#This Row],[Ruimte code]],Ruimtegroepen[#All],4,FALSE)</f>
        <v>L  (Lesruimte)</v>
      </c>
      <c r="P217" s="214"/>
      <c r="Q217" s="215">
        <v>40</v>
      </c>
      <c r="R217" s="215" t="s">
        <v>2</v>
      </c>
      <c r="S217" s="215">
        <f>IF(R217&gt;0,IF(RIGHT(Ruimtestaat[[#This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7" s="215">
        <f>IF(S217&gt;0,VLOOKUP($J217,Ruimtegroepen[],3,FALSE)*VLOOKUP($K217,Vloersoorten[],3,FALSE)*VLOOKUP($R217,Frequenties[],3,FALSE)*VLOOKUP($A217,Locaties[],3,FALSE),0)</f>
        <v>0</v>
      </c>
      <c r="U217" s="215">
        <f>Ruimtestaat[[#This Row],[Uitvoeringen werkdagen]]*Ruimtestaat[[#This Row],[Oppervlak (netto)]]</f>
        <v>65079.999999999993</v>
      </c>
      <c r="V217" s="259">
        <f>IF(T217&gt;0,Ruimtestaat[[#This Row],[Prest. (m2 /jaar) werkdagen]]/Ruimtestaat[[#This Row],[Norm (m2/uur) werkdagen]],0)</f>
        <v>0</v>
      </c>
      <c r="W217" s="260">
        <f>Ruimtestaat[[#This Row],[uren / jaar werkdagen]]*Tariefsopbouw!$D$38</f>
        <v>0</v>
      </c>
      <c r="X217" s="33"/>
      <c r="Y217" s="33">
        <f>IF(Ruimtestaat[[#This Row],[Frequentie weekend]]&gt;0,VALUE(LEFT(X217,1))*Q217,0)</f>
        <v>0</v>
      </c>
      <c r="Z217" s="33">
        <f>IF($Y217&gt;0,VLOOKUP($J217,Ruimtegroepen[],3,FALSE)*VLOOKUP($K217,Vloersoorten[],3,FALSE)*VLOOKUP($X217,Frequenties[],3,FALSE)*VLOOKUP(#REF!,Locaties[],3,FALSE),0)</f>
        <v>0</v>
      </c>
      <c r="AA217" s="33"/>
      <c r="AB217" s="33"/>
      <c r="AC217" s="33">
        <f>Ruimtestaat[[#This Row],[uren / jaar weekend]]*Tariefsopbouw!$D$40</f>
        <v>0</v>
      </c>
      <c r="AD217" s="88">
        <f>Ruimtestaat[[#This Row],[Prest. (m2 /jaar) weekend]]+Ruimtestaat[[#This Row],[Prest. (m2 /jaar) werkdagen]]</f>
        <v>65079.999999999993</v>
      </c>
      <c r="AE217" s="88">
        <f>Ruimtestaat[[#This Row],[uren / jaar weekend]]+Ruimtestaat[[#This Row],[uren / jaar werkdagen]]</f>
        <v>0</v>
      </c>
      <c r="AF217" s="89">
        <f>Ruimtestaat[[#This Row],[kosten / jaar weekend]]+Ruimtestaat[[#This Row],[kosten / jaar werkdagen]]</f>
        <v>0</v>
      </c>
    </row>
    <row r="218" spans="1:32" ht="15" customHeight="1">
      <c r="A218" s="200">
        <v>2</v>
      </c>
      <c r="B218" s="21" t="str">
        <f>VLOOKUP(Ruimtestaat[[#This Row],[Code]],Locaties[#All],2,FALSE)</f>
        <v>Stichting Facilitair Beheer Van Renneslaan</v>
      </c>
      <c r="C218" s="243" t="str">
        <f>VLOOKUP(Ruimtestaat[[#This Row],[Code]],Locaties[#All],4,FALSE)</f>
        <v>Catharina van Renneslaan 35</v>
      </c>
      <c r="D218" s="243" t="str">
        <f>VLOOKUP(Ruimtestaat[[#This Row],[Code]],Locaties[#All],5,FALSE)</f>
        <v>7604 KV</v>
      </c>
      <c r="E218" s="243" t="str">
        <f>VLOOKUP(Ruimtestaat[[#This Row],[Code]],Locaties[#All],6,FALSE)</f>
        <v>Almelo</v>
      </c>
      <c r="F218" s="244"/>
      <c r="G218" s="200" t="s">
        <v>1336</v>
      </c>
      <c r="H218" s="200" t="s">
        <v>1323</v>
      </c>
      <c r="I218" s="244" t="s">
        <v>1152</v>
      </c>
      <c r="J218" s="200">
        <v>14</v>
      </c>
      <c r="K218" s="243" t="s">
        <v>112</v>
      </c>
      <c r="L218" s="200" t="s">
        <v>1341</v>
      </c>
      <c r="M218" s="213">
        <v>20</v>
      </c>
      <c r="N218" s="213"/>
      <c r="O218" s="243" t="str">
        <f>VLOOKUP(Ruimtestaat[[#This Row],[Ruimte code]],Ruimtegroepen[#All],4,FALSE)</f>
        <v>V  (Verkeersruimte)</v>
      </c>
      <c r="P218" s="214"/>
      <c r="Q218" s="215">
        <v>40</v>
      </c>
      <c r="R218" s="215" t="s">
        <v>2</v>
      </c>
      <c r="S218" s="215">
        <f>IF(R218&gt;0,IF(RIGHT(Ruimtestaat[[#This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18" s="215">
        <f>IF(S218&gt;0,VLOOKUP($J218,Ruimtegroepen[],3,FALSE)*VLOOKUP($K218,Vloersoorten[],3,FALSE)*VLOOKUP($R218,Frequenties[],3,FALSE)*VLOOKUP($A218,Locaties[],3,FALSE),0)</f>
        <v>0</v>
      </c>
      <c r="U218" s="215">
        <f>Ruimtestaat[[#This Row],[Uitvoeringen werkdagen]]*Ruimtestaat[[#This Row],[Oppervlak (netto)]]</f>
        <v>4000</v>
      </c>
      <c r="V218" s="259">
        <f>IF(T218&gt;0,Ruimtestaat[[#This Row],[Prest. (m2 /jaar) werkdagen]]/Ruimtestaat[[#This Row],[Norm (m2/uur) werkdagen]],0)</f>
        <v>0</v>
      </c>
      <c r="W218" s="260">
        <f>Ruimtestaat[[#This Row],[uren / jaar werkdagen]]*Tariefsopbouw!$D$38</f>
        <v>0</v>
      </c>
      <c r="X218" s="33"/>
      <c r="Y218" s="33">
        <f>IF(Ruimtestaat[[#This Row],[Frequentie weekend]]&gt;0,VALUE(LEFT(X218,1))*Q218,0)</f>
        <v>0</v>
      </c>
      <c r="Z218" s="33">
        <f>IF($Y218&gt;0,VLOOKUP($J218,Ruimtegroepen[],3,FALSE)*VLOOKUP($K218,Vloersoorten[],3,FALSE)*VLOOKUP($X218,Frequenties[],3,FALSE)*VLOOKUP(#REF!,Locaties[],3,FALSE),0)</f>
        <v>0</v>
      </c>
      <c r="AA218" s="33"/>
      <c r="AB218" s="33"/>
      <c r="AC218" s="33">
        <f>Ruimtestaat[[#This Row],[uren / jaar weekend]]*Tariefsopbouw!$D$40</f>
        <v>0</v>
      </c>
      <c r="AD218" s="88">
        <f>Ruimtestaat[[#This Row],[Prest. (m2 /jaar) weekend]]+Ruimtestaat[[#This Row],[Prest. (m2 /jaar) werkdagen]]</f>
        <v>4000</v>
      </c>
      <c r="AE218" s="88">
        <f>Ruimtestaat[[#This Row],[uren / jaar weekend]]+Ruimtestaat[[#This Row],[uren / jaar werkdagen]]</f>
        <v>0</v>
      </c>
      <c r="AF218" s="89">
        <f>Ruimtestaat[[#This Row],[kosten / jaar weekend]]+Ruimtestaat[[#This Row],[kosten / jaar werkdagen]]</f>
        <v>0</v>
      </c>
    </row>
    <row r="219" spans="1:32" ht="15" customHeight="1">
      <c r="A219" s="200">
        <v>2</v>
      </c>
      <c r="B219" s="21" t="str">
        <f>VLOOKUP(Ruimtestaat[[#This Row],[Code]],Locaties[#All],2,FALSE)</f>
        <v>Stichting Facilitair Beheer Van Renneslaan</v>
      </c>
      <c r="C219" s="243" t="str">
        <f>VLOOKUP(Ruimtestaat[[#This Row],[Code]],Locaties[#All],4,FALSE)</f>
        <v>Catharina van Renneslaan 35</v>
      </c>
      <c r="D219" s="243" t="str">
        <f>VLOOKUP(Ruimtestaat[[#This Row],[Code]],Locaties[#All],5,FALSE)</f>
        <v>7604 KV</v>
      </c>
      <c r="E219" s="243" t="str">
        <f>VLOOKUP(Ruimtestaat[[#This Row],[Code]],Locaties[#All],6,FALSE)</f>
        <v>Almelo</v>
      </c>
      <c r="F219" s="244"/>
      <c r="G219" s="200" t="s">
        <v>1336</v>
      </c>
      <c r="H219" s="200" t="s">
        <v>1324</v>
      </c>
      <c r="I219" s="244" t="s">
        <v>1153</v>
      </c>
      <c r="J219" s="200">
        <v>1</v>
      </c>
      <c r="K219" s="243" t="s">
        <v>112</v>
      </c>
      <c r="L219" s="200" t="s">
        <v>1341</v>
      </c>
      <c r="M219" s="213">
        <v>34.1</v>
      </c>
      <c r="N219" s="213"/>
      <c r="O219" s="243" t="str">
        <f>VLOOKUP(Ruimtestaat[[#This Row],[Ruimte code]],Ruimtegroepen[#All],4,FALSE)</f>
        <v>V  (Verkeersruimte)</v>
      </c>
      <c r="P219" s="214"/>
      <c r="Q219" s="215">
        <v>40</v>
      </c>
      <c r="R219" s="215" t="s">
        <v>16</v>
      </c>
      <c r="S219" s="215">
        <f>IF(R219&gt;0,IF(RIGHT(Ruimtestaat[[#This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19" s="215">
        <f>IF(S219&gt;0,VLOOKUP($J219,Ruimtegroepen[],3,FALSE)*VLOOKUP($K219,Vloersoorten[],3,FALSE)*VLOOKUP($R219,Frequenties[],3,FALSE)*VLOOKUP($A219,Locaties[],3,FALSE),0)</f>
        <v>0</v>
      </c>
      <c r="U219" s="215">
        <f>Ruimtestaat[[#This Row],[Uitvoeringen werkdagen]]*Ruimtestaat[[#This Row],[Oppervlak (netto)]]</f>
        <v>409.20000000000005</v>
      </c>
      <c r="V219" s="259">
        <f>IF(T219&gt;0,Ruimtestaat[[#This Row],[Prest. (m2 /jaar) werkdagen]]/Ruimtestaat[[#This Row],[Norm (m2/uur) werkdagen]],0)</f>
        <v>0</v>
      </c>
      <c r="W219" s="260">
        <f>Ruimtestaat[[#This Row],[uren / jaar werkdagen]]*Tariefsopbouw!$D$38</f>
        <v>0</v>
      </c>
      <c r="X219" s="33"/>
      <c r="Y219" s="33">
        <f>IF(Ruimtestaat[[#This Row],[Frequentie weekend]]&gt;0,VALUE(LEFT(X219,1))*Q219,0)</f>
        <v>0</v>
      </c>
      <c r="Z219" s="33">
        <f>IF($Y219&gt;0,VLOOKUP($J219,Ruimtegroepen[],3,FALSE)*VLOOKUP($K219,Vloersoorten[],3,FALSE)*VLOOKUP($X219,Frequenties[],3,FALSE)*VLOOKUP(#REF!,Locaties[],3,FALSE),0)</f>
        <v>0</v>
      </c>
      <c r="AA219" s="33"/>
      <c r="AB219" s="33"/>
      <c r="AC219" s="33">
        <f>Ruimtestaat[[#This Row],[uren / jaar weekend]]*Tariefsopbouw!$D$40</f>
        <v>0</v>
      </c>
      <c r="AD219" s="88">
        <f>Ruimtestaat[[#This Row],[Prest. (m2 /jaar) weekend]]+Ruimtestaat[[#This Row],[Prest. (m2 /jaar) werkdagen]]</f>
        <v>409.20000000000005</v>
      </c>
      <c r="AE219" s="88">
        <f>Ruimtestaat[[#This Row],[uren / jaar weekend]]+Ruimtestaat[[#This Row],[uren / jaar werkdagen]]</f>
        <v>0</v>
      </c>
      <c r="AF219" s="89">
        <f>Ruimtestaat[[#This Row],[kosten / jaar weekend]]+Ruimtestaat[[#This Row],[kosten / jaar werkdagen]]</f>
        <v>0</v>
      </c>
    </row>
    <row r="220" spans="1:32" ht="15" customHeight="1">
      <c r="A220" s="200">
        <v>2</v>
      </c>
      <c r="B220" s="21" t="str">
        <f>VLOOKUP(Ruimtestaat[[#This Row],[Code]],Locaties[#All],2,FALSE)</f>
        <v>Stichting Facilitair Beheer Van Renneslaan</v>
      </c>
      <c r="C220" s="243" t="str">
        <f>VLOOKUP(Ruimtestaat[[#This Row],[Code]],Locaties[#All],4,FALSE)</f>
        <v>Catharina van Renneslaan 35</v>
      </c>
      <c r="D220" s="243" t="str">
        <f>VLOOKUP(Ruimtestaat[[#This Row],[Code]],Locaties[#All],5,FALSE)</f>
        <v>7604 KV</v>
      </c>
      <c r="E220" s="243" t="str">
        <f>VLOOKUP(Ruimtestaat[[#This Row],[Code]],Locaties[#All],6,FALSE)</f>
        <v>Almelo</v>
      </c>
      <c r="F220" s="244"/>
      <c r="G220" s="200" t="s">
        <v>1336</v>
      </c>
      <c r="H220" s="200" t="s">
        <v>1325</v>
      </c>
      <c r="I220" s="244" t="s">
        <v>1154</v>
      </c>
      <c r="J220" s="200">
        <v>18</v>
      </c>
      <c r="K220" s="243" t="s">
        <v>112</v>
      </c>
      <c r="L220" s="200" t="s">
        <v>1341</v>
      </c>
      <c r="M220" s="213">
        <v>369.7</v>
      </c>
      <c r="N220" s="213"/>
      <c r="O220" s="243" t="str">
        <f>VLOOKUP(Ruimtestaat[[#This Row],[Ruimte code]],Ruimtegroepen[#All],4,FALSE)</f>
        <v>Sp  (Sportruimte)</v>
      </c>
      <c r="P220" s="214"/>
      <c r="Q220" s="215">
        <v>40</v>
      </c>
      <c r="R220" s="215" t="s">
        <v>2</v>
      </c>
      <c r="S220" s="215">
        <f>IF(R220&gt;0,IF(RIGHT(Ruimtestaat[[#This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0" s="215">
        <f>IF(S220&gt;0,VLOOKUP($J220,Ruimtegroepen[],3,FALSE)*VLOOKUP($K220,Vloersoorten[],3,FALSE)*VLOOKUP($R220,Frequenties[],3,FALSE)*VLOOKUP($A220,Locaties[],3,FALSE),0)</f>
        <v>0</v>
      </c>
      <c r="U220" s="215">
        <f>Ruimtestaat[[#This Row],[Uitvoeringen werkdagen]]*Ruimtestaat[[#This Row],[Oppervlak (netto)]]</f>
        <v>73940</v>
      </c>
      <c r="V220" s="259">
        <f>IF(T220&gt;0,Ruimtestaat[[#This Row],[Prest. (m2 /jaar) werkdagen]]/Ruimtestaat[[#This Row],[Norm (m2/uur) werkdagen]],0)</f>
        <v>0</v>
      </c>
      <c r="W220" s="260">
        <f>Ruimtestaat[[#This Row],[uren / jaar werkdagen]]*Tariefsopbouw!$D$38</f>
        <v>0</v>
      </c>
      <c r="X220" s="33"/>
      <c r="Y220" s="33">
        <f>IF(Ruimtestaat[[#This Row],[Frequentie weekend]]&gt;0,VALUE(LEFT(X220,1))*Q220,0)</f>
        <v>0</v>
      </c>
      <c r="Z220" s="33">
        <f>IF($Y220&gt;0,VLOOKUP($J220,Ruimtegroepen[],3,FALSE)*VLOOKUP($K220,Vloersoorten[],3,FALSE)*VLOOKUP($X220,Frequenties[],3,FALSE)*VLOOKUP(#REF!,Locaties[],3,FALSE),0)</f>
        <v>0</v>
      </c>
      <c r="AA220" s="33"/>
      <c r="AB220" s="33"/>
      <c r="AC220" s="33">
        <f>Ruimtestaat[[#This Row],[uren / jaar weekend]]*Tariefsopbouw!$D$40</f>
        <v>0</v>
      </c>
      <c r="AD220" s="88">
        <f>Ruimtestaat[[#This Row],[Prest. (m2 /jaar) weekend]]+Ruimtestaat[[#This Row],[Prest. (m2 /jaar) werkdagen]]</f>
        <v>73940</v>
      </c>
      <c r="AE220" s="88">
        <f>Ruimtestaat[[#This Row],[uren / jaar weekend]]+Ruimtestaat[[#This Row],[uren / jaar werkdagen]]</f>
        <v>0</v>
      </c>
      <c r="AF220" s="89">
        <f>Ruimtestaat[[#This Row],[kosten / jaar weekend]]+Ruimtestaat[[#This Row],[kosten / jaar werkdagen]]</f>
        <v>0</v>
      </c>
    </row>
    <row r="221" spans="1:32" ht="15" customHeight="1">
      <c r="A221" s="200">
        <v>2</v>
      </c>
      <c r="B221" s="21" t="str">
        <f>VLOOKUP(Ruimtestaat[[#This Row],[Code]],Locaties[#All],2,FALSE)</f>
        <v>Stichting Facilitair Beheer Van Renneslaan</v>
      </c>
      <c r="C221" s="243" t="str">
        <f>VLOOKUP(Ruimtestaat[[#This Row],[Code]],Locaties[#All],4,FALSE)</f>
        <v>Catharina van Renneslaan 35</v>
      </c>
      <c r="D221" s="243" t="str">
        <f>VLOOKUP(Ruimtestaat[[#This Row],[Code]],Locaties[#All],5,FALSE)</f>
        <v>7604 KV</v>
      </c>
      <c r="E221" s="243" t="str">
        <f>VLOOKUP(Ruimtestaat[[#This Row],[Code]],Locaties[#All],6,FALSE)</f>
        <v>Almelo</v>
      </c>
      <c r="F221" s="244"/>
      <c r="G221" s="200" t="s">
        <v>1336</v>
      </c>
      <c r="H221" s="200" t="s">
        <v>1326</v>
      </c>
      <c r="I221" s="244" t="s">
        <v>1155</v>
      </c>
      <c r="J221" s="200">
        <v>17</v>
      </c>
      <c r="K221" s="243" t="s">
        <v>112</v>
      </c>
      <c r="L221" s="200" t="s">
        <v>1341</v>
      </c>
      <c r="M221" s="213">
        <v>32.4</v>
      </c>
      <c r="N221" s="213"/>
      <c r="O221" s="243" t="str">
        <f>VLOOKUP(Ruimtestaat[[#This Row],[Ruimte code]],Ruimtegroepen[#All],4,FALSE)</f>
        <v>V  (Verkeersruimte)</v>
      </c>
      <c r="P221" s="214"/>
      <c r="Q221" s="215">
        <v>40</v>
      </c>
      <c r="R221" s="215" t="s">
        <v>15</v>
      </c>
      <c r="S221" s="215">
        <f>IF(R221&gt;0,IF(RIGHT(Ruimtestaat[[#This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221" s="215">
        <f>IF(S221&gt;0,VLOOKUP($J221,Ruimtegroepen[],3,FALSE)*VLOOKUP($K221,Vloersoorten[],3,FALSE)*VLOOKUP($R221,Frequenties[],3,FALSE)*VLOOKUP($A221,Locaties[],3,FALSE),0)</f>
        <v>0</v>
      </c>
      <c r="U221" s="215">
        <f>Ruimtestaat[[#This Row],[Uitvoeringen werkdagen]]*Ruimtestaat[[#This Row],[Oppervlak (netto)]]</f>
        <v>1296</v>
      </c>
      <c r="V221" s="259">
        <f>IF(T221&gt;0,Ruimtestaat[[#This Row],[Prest. (m2 /jaar) werkdagen]]/Ruimtestaat[[#This Row],[Norm (m2/uur) werkdagen]],0)</f>
        <v>0</v>
      </c>
      <c r="W221" s="260">
        <f>Ruimtestaat[[#This Row],[uren / jaar werkdagen]]*Tariefsopbouw!$D$38</f>
        <v>0</v>
      </c>
      <c r="X221" s="33"/>
      <c r="Y221" s="33">
        <f>IF(Ruimtestaat[[#This Row],[Frequentie weekend]]&gt;0,VALUE(LEFT(X221,1))*Q221,0)</f>
        <v>0</v>
      </c>
      <c r="Z221" s="33">
        <f>IF($Y221&gt;0,VLOOKUP($J221,Ruimtegroepen[],3,FALSE)*VLOOKUP($K221,Vloersoorten[],3,FALSE)*VLOOKUP($X221,Frequenties[],3,FALSE)*VLOOKUP(#REF!,Locaties[],3,FALSE),0)</f>
        <v>0</v>
      </c>
      <c r="AA221" s="33"/>
      <c r="AB221" s="33"/>
      <c r="AC221" s="33">
        <f>Ruimtestaat[[#This Row],[uren / jaar weekend]]*Tariefsopbouw!$D$40</f>
        <v>0</v>
      </c>
      <c r="AD221" s="88">
        <f>Ruimtestaat[[#This Row],[Prest. (m2 /jaar) weekend]]+Ruimtestaat[[#This Row],[Prest. (m2 /jaar) werkdagen]]</f>
        <v>1296</v>
      </c>
      <c r="AE221" s="88">
        <f>Ruimtestaat[[#This Row],[uren / jaar weekend]]+Ruimtestaat[[#This Row],[uren / jaar werkdagen]]</f>
        <v>0</v>
      </c>
      <c r="AF221" s="89">
        <f>Ruimtestaat[[#This Row],[kosten / jaar weekend]]+Ruimtestaat[[#This Row],[kosten / jaar werkdagen]]</f>
        <v>0</v>
      </c>
    </row>
    <row r="222" spans="1:32" ht="15" customHeight="1">
      <c r="A222" s="200">
        <v>2</v>
      </c>
      <c r="B222" s="21" t="str">
        <f>VLOOKUP(Ruimtestaat[[#This Row],[Code]],Locaties[#All],2,FALSE)</f>
        <v>Stichting Facilitair Beheer Van Renneslaan</v>
      </c>
      <c r="C222" s="243" t="str">
        <f>VLOOKUP(Ruimtestaat[[#This Row],[Code]],Locaties[#All],4,FALSE)</f>
        <v>Catharina van Renneslaan 35</v>
      </c>
      <c r="D222" s="243" t="str">
        <f>VLOOKUP(Ruimtestaat[[#This Row],[Code]],Locaties[#All],5,FALSE)</f>
        <v>7604 KV</v>
      </c>
      <c r="E222" s="243" t="str">
        <f>VLOOKUP(Ruimtestaat[[#This Row],[Code]],Locaties[#All],6,FALSE)</f>
        <v>Almelo</v>
      </c>
      <c r="F222" s="244"/>
      <c r="G222" s="200" t="s">
        <v>1336</v>
      </c>
      <c r="H222" s="200" t="s">
        <v>1327</v>
      </c>
      <c r="I222" s="244" t="s">
        <v>1156</v>
      </c>
      <c r="J222" s="243">
        <v>19</v>
      </c>
      <c r="K222" s="243" t="s">
        <v>111</v>
      </c>
      <c r="L222" s="200" t="s">
        <v>1340</v>
      </c>
      <c r="M222" s="213">
        <v>31.7</v>
      </c>
      <c r="N222" s="213"/>
      <c r="O222" s="243" t="str">
        <f>VLOOKUP(Ruimtestaat[[#This Row],[Ruimte code]],Ruimtegroepen[#All],4,FALSE)</f>
        <v>V  (Verkeersruimte)</v>
      </c>
      <c r="P222" s="214"/>
      <c r="Q222" s="215">
        <v>40</v>
      </c>
      <c r="R222" s="215" t="s">
        <v>2</v>
      </c>
      <c r="S222" s="215">
        <f>IF(R222&gt;0,IF(RIGHT(Ruimtestaat[[#This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2" s="215">
        <f>IF(S222&gt;0,VLOOKUP($J222,Ruimtegroepen[],3,FALSE)*VLOOKUP($K222,Vloersoorten[],3,FALSE)*VLOOKUP($R222,Frequenties[],3,FALSE)*VLOOKUP($A222,Locaties[],3,FALSE),0)</f>
        <v>0</v>
      </c>
      <c r="U222" s="215">
        <f>Ruimtestaat[[#This Row],[Uitvoeringen werkdagen]]*Ruimtestaat[[#This Row],[Oppervlak (netto)]]</f>
        <v>6340</v>
      </c>
      <c r="V222" s="259">
        <f>IF(T222&gt;0,Ruimtestaat[[#This Row],[Prest. (m2 /jaar) werkdagen]]/Ruimtestaat[[#This Row],[Norm (m2/uur) werkdagen]],0)</f>
        <v>0</v>
      </c>
      <c r="W222" s="260">
        <f>Ruimtestaat[[#This Row],[uren / jaar werkdagen]]*Tariefsopbouw!$D$38</f>
        <v>0</v>
      </c>
      <c r="X222" s="33"/>
      <c r="Y222" s="33">
        <f>IF(Ruimtestaat[[#This Row],[Frequentie weekend]]&gt;0,VALUE(LEFT(X222,1))*Q222,0)</f>
        <v>0</v>
      </c>
      <c r="Z222" s="33">
        <f>IF($Y222&gt;0,VLOOKUP($J222,Ruimtegroepen[],3,FALSE)*VLOOKUP($K222,Vloersoorten[],3,FALSE)*VLOOKUP($X222,Frequenties[],3,FALSE)*VLOOKUP(#REF!,Locaties[],3,FALSE),0)</f>
        <v>0</v>
      </c>
      <c r="AA222" s="33"/>
      <c r="AB222" s="33"/>
      <c r="AC222" s="33">
        <f>Ruimtestaat[[#This Row],[uren / jaar weekend]]*Tariefsopbouw!$D$40</f>
        <v>0</v>
      </c>
      <c r="AD222" s="88">
        <f>Ruimtestaat[[#This Row],[Prest. (m2 /jaar) weekend]]+Ruimtestaat[[#This Row],[Prest. (m2 /jaar) werkdagen]]</f>
        <v>6340</v>
      </c>
      <c r="AE222" s="88">
        <f>Ruimtestaat[[#This Row],[uren / jaar weekend]]+Ruimtestaat[[#This Row],[uren / jaar werkdagen]]</f>
        <v>0</v>
      </c>
      <c r="AF222" s="89">
        <f>Ruimtestaat[[#This Row],[kosten / jaar weekend]]+Ruimtestaat[[#This Row],[kosten / jaar werkdagen]]</f>
        <v>0</v>
      </c>
    </row>
    <row r="223" spans="1:32" ht="15" customHeight="1">
      <c r="A223" s="200">
        <v>2</v>
      </c>
      <c r="B223" s="21" t="str">
        <f>VLOOKUP(Ruimtestaat[[#This Row],[Code]],Locaties[#All],2,FALSE)</f>
        <v>Stichting Facilitair Beheer Van Renneslaan</v>
      </c>
      <c r="C223" s="243" t="str">
        <f>VLOOKUP(Ruimtestaat[[#This Row],[Code]],Locaties[#All],4,FALSE)</f>
        <v>Catharina van Renneslaan 35</v>
      </c>
      <c r="D223" s="243" t="str">
        <f>VLOOKUP(Ruimtestaat[[#This Row],[Code]],Locaties[#All],5,FALSE)</f>
        <v>7604 KV</v>
      </c>
      <c r="E223" s="243" t="str">
        <f>VLOOKUP(Ruimtestaat[[#This Row],[Code]],Locaties[#All],6,FALSE)</f>
        <v>Almelo</v>
      </c>
      <c r="F223" s="244"/>
      <c r="G223" s="200" t="s">
        <v>1336</v>
      </c>
      <c r="H223" s="200" t="s">
        <v>1328</v>
      </c>
      <c r="I223" s="244" t="s">
        <v>1157</v>
      </c>
      <c r="J223" s="200">
        <v>18</v>
      </c>
      <c r="K223" s="243" t="s">
        <v>112</v>
      </c>
      <c r="L223" s="200" t="s">
        <v>1341</v>
      </c>
      <c r="M223" s="213">
        <v>372.1</v>
      </c>
      <c r="N223" s="213"/>
      <c r="O223" s="243" t="str">
        <f>VLOOKUP(Ruimtestaat[[#This Row],[Ruimte code]],Ruimtegroepen[#All],4,FALSE)</f>
        <v>Sp  (Sportruimte)</v>
      </c>
      <c r="P223" s="214"/>
      <c r="Q223" s="215">
        <v>40</v>
      </c>
      <c r="R223" s="215" t="s">
        <v>2</v>
      </c>
      <c r="S223" s="215">
        <f>IF(R223&gt;0,IF(RIGHT(Ruimtestaat[[#This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3" s="215">
        <f>IF(S223&gt;0,VLOOKUP($J223,Ruimtegroepen[],3,FALSE)*VLOOKUP($K223,Vloersoorten[],3,FALSE)*VLOOKUP($R223,Frequenties[],3,FALSE)*VLOOKUP($A223,Locaties[],3,FALSE),0)</f>
        <v>0</v>
      </c>
      <c r="U223" s="215">
        <f>Ruimtestaat[[#This Row],[Uitvoeringen werkdagen]]*Ruimtestaat[[#This Row],[Oppervlak (netto)]]</f>
        <v>74420</v>
      </c>
      <c r="V223" s="259">
        <f>IF(T223&gt;0,Ruimtestaat[[#This Row],[Prest. (m2 /jaar) werkdagen]]/Ruimtestaat[[#This Row],[Norm (m2/uur) werkdagen]],0)</f>
        <v>0</v>
      </c>
      <c r="W223" s="260">
        <f>Ruimtestaat[[#This Row],[uren / jaar werkdagen]]*Tariefsopbouw!$D$38</f>
        <v>0</v>
      </c>
      <c r="X223" s="33"/>
      <c r="Y223" s="33">
        <f>IF(Ruimtestaat[[#This Row],[Frequentie weekend]]&gt;0,VALUE(LEFT(X223,1))*Q223,0)</f>
        <v>0</v>
      </c>
      <c r="Z223" s="33">
        <f>IF($Y223&gt;0,VLOOKUP($J223,Ruimtegroepen[],3,FALSE)*VLOOKUP($K223,Vloersoorten[],3,FALSE)*VLOOKUP($X223,Frequenties[],3,FALSE)*VLOOKUP(#REF!,Locaties[],3,FALSE),0)</f>
        <v>0</v>
      </c>
      <c r="AA223" s="33"/>
      <c r="AB223" s="33"/>
      <c r="AC223" s="33">
        <f>Ruimtestaat[[#This Row],[uren / jaar weekend]]*Tariefsopbouw!$D$40</f>
        <v>0</v>
      </c>
      <c r="AD223" s="88">
        <f>Ruimtestaat[[#This Row],[Prest. (m2 /jaar) weekend]]+Ruimtestaat[[#This Row],[Prest. (m2 /jaar) werkdagen]]</f>
        <v>74420</v>
      </c>
      <c r="AE223" s="88">
        <f>Ruimtestaat[[#This Row],[uren / jaar weekend]]+Ruimtestaat[[#This Row],[uren / jaar werkdagen]]</f>
        <v>0</v>
      </c>
      <c r="AF223" s="89">
        <f>Ruimtestaat[[#This Row],[kosten / jaar weekend]]+Ruimtestaat[[#This Row],[kosten / jaar werkdagen]]</f>
        <v>0</v>
      </c>
    </row>
    <row r="224" spans="1:32" ht="15" customHeight="1">
      <c r="A224" s="200">
        <v>2</v>
      </c>
      <c r="B224" s="21" t="str">
        <f>VLOOKUP(Ruimtestaat[[#This Row],[Code]],Locaties[#All],2,FALSE)</f>
        <v>Stichting Facilitair Beheer Van Renneslaan</v>
      </c>
      <c r="C224" s="243" t="str">
        <f>VLOOKUP(Ruimtestaat[[#This Row],[Code]],Locaties[#All],4,FALSE)</f>
        <v>Catharina van Renneslaan 35</v>
      </c>
      <c r="D224" s="243" t="str">
        <f>VLOOKUP(Ruimtestaat[[#This Row],[Code]],Locaties[#All],5,FALSE)</f>
        <v>7604 KV</v>
      </c>
      <c r="E224" s="243" t="str">
        <f>VLOOKUP(Ruimtestaat[[#This Row],[Code]],Locaties[#All],6,FALSE)</f>
        <v>Almelo</v>
      </c>
      <c r="F224" s="244"/>
      <c r="G224" s="200" t="s">
        <v>1336</v>
      </c>
      <c r="H224" s="200"/>
      <c r="I224" s="244" t="s">
        <v>1158</v>
      </c>
      <c r="J224" s="200">
        <v>10</v>
      </c>
      <c r="K224" s="243" t="s">
        <v>112</v>
      </c>
      <c r="L224" s="200" t="s">
        <v>1341</v>
      </c>
      <c r="M224" s="213">
        <v>35.5</v>
      </c>
      <c r="N224" s="213"/>
      <c r="O224" s="243" t="str">
        <f>VLOOKUP(Ruimtestaat[[#This Row],[Ruimte code]],Ruimtegroepen[#All],4,FALSE)</f>
        <v>V  (Verkeersruimte)</v>
      </c>
      <c r="P224" s="214"/>
      <c r="Q224" s="215">
        <v>40</v>
      </c>
      <c r="R224" s="215" t="s">
        <v>2</v>
      </c>
      <c r="S224" s="215">
        <f>IF(R224&gt;0,IF(RIGHT(Ruimtestaat[[#This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4" s="215">
        <f>IF(S224&gt;0,VLOOKUP($J224,Ruimtegroepen[],3,FALSE)*VLOOKUP($K224,Vloersoorten[],3,FALSE)*VLOOKUP($R224,Frequenties[],3,FALSE)*VLOOKUP($A224,Locaties[],3,FALSE),0)</f>
        <v>0</v>
      </c>
      <c r="U224" s="215">
        <f>Ruimtestaat[[#This Row],[Uitvoeringen werkdagen]]*Ruimtestaat[[#This Row],[Oppervlak (netto)]]</f>
        <v>7100</v>
      </c>
      <c r="V224" s="259">
        <f>IF(T224&gt;0,Ruimtestaat[[#This Row],[Prest. (m2 /jaar) werkdagen]]/Ruimtestaat[[#This Row],[Norm (m2/uur) werkdagen]],0)</f>
        <v>0</v>
      </c>
      <c r="W224" s="260">
        <f>Ruimtestaat[[#This Row],[uren / jaar werkdagen]]*Tariefsopbouw!$D$38</f>
        <v>0</v>
      </c>
      <c r="X224" s="33"/>
      <c r="Y224" s="33">
        <f>IF(Ruimtestaat[[#This Row],[Frequentie weekend]]&gt;0,VALUE(LEFT(X224,1))*Q224,0)</f>
        <v>0</v>
      </c>
      <c r="Z224" s="33">
        <f>IF($Y224&gt;0,VLOOKUP($J224,Ruimtegroepen[],3,FALSE)*VLOOKUP($K224,Vloersoorten[],3,FALSE)*VLOOKUP($X224,Frequenties[],3,FALSE)*VLOOKUP(#REF!,Locaties[],3,FALSE),0)</f>
        <v>0</v>
      </c>
      <c r="AA224" s="33"/>
      <c r="AB224" s="33"/>
      <c r="AC224" s="33">
        <f>Ruimtestaat[[#This Row],[uren / jaar weekend]]*Tariefsopbouw!$D$40</f>
        <v>0</v>
      </c>
      <c r="AD224" s="88">
        <f>Ruimtestaat[[#This Row],[Prest. (m2 /jaar) weekend]]+Ruimtestaat[[#This Row],[Prest. (m2 /jaar) werkdagen]]</f>
        <v>7100</v>
      </c>
      <c r="AE224" s="88">
        <f>Ruimtestaat[[#This Row],[uren / jaar weekend]]+Ruimtestaat[[#This Row],[uren / jaar werkdagen]]</f>
        <v>0</v>
      </c>
      <c r="AF224" s="89">
        <f>Ruimtestaat[[#This Row],[kosten / jaar weekend]]+Ruimtestaat[[#This Row],[kosten / jaar werkdagen]]</f>
        <v>0</v>
      </c>
    </row>
    <row r="225" spans="1:218" ht="15" customHeight="1">
      <c r="A225" s="200">
        <v>2</v>
      </c>
      <c r="B225" s="21" t="str">
        <f>VLOOKUP(Ruimtestaat[[#This Row],[Code]],Locaties[#All],2,FALSE)</f>
        <v>Stichting Facilitair Beheer Van Renneslaan</v>
      </c>
      <c r="C225" s="243" t="str">
        <f>VLOOKUP(Ruimtestaat[[#This Row],[Code]],Locaties[#All],4,FALSE)</f>
        <v>Catharina van Renneslaan 35</v>
      </c>
      <c r="D225" s="243" t="str">
        <f>VLOOKUP(Ruimtestaat[[#This Row],[Code]],Locaties[#All],5,FALSE)</f>
        <v>7604 KV</v>
      </c>
      <c r="E225" s="243" t="str">
        <f>VLOOKUP(Ruimtestaat[[#This Row],[Code]],Locaties[#All],6,FALSE)</f>
        <v>Almelo</v>
      </c>
      <c r="F225" s="244"/>
      <c r="G225" s="200" t="s">
        <v>1336</v>
      </c>
      <c r="H225" s="200" t="s">
        <v>1329</v>
      </c>
      <c r="I225" s="244" t="s">
        <v>1156</v>
      </c>
      <c r="J225" s="215">
        <v>19</v>
      </c>
      <c r="K225" s="243" t="s">
        <v>111</v>
      </c>
      <c r="L225" s="200" t="s">
        <v>1340</v>
      </c>
      <c r="M225" s="213">
        <v>32.1</v>
      </c>
      <c r="N225" s="213"/>
      <c r="O225" s="243" t="str">
        <f>VLOOKUP(Ruimtestaat[[#This Row],[Ruimte code]],Ruimtegroepen[#All],4,FALSE)</f>
        <v>V  (Verkeersruimte)</v>
      </c>
      <c r="P225" s="214"/>
      <c r="Q225" s="215">
        <v>40</v>
      </c>
      <c r="R225" s="215" t="s">
        <v>2</v>
      </c>
      <c r="S225" s="215">
        <f>IF(R225&gt;0,IF(RIGHT(Ruimtestaat[[#This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5" s="215">
        <f>IF(S225&gt;0,VLOOKUP($J225,Ruimtegroepen[],3,FALSE)*VLOOKUP($K225,Vloersoorten[],3,FALSE)*VLOOKUP($R225,Frequenties[],3,FALSE)*VLOOKUP($A225,Locaties[],3,FALSE),0)</f>
        <v>0</v>
      </c>
      <c r="U225" s="215">
        <f>Ruimtestaat[[#This Row],[Uitvoeringen werkdagen]]*Ruimtestaat[[#This Row],[Oppervlak (netto)]]</f>
        <v>6420</v>
      </c>
      <c r="V225" s="259">
        <f>IF(T225&gt;0,Ruimtestaat[[#This Row],[Prest. (m2 /jaar) werkdagen]]/Ruimtestaat[[#This Row],[Norm (m2/uur) werkdagen]],0)</f>
        <v>0</v>
      </c>
      <c r="W225" s="260">
        <f>Ruimtestaat[[#This Row],[uren / jaar werkdagen]]*Tariefsopbouw!$D$38</f>
        <v>0</v>
      </c>
      <c r="X225" s="33"/>
      <c r="Y225" s="33">
        <f>IF(Ruimtestaat[[#This Row],[Frequentie weekend]]&gt;0,VALUE(LEFT(X225,1))*Q225,0)</f>
        <v>0</v>
      </c>
      <c r="Z225" s="33">
        <f>IF($Y225&gt;0,VLOOKUP($J225,Ruimtegroepen[],3,FALSE)*VLOOKUP($K225,Vloersoorten[],3,FALSE)*VLOOKUP($X225,Frequenties[],3,FALSE)*VLOOKUP(#REF!,Locaties[],3,FALSE),0)</f>
        <v>0</v>
      </c>
      <c r="AA225" s="33"/>
      <c r="AB225" s="33"/>
      <c r="AC225" s="33">
        <f>Ruimtestaat[[#This Row],[uren / jaar weekend]]*Tariefsopbouw!$D$40</f>
        <v>0</v>
      </c>
      <c r="AD225" s="88">
        <f>Ruimtestaat[[#This Row],[Prest. (m2 /jaar) weekend]]+Ruimtestaat[[#This Row],[Prest. (m2 /jaar) werkdagen]]</f>
        <v>6420</v>
      </c>
      <c r="AE225" s="88">
        <f>Ruimtestaat[[#This Row],[uren / jaar weekend]]+Ruimtestaat[[#This Row],[uren / jaar werkdagen]]</f>
        <v>0</v>
      </c>
      <c r="AF225" s="89">
        <f>Ruimtestaat[[#This Row],[kosten / jaar weekend]]+Ruimtestaat[[#This Row],[kosten / jaar werkdagen]]</f>
        <v>0</v>
      </c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  <c r="BM225" s="4"/>
      <c r="BN225" s="4"/>
      <c r="BO225" s="4"/>
      <c r="BP225" s="4"/>
      <c r="BQ225" s="4"/>
      <c r="BR225" s="4"/>
      <c r="BS225" s="4"/>
      <c r="BT225" s="4"/>
      <c r="BU225" s="4"/>
      <c r="BV225" s="4"/>
      <c r="BW225" s="4"/>
      <c r="BX225" s="4"/>
      <c r="BY225" s="4"/>
      <c r="BZ225" s="4"/>
      <c r="CA225" s="4"/>
      <c r="CB225" s="4"/>
      <c r="CC225" s="4"/>
      <c r="CD225" s="4"/>
      <c r="CE225" s="4"/>
      <c r="CF225" s="4"/>
      <c r="CG225" s="4"/>
      <c r="CH225" s="4"/>
      <c r="CI225" s="4"/>
      <c r="CJ225" s="4"/>
      <c r="CK225" s="4"/>
      <c r="CL225" s="4"/>
      <c r="CM225" s="4"/>
      <c r="CN225" s="4"/>
      <c r="CO225" s="4"/>
      <c r="CP225" s="4"/>
      <c r="CQ225" s="4"/>
      <c r="CR225" s="4"/>
      <c r="CS225" s="4"/>
      <c r="CT225" s="4"/>
      <c r="CU225" s="4"/>
      <c r="CV225" s="4"/>
      <c r="CW225" s="4"/>
      <c r="CX225" s="4"/>
      <c r="CY225" s="4"/>
      <c r="CZ225" s="4"/>
      <c r="DA225" s="4"/>
      <c r="DB225" s="4"/>
      <c r="DC225" s="4"/>
      <c r="DD225" s="4"/>
      <c r="DE225" s="4"/>
      <c r="DF225" s="4"/>
      <c r="DG225" s="4"/>
      <c r="DH225" s="4"/>
      <c r="DI225" s="4"/>
      <c r="DJ225" s="4"/>
      <c r="DK225" s="4"/>
      <c r="DL225" s="4"/>
      <c r="DM225" s="4"/>
      <c r="DN225" s="4"/>
      <c r="DO225" s="4"/>
      <c r="DP225" s="4"/>
      <c r="DQ225" s="4"/>
      <c r="DR225" s="4"/>
      <c r="DS225" s="4"/>
      <c r="DT225" s="4"/>
      <c r="DU225" s="4"/>
      <c r="DV225" s="4"/>
      <c r="DW225" s="4"/>
      <c r="DX225" s="4"/>
      <c r="DY225" s="4"/>
      <c r="DZ225" s="4"/>
      <c r="EA225" s="4"/>
      <c r="EB225" s="4"/>
      <c r="EC225" s="4"/>
      <c r="ED225" s="4"/>
      <c r="EE225" s="4"/>
      <c r="EF225" s="4"/>
      <c r="EG225" s="4"/>
      <c r="EH225" s="4"/>
      <c r="EI225" s="4"/>
      <c r="EJ225" s="4"/>
      <c r="EK225" s="4"/>
      <c r="EL225" s="4"/>
      <c r="EM225" s="4"/>
      <c r="EN225" s="4"/>
      <c r="EO225" s="4"/>
      <c r="EP225" s="4"/>
      <c r="EQ225" s="4"/>
      <c r="ER225" s="4"/>
      <c r="ES225" s="4"/>
      <c r="ET225" s="4"/>
      <c r="EU225" s="4"/>
      <c r="EV225" s="4"/>
      <c r="EW225" s="4"/>
      <c r="EX225" s="4"/>
      <c r="EY225" s="4"/>
      <c r="EZ225" s="4"/>
      <c r="FA225" s="4"/>
      <c r="FB225" s="4"/>
      <c r="FC225" s="4"/>
      <c r="FD225" s="4"/>
      <c r="FE225" s="4"/>
      <c r="FF225" s="4"/>
      <c r="FG225" s="4"/>
      <c r="FH225" s="4"/>
      <c r="FI225" s="4"/>
      <c r="FJ225" s="4"/>
      <c r="FK225" s="4"/>
      <c r="FL225" s="4"/>
      <c r="FM225" s="4"/>
      <c r="FN225" s="4"/>
      <c r="FO225" s="4"/>
      <c r="FP225" s="4"/>
      <c r="FQ225" s="4"/>
      <c r="FR225" s="4"/>
      <c r="FS225" s="4"/>
      <c r="FT225" s="4"/>
      <c r="FU225" s="4"/>
      <c r="FV225" s="4"/>
      <c r="FW225" s="4"/>
      <c r="FX225" s="4"/>
      <c r="FY225" s="4"/>
      <c r="FZ225" s="4"/>
      <c r="GA225" s="4"/>
      <c r="GB225" s="4"/>
      <c r="GC225" s="4"/>
      <c r="GD225" s="4"/>
      <c r="GE225" s="4"/>
      <c r="GF225" s="4"/>
      <c r="GG225" s="4"/>
      <c r="GH225" s="4"/>
      <c r="GI225" s="4"/>
      <c r="GJ225" s="4"/>
      <c r="GK225" s="4"/>
      <c r="GL225" s="4"/>
      <c r="GM225" s="4"/>
      <c r="GN225" s="4"/>
      <c r="GO225" s="4"/>
      <c r="GP225" s="4"/>
      <c r="GQ225" s="4"/>
      <c r="GR225" s="4"/>
      <c r="GS225" s="4"/>
      <c r="GT225" s="4"/>
      <c r="GU225" s="4"/>
      <c r="GV225" s="4"/>
      <c r="GW225" s="4"/>
      <c r="GX225" s="4"/>
      <c r="GY225" s="4"/>
      <c r="GZ225" s="4"/>
      <c r="HA225" s="4"/>
      <c r="HB225" s="4"/>
      <c r="HC225" s="4"/>
      <c r="HD225" s="4"/>
      <c r="HE225" s="4"/>
      <c r="HF225" s="4"/>
      <c r="HG225" s="4"/>
      <c r="HH225" s="4"/>
      <c r="HI225" s="4"/>
      <c r="HJ225" s="4"/>
    </row>
    <row r="226" spans="1:218" ht="15" customHeight="1">
      <c r="A226" s="200">
        <v>2</v>
      </c>
      <c r="B226" s="21" t="str">
        <f>VLOOKUP(Ruimtestaat[[#This Row],[Code]],Locaties[#All],2,FALSE)</f>
        <v>Stichting Facilitair Beheer Van Renneslaan</v>
      </c>
      <c r="C226" s="243" t="str">
        <f>VLOOKUP(Ruimtestaat[[#This Row],[Code]],Locaties[#All],4,FALSE)</f>
        <v>Catharina van Renneslaan 35</v>
      </c>
      <c r="D226" s="243" t="str">
        <f>VLOOKUP(Ruimtestaat[[#This Row],[Code]],Locaties[#All],5,FALSE)</f>
        <v>7604 KV</v>
      </c>
      <c r="E226" s="243" t="str">
        <f>VLOOKUP(Ruimtestaat[[#This Row],[Code]],Locaties[#All],6,FALSE)</f>
        <v>Almelo</v>
      </c>
      <c r="F226" s="244"/>
      <c r="G226" s="200" t="s">
        <v>1336</v>
      </c>
      <c r="H226" s="200" t="s">
        <v>1330</v>
      </c>
      <c r="I226" s="244" t="s">
        <v>1155</v>
      </c>
      <c r="J226" s="243">
        <v>17</v>
      </c>
      <c r="K226" s="243" t="s">
        <v>112</v>
      </c>
      <c r="L226" s="200" t="s">
        <v>1341</v>
      </c>
      <c r="M226" s="213">
        <v>30.6</v>
      </c>
      <c r="N226" s="213"/>
      <c r="O226" s="243" t="str">
        <f>VLOOKUP(Ruimtestaat[[#This Row],[Ruimte code]],Ruimtegroepen[#All],4,FALSE)</f>
        <v>V  (Verkeersruimte)</v>
      </c>
      <c r="P226" s="214"/>
      <c r="Q226" s="215">
        <v>40</v>
      </c>
      <c r="R226" s="215" t="s">
        <v>15</v>
      </c>
      <c r="S226" s="215">
        <f>IF(R226&gt;0,IF(RIGHT(Ruimtestaat[[#This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226" s="215">
        <f>IF(S226&gt;0,VLOOKUP($J226,Ruimtegroepen[],3,FALSE)*VLOOKUP($K226,Vloersoorten[],3,FALSE)*VLOOKUP($R226,Frequenties[],3,FALSE)*VLOOKUP($A226,Locaties[],3,FALSE),0)</f>
        <v>0</v>
      </c>
      <c r="U226" s="215">
        <f>Ruimtestaat[[#This Row],[Uitvoeringen werkdagen]]*Ruimtestaat[[#This Row],[Oppervlak (netto)]]</f>
        <v>1224</v>
      </c>
      <c r="V226" s="259">
        <f>IF(T226&gt;0,Ruimtestaat[[#This Row],[Prest. (m2 /jaar) werkdagen]]/Ruimtestaat[[#This Row],[Norm (m2/uur) werkdagen]],0)</f>
        <v>0</v>
      </c>
      <c r="W226" s="260">
        <f>Ruimtestaat[[#This Row],[uren / jaar werkdagen]]*Tariefsopbouw!$D$38</f>
        <v>0</v>
      </c>
      <c r="X226" s="33"/>
      <c r="Y226" s="33">
        <f>IF(Ruimtestaat[[#This Row],[Frequentie weekend]]&gt;0,VALUE(LEFT(X226,1))*Q226,0)</f>
        <v>0</v>
      </c>
      <c r="Z226" s="33">
        <f>IF($Y226&gt;0,VLOOKUP($J226,Ruimtegroepen[],3,FALSE)*VLOOKUP($K226,Vloersoorten[],3,FALSE)*VLOOKUP($X226,Frequenties[],3,FALSE)*VLOOKUP(#REF!,Locaties[],3,FALSE),0)</f>
        <v>0</v>
      </c>
      <c r="AA226" s="33"/>
      <c r="AB226" s="33"/>
      <c r="AC226" s="33">
        <f>Ruimtestaat[[#This Row],[uren / jaar weekend]]*Tariefsopbouw!$D$40</f>
        <v>0</v>
      </c>
      <c r="AD226" s="88">
        <f>Ruimtestaat[[#This Row],[Prest. (m2 /jaar) weekend]]+Ruimtestaat[[#This Row],[Prest. (m2 /jaar) werkdagen]]</f>
        <v>1224</v>
      </c>
      <c r="AE226" s="88">
        <f>Ruimtestaat[[#This Row],[uren / jaar weekend]]+Ruimtestaat[[#This Row],[uren / jaar werkdagen]]</f>
        <v>0</v>
      </c>
      <c r="AF226" s="89">
        <f>Ruimtestaat[[#This Row],[kosten / jaar weekend]]+Ruimtestaat[[#This Row],[kosten / jaar werkdagen]]</f>
        <v>0</v>
      </c>
    </row>
    <row r="227" spans="1:218" ht="15" customHeight="1">
      <c r="A227" s="200">
        <v>2</v>
      </c>
      <c r="B227" s="21" t="str">
        <f>VLOOKUP(Ruimtestaat[[#This Row],[Code]],Locaties[#All],2,FALSE)</f>
        <v>Stichting Facilitair Beheer Van Renneslaan</v>
      </c>
      <c r="C227" s="243" t="str">
        <f>VLOOKUP(Ruimtestaat[[#This Row],[Code]],Locaties[#All],4,FALSE)</f>
        <v>Catharina van Renneslaan 35</v>
      </c>
      <c r="D227" s="243" t="str">
        <f>VLOOKUP(Ruimtestaat[[#This Row],[Code]],Locaties[#All],5,FALSE)</f>
        <v>7604 KV</v>
      </c>
      <c r="E227" s="243" t="str">
        <f>VLOOKUP(Ruimtestaat[[#This Row],[Code]],Locaties[#All],6,FALSE)</f>
        <v>Almelo</v>
      </c>
      <c r="F227" s="244"/>
      <c r="G227" s="200" t="s">
        <v>1336</v>
      </c>
      <c r="H227" s="200"/>
      <c r="I227" s="244" t="s">
        <v>1159</v>
      </c>
      <c r="J227" s="200">
        <v>1</v>
      </c>
      <c r="K227" s="243" t="s">
        <v>111</v>
      </c>
      <c r="L227" s="200" t="s">
        <v>1340</v>
      </c>
      <c r="M227" s="213">
        <v>6</v>
      </c>
      <c r="N227" s="213"/>
      <c r="O227" s="243" t="str">
        <f>VLOOKUP(Ruimtestaat[[#This Row],[Ruimte code]],Ruimtegroepen[#All],4,FALSE)</f>
        <v>V  (Verkeersruimte)</v>
      </c>
      <c r="P227" s="214"/>
      <c r="Q227" s="215">
        <v>40</v>
      </c>
      <c r="R227" s="215" t="s">
        <v>16</v>
      </c>
      <c r="S227" s="215">
        <f>IF(R227&gt;0,IF(RIGHT(Ruimtestaat[[#This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27" s="215">
        <f>IF(S227&gt;0,VLOOKUP($J227,Ruimtegroepen[],3,FALSE)*VLOOKUP($K227,Vloersoorten[],3,FALSE)*VLOOKUP($R227,Frequenties[],3,FALSE)*VLOOKUP($A227,Locaties[],3,FALSE),0)</f>
        <v>0</v>
      </c>
      <c r="U227" s="215">
        <f>Ruimtestaat[[#This Row],[Uitvoeringen werkdagen]]*Ruimtestaat[[#This Row],[Oppervlak (netto)]]</f>
        <v>72</v>
      </c>
      <c r="V227" s="259">
        <f>IF(T227&gt;0,Ruimtestaat[[#This Row],[Prest. (m2 /jaar) werkdagen]]/Ruimtestaat[[#This Row],[Norm (m2/uur) werkdagen]],0)</f>
        <v>0</v>
      </c>
      <c r="W227" s="260">
        <f>Ruimtestaat[[#This Row],[uren / jaar werkdagen]]*Tariefsopbouw!$D$38</f>
        <v>0</v>
      </c>
      <c r="X227" s="33"/>
      <c r="Y227" s="33">
        <f>IF(Ruimtestaat[[#This Row],[Frequentie weekend]]&gt;0,VALUE(LEFT(X227,1))*Q227,0)</f>
        <v>0</v>
      </c>
      <c r="Z227" s="33">
        <f>IF($Y227&gt;0,VLOOKUP($J227,Ruimtegroepen[],3,FALSE)*VLOOKUP($K227,Vloersoorten[],3,FALSE)*VLOOKUP($X227,Frequenties[],3,FALSE)*VLOOKUP(#REF!,Locaties[],3,FALSE),0)</f>
        <v>0</v>
      </c>
      <c r="AA227" s="33"/>
      <c r="AB227" s="33"/>
      <c r="AC227" s="33">
        <f>Ruimtestaat[[#This Row],[uren / jaar weekend]]*Tariefsopbouw!$D$40</f>
        <v>0</v>
      </c>
      <c r="AD227" s="88">
        <f>Ruimtestaat[[#This Row],[Prest. (m2 /jaar) weekend]]+Ruimtestaat[[#This Row],[Prest. (m2 /jaar) werkdagen]]</f>
        <v>72</v>
      </c>
      <c r="AE227" s="88">
        <f>Ruimtestaat[[#This Row],[uren / jaar weekend]]+Ruimtestaat[[#This Row],[uren / jaar werkdagen]]</f>
        <v>0</v>
      </c>
      <c r="AF227" s="89">
        <f>Ruimtestaat[[#This Row],[kosten / jaar weekend]]+Ruimtestaat[[#This Row],[kosten / jaar werkdagen]]</f>
        <v>0</v>
      </c>
    </row>
    <row r="228" spans="1:218" ht="15" customHeight="1">
      <c r="A228" s="200">
        <v>2</v>
      </c>
      <c r="B228" s="21" t="str">
        <f>VLOOKUP(Ruimtestaat[[#This Row],[Code]],Locaties[#All],2,FALSE)</f>
        <v>Stichting Facilitair Beheer Van Renneslaan</v>
      </c>
      <c r="C228" s="243" t="str">
        <f>VLOOKUP(Ruimtestaat[[#This Row],[Code]],Locaties[#All],4,FALSE)</f>
        <v>Catharina van Renneslaan 35</v>
      </c>
      <c r="D228" s="243" t="str">
        <f>VLOOKUP(Ruimtestaat[[#This Row],[Code]],Locaties[#All],5,FALSE)</f>
        <v>7604 KV</v>
      </c>
      <c r="E228" s="243" t="str">
        <f>VLOOKUP(Ruimtestaat[[#This Row],[Code]],Locaties[#All],6,FALSE)</f>
        <v>Almelo</v>
      </c>
      <c r="F228" s="244"/>
      <c r="G228" s="200" t="s">
        <v>1336</v>
      </c>
      <c r="H228" s="200" t="s">
        <v>1331</v>
      </c>
      <c r="I228" s="244" t="s">
        <v>1160</v>
      </c>
      <c r="J228" s="200">
        <v>19</v>
      </c>
      <c r="K228" s="243" t="s">
        <v>111</v>
      </c>
      <c r="L228" s="200" t="s">
        <v>1340</v>
      </c>
      <c r="M228" s="213">
        <v>6</v>
      </c>
      <c r="N228" s="213"/>
      <c r="O228" s="243" t="str">
        <f>VLOOKUP(Ruimtestaat[[#This Row],[Ruimte code]],Ruimtegroepen[#All],4,FALSE)</f>
        <v>V  (Verkeersruimte)</v>
      </c>
      <c r="P228" s="214"/>
      <c r="Q228" s="215">
        <v>40</v>
      </c>
      <c r="R228" s="215" t="s">
        <v>2</v>
      </c>
      <c r="S228" s="215">
        <f>IF(R228&gt;0,IF(RIGHT(Ruimtestaat[[#This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8" s="215">
        <f>IF(S228&gt;0,VLOOKUP($J228,Ruimtegroepen[],3,FALSE)*VLOOKUP($K228,Vloersoorten[],3,FALSE)*VLOOKUP($R228,Frequenties[],3,FALSE)*VLOOKUP($A228,Locaties[],3,FALSE),0)</f>
        <v>0</v>
      </c>
      <c r="U228" s="215">
        <f>Ruimtestaat[[#This Row],[Uitvoeringen werkdagen]]*Ruimtestaat[[#This Row],[Oppervlak (netto)]]</f>
        <v>1200</v>
      </c>
      <c r="V228" s="259">
        <f>IF(T228&gt;0,Ruimtestaat[[#This Row],[Prest. (m2 /jaar) werkdagen]]/Ruimtestaat[[#This Row],[Norm (m2/uur) werkdagen]],0)</f>
        <v>0</v>
      </c>
      <c r="W228" s="260">
        <f>Ruimtestaat[[#This Row],[uren / jaar werkdagen]]*Tariefsopbouw!$D$38</f>
        <v>0</v>
      </c>
      <c r="X228" s="33"/>
      <c r="Y228" s="33">
        <f>IF(Ruimtestaat[[#This Row],[Frequentie weekend]]&gt;0,VALUE(LEFT(X228,1))*Q228,0)</f>
        <v>0</v>
      </c>
      <c r="Z228" s="33">
        <f>IF($Y228&gt;0,VLOOKUP($J228,Ruimtegroepen[],3,FALSE)*VLOOKUP($K228,Vloersoorten[],3,FALSE)*VLOOKUP($X228,Frequenties[],3,FALSE)*VLOOKUP(#REF!,Locaties[],3,FALSE),0)</f>
        <v>0</v>
      </c>
      <c r="AA228" s="33"/>
      <c r="AB228" s="33"/>
      <c r="AC228" s="33">
        <f>Ruimtestaat[[#This Row],[uren / jaar weekend]]*Tariefsopbouw!$D$40</f>
        <v>0</v>
      </c>
      <c r="AD228" s="88">
        <f>Ruimtestaat[[#This Row],[Prest. (m2 /jaar) weekend]]+Ruimtestaat[[#This Row],[Prest. (m2 /jaar) werkdagen]]</f>
        <v>1200</v>
      </c>
      <c r="AE228" s="88">
        <f>Ruimtestaat[[#This Row],[uren / jaar weekend]]+Ruimtestaat[[#This Row],[uren / jaar werkdagen]]</f>
        <v>0</v>
      </c>
      <c r="AF228" s="89">
        <f>Ruimtestaat[[#This Row],[kosten / jaar weekend]]+Ruimtestaat[[#This Row],[kosten / jaar werkdagen]]</f>
        <v>0</v>
      </c>
    </row>
    <row r="229" spans="1:218" ht="15" customHeight="1">
      <c r="A229" s="200">
        <v>2</v>
      </c>
      <c r="B229" s="21" t="str">
        <f>VLOOKUP(Ruimtestaat[[#This Row],[Code]],Locaties[#All],2,FALSE)</f>
        <v>Stichting Facilitair Beheer Van Renneslaan</v>
      </c>
      <c r="C229" s="243" t="str">
        <f>VLOOKUP(Ruimtestaat[[#This Row],[Code]],Locaties[#All],4,FALSE)</f>
        <v>Catharina van Renneslaan 35</v>
      </c>
      <c r="D229" s="243" t="str">
        <f>VLOOKUP(Ruimtestaat[[#This Row],[Code]],Locaties[#All],5,FALSE)</f>
        <v>7604 KV</v>
      </c>
      <c r="E229" s="243" t="str">
        <f>VLOOKUP(Ruimtestaat[[#This Row],[Code]],Locaties[#All],6,FALSE)</f>
        <v>Almelo</v>
      </c>
      <c r="F229" s="244"/>
      <c r="G229" s="200" t="s">
        <v>1336</v>
      </c>
      <c r="H229" s="200" t="s">
        <v>1332</v>
      </c>
      <c r="I229" s="244" t="s">
        <v>1161</v>
      </c>
      <c r="J229" s="215">
        <v>19</v>
      </c>
      <c r="K229" s="243" t="s">
        <v>111</v>
      </c>
      <c r="L229" s="200" t="s">
        <v>1340</v>
      </c>
      <c r="M229" s="213">
        <v>6</v>
      </c>
      <c r="N229" s="213"/>
      <c r="O229" s="243" t="str">
        <f>VLOOKUP(Ruimtestaat[[#This Row],[Ruimte code]],Ruimtegroepen[#All],4,FALSE)</f>
        <v>V  (Verkeersruimte)</v>
      </c>
      <c r="P229" s="214"/>
      <c r="Q229" s="215">
        <v>40</v>
      </c>
      <c r="R229" s="215" t="s">
        <v>2</v>
      </c>
      <c r="S229" s="215">
        <f>IF(R229&gt;0,IF(RIGHT(Ruimtestaat[[#This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29" s="215">
        <f>IF(S229&gt;0,VLOOKUP($J229,Ruimtegroepen[],3,FALSE)*VLOOKUP($K229,Vloersoorten[],3,FALSE)*VLOOKUP($R229,Frequenties[],3,FALSE)*VLOOKUP($A229,Locaties[],3,FALSE),0)</f>
        <v>0</v>
      </c>
      <c r="U229" s="215">
        <f>Ruimtestaat[[#This Row],[Uitvoeringen werkdagen]]*Ruimtestaat[[#This Row],[Oppervlak (netto)]]</f>
        <v>1200</v>
      </c>
      <c r="V229" s="259">
        <f>IF(T229&gt;0,Ruimtestaat[[#This Row],[Prest. (m2 /jaar) werkdagen]]/Ruimtestaat[[#This Row],[Norm (m2/uur) werkdagen]],0)</f>
        <v>0</v>
      </c>
      <c r="W229" s="260">
        <f>Ruimtestaat[[#This Row],[uren / jaar werkdagen]]*Tariefsopbouw!$D$38</f>
        <v>0</v>
      </c>
      <c r="X229" s="33"/>
      <c r="Y229" s="33">
        <f>IF(Ruimtestaat[[#This Row],[Frequentie weekend]]&gt;0,VALUE(LEFT(X229,1))*Q229,0)</f>
        <v>0</v>
      </c>
      <c r="Z229" s="33">
        <f>IF($Y229&gt;0,VLOOKUP($J229,Ruimtegroepen[],3,FALSE)*VLOOKUP($K229,Vloersoorten[],3,FALSE)*VLOOKUP($X229,Frequenties[],3,FALSE)*VLOOKUP(#REF!,Locaties[],3,FALSE),0)</f>
        <v>0</v>
      </c>
      <c r="AA229" s="33"/>
      <c r="AB229" s="33"/>
      <c r="AC229" s="33">
        <f>Ruimtestaat[[#This Row],[uren / jaar weekend]]*Tariefsopbouw!$D$40</f>
        <v>0</v>
      </c>
      <c r="AD229" s="88">
        <f>Ruimtestaat[[#This Row],[Prest. (m2 /jaar) weekend]]+Ruimtestaat[[#This Row],[Prest. (m2 /jaar) werkdagen]]</f>
        <v>1200</v>
      </c>
      <c r="AE229" s="88">
        <f>Ruimtestaat[[#This Row],[uren / jaar weekend]]+Ruimtestaat[[#This Row],[uren / jaar werkdagen]]</f>
        <v>0</v>
      </c>
      <c r="AF229" s="89">
        <f>Ruimtestaat[[#This Row],[kosten / jaar weekend]]+Ruimtestaat[[#This Row],[kosten / jaar werkdagen]]</f>
        <v>0</v>
      </c>
    </row>
    <row r="230" spans="1:218" ht="15" customHeight="1">
      <c r="A230" s="200">
        <v>2</v>
      </c>
      <c r="B230" s="21" t="str">
        <f>VLOOKUP(Ruimtestaat[[#This Row],[Code]],Locaties[#All],2,FALSE)</f>
        <v>Stichting Facilitair Beheer Van Renneslaan</v>
      </c>
      <c r="C230" s="243" t="str">
        <f>VLOOKUP(Ruimtestaat[[#This Row],[Code]],Locaties[#All],4,FALSE)</f>
        <v>Catharina van Renneslaan 35</v>
      </c>
      <c r="D230" s="243" t="str">
        <f>VLOOKUP(Ruimtestaat[[#This Row],[Code]],Locaties[#All],5,FALSE)</f>
        <v>7604 KV</v>
      </c>
      <c r="E230" s="243" t="str">
        <f>VLOOKUP(Ruimtestaat[[#This Row],[Code]],Locaties[#All],6,FALSE)</f>
        <v>Almelo</v>
      </c>
      <c r="F230" s="244"/>
      <c r="G230" s="200" t="s">
        <v>1336</v>
      </c>
      <c r="H230" s="200"/>
      <c r="I230" s="244" t="s">
        <v>1064</v>
      </c>
      <c r="J230" s="200">
        <v>6</v>
      </c>
      <c r="K230" s="243" t="s">
        <v>112</v>
      </c>
      <c r="L230" s="200" t="s">
        <v>1341</v>
      </c>
      <c r="M230" s="213">
        <v>45.3</v>
      </c>
      <c r="N230" s="213"/>
      <c r="O230" s="243" t="str">
        <f>VLOOKUP(Ruimtestaat[[#This Row],[Ruimte code]],Ruimtegroepen[#All],4,FALSE)</f>
        <v>V  (Verkeersruimte)</v>
      </c>
      <c r="P230" s="214"/>
      <c r="Q230" s="215">
        <v>40</v>
      </c>
      <c r="R230" s="215" t="s">
        <v>2</v>
      </c>
      <c r="S230" s="215">
        <f>IF(R230&gt;0,IF(RIGHT(Ruimtestaat[[#This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0" s="215">
        <f>IF(S230&gt;0,VLOOKUP($J230,Ruimtegroepen[],3,FALSE)*VLOOKUP($K230,Vloersoorten[],3,FALSE)*VLOOKUP($R230,Frequenties[],3,FALSE)*VLOOKUP($A230,Locaties[],3,FALSE),0)</f>
        <v>0</v>
      </c>
      <c r="U230" s="215">
        <f>Ruimtestaat[[#This Row],[Uitvoeringen werkdagen]]*Ruimtestaat[[#This Row],[Oppervlak (netto)]]</f>
        <v>9060</v>
      </c>
      <c r="V230" s="259">
        <f>IF(T230&gt;0,Ruimtestaat[[#This Row],[Prest. (m2 /jaar) werkdagen]]/Ruimtestaat[[#This Row],[Norm (m2/uur) werkdagen]],0)</f>
        <v>0</v>
      </c>
      <c r="W230" s="260">
        <f>Ruimtestaat[[#This Row],[uren / jaar werkdagen]]*Tariefsopbouw!$D$38</f>
        <v>0</v>
      </c>
      <c r="X230" s="33"/>
      <c r="Y230" s="33">
        <f>IF(Ruimtestaat[[#This Row],[Frequentie weekend]]&gt;0,VALUE(LEFT(X230,1))*Q230,0)</f>
        <v>0</v>
      </c>
      <c r="Z230" s="33">
        <f>IF($Y230&gt;0,VLOOKUP($J230,Ruimtegroepen[],3,FALSE)*VLOOKUP($K230,Vloersoorten[],3,FALSE)*VLOOKUP($X230,Frequenties[],3,FALSE)*VLOOKUP(#REF!,Locaties[],3,FALSE),0)</f>
        <v>0</v>
      </c>
      <c r="AA230" s="33"/>
      <c r="AB230" s="33"/>
      <c r="AC230" s="33">
        <f>Ruimtestaat[[#This Row],[uren / jaar weekend]]*Tariefsopbouw!$D$40</f>
        <v>0</v>
      </c>
      <c r="AD230" s="88">
        <f>Ruimtestaat[[#This Row],[Prest. (m2 /jaar) weekend]]+Ruimtestaat[[#This Row],[Prest. (m2 /jaar) werkdagen]]</f>
        <v>9060</v>
      </c>
      <c r="AE230" s="88">
        <f>Ruimtestaat[[#This Row],[uren / jaar weekend]]+Ruimtestaat[[#This Row],[uren / jaar werkdagen]]</f>
        <v>0</v>
      </c>
      <c r="AF230" s="89">
        <f>Ruimtestaat[[#This Row],[kosten / jaar weekend]]+Ruimtestaat[[#This Row],[kosten / jaar werkdagen]]</f>
        <v>0</v>
      </c>
    </row>
    <row r="231" spans="1:218" ht="15" customHeight="1">
      <c r="A231" s="200">
        <v>2</v>
      </c>
      <c r="B231" s="21" t="str">
        <f>VLOOKUP(Ruimtestaat[[#This Row],[Code]],Locaties[#All],2,FALSE)</f>
        <v>Stichting Facilitair Beheer Van Renneslaan</v>
      </c>
      <c r="C231" s="243" t="str">
        <f>VLOOKUP(Ruimtestaat[[#This Row],[Code]],Locaties[#All],4,FALSE)</f>
        <v>Catharina van Renneslaan 35</v>
      </c>
      <c r="D231" s="243" t="str">
        <f>VLOOKUP(Ruimtestaat[[#This Row],[Code]],Locaties[#All],5,FALSE)</f>
        <v>7604 KV</v>
      </c>
      <c r="E231" s="243" t="str">
        <f>VLOOKUP(Ruimtestaat[[#This Row],[Code]],Locaties[#All],6,FALSE)</f>
        <v>Almelo</v>
      </c>
      <c r="F231" s="244"/>
      <c r="G231" s="200" t="s">
        <v>1336</v>
      </c>
      <c r="H231" s="200"/>
      <c r="I231" s="244" t="s">
        <v>1056</v>
      </c>
      <c r="J231" s="200">
        <v>7</v>
      </c>
      <c r="K231" s="243" t="s">
        <v>112</v>
      </c>
      <c r="L231" s="200" t="s">
        <v>1341</v>
      </c>
      <c r="M231" s="213">
        <v>14</v>
      </c>
      <c r="N231" s="213"/>
      <c r="O231" s="243" t="str">
        <f>VLOOKUP(Ruimtestaat[[#This Row],[Ruimte code]],Ruimtegroepen[#All],4,FALSE)</f>
        <v>V  (Verkeersruimte)</v>
      </c>
      <c r="P231" s="214"/>
      <c r="Q231" s="215">
        <v>40</v>
      </c>
      <c r="R231" s="215" t="s">
        <v>2</v>
      </c>
      <c r="S231" s="215">
        <f>IF(R231&gt;0,IF(RIGHT(Ruimtestaat[[#This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1" s="215">
        <f>IF(S231&gt;0,VLOOKUP($J231,Ruimtegroepen[],3,FALSE)*VLOOKUP($K231,Vloersoorten[],3,FALSE)*VLOOKUP($R231,Frequenties[],3,FALSE)*VLOOKUP($A231,Locaties[],3,FALSE),0)</f>
        <v>0</v>
      </c>
      <c r="U231" s="215">
        <f>Ruimtestaat[[#This Row],[Uitvoeringen werkdagen]]*Ruimtestaat[[#This Row],[Oppervlak (netto)]]</f>
        <v>2800</v>
      </c>
      <c r="V231" s="259">
        <f>IF(T231&gt;0,Ruimtestaat[[#This Row],[Prest. (m2 /jaar) werkdagen]]/Ruimtestaat[[#This Row],[Norm (m2/uur) werkdagen]],0)</f>
        <v>0</v>
      </c>
      <c r="W231" s="260">
        <f>Ruimtestaat[[#This Row],[uren / jaar werkdagen]]*Tariefsopbouw!$D$38</f>
        <v>0</v>
      </c>
      <c r="X231" s="33"/>
      <c r="Y231" s="33">
        <f>IF(Ruimtestaat[[#This Row],[Frequentie weekend]]&gt;0,VALUE(LEFT(X231,1))*Q231,0)</f>
        <v>0</v>
      </c>
      <c r="Z231" s="33">
        <f>IF($Y231&gt;0,VLOOKUP($J231,Ruimtegroepen[],3,FALSE)*VLOOKUP($K231,Vloersoorten[],3,FALSE)*VLOOKUP($X231,Frequenties[],3,FALSE)*VLOOKUP(#REF!,Locaties[],3,FALSE),0)</f>
        <v>0</v>
      </c>
      <c r="AA231" s="33"/>
      <c r="AB231" s="33"/>
      <c r="AC231" s="33">
        <f>Ruimtestaat[[#This Row],[uren / jaar weekend]]*Tariefsopbouw!$D$40</f>
        <v>0</v>
      </c>
      <c r="AD231" s="88">
        <f>Ruimtestaat[[#This Row],[Prest. (m2 /jaar) weekend]]+Ruimtestaat[[#This Row],[Prest. (m2 /jaar) werkdagen]]</f>
        <v>2800</v>
      </c>
      <c r="AE231" s="88">
        <f>Ruimtestaat[[#This Row],[uren / jaar weekend]]+Ruimtestaat[[#This Row],[uren / jaar werkdagen]]</f>
        <v>0</v>
      </c>
      <c r="AF231" s="89">
        <f>Ruimtestaat[[#This Row],[kosten / jaar weekend]]+Ruimtestaat[[#This Row],[kosten / jaar werkdagen]]</f>
        <v>0</v>
      </c>
    </row>
    <row r="232" spans="1:218" ht="15" customHeight="1">
      <c r="A232" s="200">
        <v>2</v>
      </c>
      <c r="B232" s="21" t="str">
        <f>VLOOKUP(Ruimtestaat[[#This Row],[Code]],Locaties[#All],2,FALSE)</f>
        <v>Stichting Facilitair Beheer Van Renneslaan</v>
      </c>
      <c r="C232" s="243" t="str">
        <f>VLOOKUP(Ruimtestaat[[#This Row],[Code]],Locaties[#All],4,FALSE)</f>
        <v>Catharina van Renneslaan 35</v>
      </c>
      <c r="D232" s="243" t="str">
        <f>VLOOKUP(Ruimtestaat[[#This Row],[Code]],Locaties[#All],5,FALSE)</f>
        <v>7604 KV</v>
      </c>
      <c r="E232" s="243" t="str">
        <f>VLOOKUP(Ruimtestaat[[#This Row],[Code]],Locaties[#All],6,FALSE)</f>
        <v>Almelo</v>
      </c>
      <c r="F232" s="244"/>
      <c r="G232" s="200" t="s">
        <v>1336</v>
      </c>
      <c r="H232" s="200"/>
      <c r="I232" s="244" t="s">
        <v>1162</v>
      </c>
      <c r="J232" s="215">
        <v>1</v>
      </c>
      <c r="K232" s="243" t="s">
        <v>111</v>
      </c>
      <c r="L232" s="200" t="s">
        <v>1339</v>
      </c>
      <c r="M232" s="213">
        <v>161.1</v>
      </c>
      <c r="N232" s="213"/>
      <c r="O232" s="243" t="str">
        <f>VLOOKUP(Ruimtestaat[[#This Row],[Ruimte code]],Ruimtegroepen[#All],4,FALSE)</f>
        <v>V  (Verkeersruimte)</v>
      </c>
      <c r="P232" s="214"/>
      <c r="Q232" s="215">
        <v>40</v>
      </c>
      <c r="R232" s="215" t="s">
        <v>16</v>
      </c>
      <c r="S232" s="215">
        <f>IF(R232&gt;0,IF(RIGHT(Ruimtestaat[[#This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32" s="215">
        <f>IF(S232&gt;0,VLOOKUP($J232,Ruimtegroepen[],3,FALSE)*VLOOKUP($K232,Vloersoorten[],3,FALSE)*VLOOKUP($R232,Frequenties[],3,FALSE)*VLOOKUP($A232,Locaties[],3,FALSE),0)</f>
        <v>0</v>
      </c>
      <c r="U232" s="215">
        <f>Ruimtestaat[[#This Row],[Uitvoeringen werkdagen]]*Ruimtestaat[[#This Row],[Oppervlak (netto)]]</f>
        <v>1933.1999999999998</v>
      </c>
      <c r="V232" s="259">
        <f>IF(T232&gt;0,Ruimtestaat[[#This Row],[Prest. (m2 /jaar) werkdagen]]/Ruimtestaat[[#This Row],[Norm (m2/uur) werkdagen]],0)</f>
        <v>0</v>
      </c>
      <c r="W232" s="260">
        <f>Ruimtestaat[[#This Row],[uren / jaar werkdagen]]*Tariefsopbouw!$D$38</f>
        <v>0</v>
      </c>
      <c r="X232" s="33"/>
      <c r="Y232" s="33">
        <f>IF(Ruimtestaat[[#This Row],[Frequentie weekend]]&gt;0,VALUE(LEFT(X232,1))*Q232,0)</f>
        <v>0</v>
      </c>
      <c r="Z232" s="33">
        <f>IF($Y232&gt;0,VLOOKUP($J232,Ruimtegroepen[],3,FALSE)*VLOOKUP($K232,Vloersoorten[],3,FALSE)*VLOOKUP($X232,Frequenties[],3,FALSE)*VLOOKUP(#REF!,Locaties[],3,FALSE),0)</f>
        <v>0</v>
      </c>
      <c r="AA232" s="33"/>
      <c r="AB232" s="33"/>
      <c r="AC232" s="33">
        <f>Ruimtestaat[[#This Row],[uren / jaar weekend]]*Tariefsopbouw!$D$40</f>
        <v>0</v>
      </c>
      <c r="AD232" s="88">
        <f>Ruimtestaat[[#This Row],[Prest. (m2 /jaar) weekend]]+Ruimtestaat[[#This Row],[Prest. (m2 /jaar) werkdagen]]</f>
        <v>1933.1999999999998</v>
      </c>
      <c r="AE232" s="88">
        <f>Ruimtestaat[[#This Row],[uren / jaar weekend]]+Ruimtestaat[[#This Row],[uren / jaar werkdagen]]</f>
        <v>0</v>
      </c>
      <c r="AF232" s="89">
        <f>Ruimtestaat[[#This Row],[kosten / jaar weekend]]+Ruimtestaat[[#This Row],[kosten / jaar werkdagen]]</f>
        <v>0</v>
      </c>
    </row>
    <row r="233" spans="1:218" ht="15" customHeight="1">
      <c r="A233" s="200">
        <v>2</v>
      </c>
      <c r="B233" s="21" t="str">
        <f>VLOOKUP(Ruimtestaat[[#This Row],[Code]],Locaties[#All],2,FALSE)</f>
        <v>Stichting Facilitair Beheer Van Renneslaan</v>
      </c>
      <c r="C233" s="243" t="str">
        <f>VLOOKUP(Ruimtestaat[[#This Row],[Code]],Locaties[#All],4,FALSE)</f>
        <v>Catharina van Renneslaan 35</v>
      </c>
      <c r="D233" s="243" t="str">
        <f>VLOOKUP(Ruimtestaat[[#This Row],[Code]],Locaties[#All],5,FALSE)</f>
        <v>7604 KV</v>
      </c>
      <c r="E233" s="243" t="str">
        <f>VLOOKUP(Ruimtestaat[[#This Row],[Code]],Locaties[#All],6,FALSE)</f>
        <v>Almelo</v>
      </c>
      <c r="F233" s="244"/>
      <c r="G233" s="200" t="s">
        <v>1336</v>
      </c>
      <c r="H233" s="200"/>
      <c r="I233" s="244" t="s">
        <v>1163</v>
      </c>
      <c r="J233" s="243">
        <v>5</v>
      </c>
      <c r="K233" s="243" t="s">
        <v>111</v>
      </c>
      <c r="L233" s="200" t="s">
        <v>1340</v>
      </c>
      <c r="M233" s="213">
        <v>14</v>
      </c>
      <c r="N233" s="213"/>
      <c r="O233" s="243" t="str">
        <f>VLOOKUP(Ruimtestaat[[#This Row],[Ruimte code]],Ruimtegroepen[#All],4,FALSE)</f>
        <v>S  (Sanitair)</v>
      </c>
      <c r="P233" s="214"/>
      <c r="Q233" s="215">
        <v>40</v>
      </c>
      <c r="R233" s="215" t="s">
        <v>2</v>
      </c>
      <c r="S233" s="215">
        <f>IF(R233&gt;0,IF(RIGHT(Ruimtestaat[[#This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3" s="215">
        <f>IF(S233&gt;0,VLOOKUP($J233,Ruimtegroepen[],3,FALSE)*VLOOKUP($K233,Vloersoorten[],3,FALSE)*VLOOKUP($R233,Frequenties[],3,FALSE)*VLOOKUP($A233,Locaties[],3,FALSE),0)</f>
        <v>0</v>
      </c>
      <c r="U233" s="215">
        <f>Ruimtestaat[[#This Row],[Uitvoeringen werkdagen]]*Ruimtestaat[[#This Row],[Oppervlak (netto)]]</f>
        <v>2800</v>
      </c>
      <c r="V233" s="259">
        <f>IF(T233&gt;0,Ruimtestaat[[#This Row],[Prest. (m2 /jaar) werkdagen]]/Ruimtestaat[[#This Row],[Norm (m2/uur) werkdagen]],0)</f>
        <v>0</v>
      </c>
      <c r="W233" s="260">
        <f>Ruimtestaat[[#This Row],[uren / jaar werkdagen]]*Tariefsopbouw!$D$38</f>
        <v>0</v>
      </c>
      <c r="X233" s="33"/>
      <c r="Y233" s="33">
        <f>IF(Ruimtestaat[[#This Row],[Frequentie weekend]]&gt;0,VALUE(LEFT(X233,1))*Q233,0)</f>
        <v>0</v>
      </c>
      <c r="Z233" s="33">
        <f>IF($Y233&gt;0,VLOOKUP($J233,Ruimtegroepen[],3,FALSE)*VLOOKUP($K233,Vloersoorten[],3,FALSE)*VLOOKUP($X233,Frequenties[],3,FALSE)*VLOOKUP(#REF!,Locaties[],3,FALSE),0)</f>
        <v>0</v>
      </c>
      <c r="AA233" s="33"/>
      <c r="AB233" s="33"/>
      <c r="AC233" s="33">
        <f>Ruimtestaat[[#This Row],[uren / jaar weekend]]*Tariefsopbouw!$D$40</f>
        <v>0</v>
      </c>
      <c r="AD233" s="88">
        <f>Ruimtestaat[[#This Row],[Prest. (m2 /jaar) weekend]]+Ruimtestaat[[#This Row],[Prest. (m2 /jaar) werkdagen]]</f>
        <v>2800</v>
      </c>
      <c r="AE233" s="88">
        <f>Ruimtestaat[[#This Row],[uren / jaar weekend]]+Ruimtestaat[[#This Row],[uren / jaar werkdagen]]</f>
        <v>0</v>
      </c>
      <c r="AF233" s="89">
        <f>Ruimtestaat[[#This Row],[kosten / jaar weekend]]+Ruimtestaat[[#This Row],[kosten / jaar werkdagen]]</f>
        <v>0</v>
      </c>
    </row>
    <row r="234" spans="1:218" ht="15" customHeight="1">
      <c r="A234" s="200">
        <v>2</v>
      </c>
      <c r="B234" s="21" t="str">
        <f>VLOOKUP(Ruimtestaat[[#This Row],[Code]],Locaties[#All],2,FALSE)</f>
        <v>Stichting Facilitair Beheer Van Renneslaan</v>
      </c>
      <c r="C234" s="243" t="str">
        <f>VLOOKUP(Ruimtestaat[[#This Row],[Code]],Locaties[#All],4,FALSE)</f>
        <v>Catharina van Renneslaan 35</v>
      </c>
      <c r="D234" s="243" t="str">
        <f>VLOOKUP(Ruimtestaat[[#This Row],[Code]],Locaties[#All],5,FALSE)</f>
        <v>7604 KV</v>
      </c>
      <c r="E234" s="243" t="str">
        <f>VLOOKUP(Ruimtestaat[[#This Row],[Code]],Locaties[#All],6,FALSE)</f>
        <v>Almelo</v>
      </c>
      <c r="F234" s="244"/>
      <c r="G234" s="200" t="s">
        <v>1336</v>
      </c>
      <c r="H234" s="200"/>
      <c r="I234" s="244" t="s">
        <v>1163</v>
      </c>
      <c r="J234" s="243">
        <v>5</v>
      </c>
      <c r="K234" s="243" t="s">
        <v>111</v>
      </c>
      <c r="L234" s="200" t="s">
        <v>1340</v>
      </c>
      <c r="M234" s="213">
        <v>14</v>
      </c>
      <c r="N234" s="213"/>
      <c r="O234" s="243" t="str">
        <f>VLOOKUP(Ruimtestaat[[#This Row],[Ruimte code]],Ruimtegroepen[#All],4,FALSE)</f>
        <v>S  (Sanitair)</v>
      </c>
      <c r="P234" s="214"/>
      <c r="Q234" s="215">
        <v>40</v>
      </c>
      <c r="R234" s="215" t="s">
        <v>2</v>
      </c>
      <c r="S234" s="215">
        <f>IF(R234&gt;0,IF(RIGHT(Ruimtestaat[[#This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4" s="215">
        <f>IF(S234&gt;0,VLOOKUP($J234,Ruimtegroepen[],3,FALSE)*VLOOKUP($K234,Vloersoorten[],3,FALSE)*VLOOKUP($R234,Frequenties[],3,FALSE)*VLOOKUP($A234,Locaties[],3,FALSE),0)</f>
        <v>0</v>
      </c>
      <c r="U234" s="215">
        <f>Ruimtestaat[[#This Row],[Uitvoeringen werkdagen]]*Ruimtestaat[[#This Row],[Oppervlak (netto)]]</f>
        <v>2800</v>
      </c>
      <c r="V234" s="259">
        <f>IF(T234&gt;0,Ruimtestaat[[#This Row],[Prest. (m2 /jaar) werkdagen]]/Ruimtestaat[[#This Row],[Norm (m2/uur) werkdagen]],0)</f>
        <v>0</v>
      </c>
      <c r="W234" s="260">
        <f>Ruimtestaat[[#This Row],[uren / jaar werkdagen]]*Tariefsopbouw!$D$38</f>
        <v>0</v>
      </c>
      <c r="X234" s="33"/>
      <c r="Y234" s="33">
        <f>IF(Ruimtestaat[[#This Row],[Frequentie weekend]]&gt;0,VALUE(LEFT(X234,1))*Q234,0)</f>
        <v>0</v>
      </c>
      <c r="Z234" s="33">
        <f>IF($Y234&gt;0,VLOOKUP($J234,Ruimtegroepen[],3,FALSE)*VLOOKUP($K234,Vloersoorten[],3,FALSE)*VLOOKUP($X234,Frequenties[],3,FALSE)*VLOOKUP(#REF!,Locaties[],3,FALSE),0)</f>
        <v>0</v>
      </c>
      <c r="AA234" s="33"/>
      <c r="AB234" s="33"/>
      <c r="AC234" s="33">
        <f>Ruimtestaat[[#This Row],[uren / jaar weekend]]*Tariefsopbouw!$D$40</f>
        <v>0</v>
      </c>
      <c r="AD234" s="88">
        <f>Ruimtestaat[[#This Row],[Prest. (m2 /jaar) weekend]]+Ruimtestaat[[#This Row],[Prest. (m2 /jaar) werkdagen]]</f>
        <v>2800</v>
      </c>
      <c r="AE234" s="88">
        <f>Ruimtestaat[[#This Row],[uren / jaar weekend]]+Ruimtestaat[[#This Row],[uren / jaar werkdagen]]</f>
        <v>0</v>
      </c>
      <c r="AF234" s="89">
        <f>Ruimtestaat[[#This Row],[kosten / jaar weekend]]+Ruimtestaat[[#This Row],[kosten / jaar werkdagen]]</f>
        <v>0</v>
      </c>
    </row>
    <row r="235" spans="1:218" ht="15" customHeight="1">
      <c r="A235" s="200">
        <v>2</v>
      </c>
      <c r="B235" s="21" t="str">
        <f>VLOOKUP(Ruimtestaat[[#This Row],[Code]],Locaties[#All],2,FALSE)</f>
        <v>Stichting Facilitair Beheer Van Renneslaan</v>
      </c>
      <c r="C235" s="243" t="str">
        <f>VLOOKUP(Ruimtestaat[[#This Row],[Code]],Locaties[#All],4,FALSE)</f>
        <v>Catharina van Renneslaan 35</v>
      </c>
      <c r="D235" s="243" t="str">
        <f>VLOOKUP(Ruimtestaat[[#This Row],[Code]],Locaties[#All],5,FALSE)</f>
        <v>7604 KV</v>
      </c>
      <c r="E235" s="243" t="str">
        <f>VLOOKUP(Ruimtestaat[[#This Row],[Code]],Locaties[#All],6,FALSE)</f>
        <v>Almelo</v>
      </c>
      <c r="F235" s="244"/>
      <c r="G235" s="200" t="s">
        <v>1336</v>
      </c>
      <c r="H235" s="200"/>
      <c r="I235" s="244" t="s">
        <v>1164</v>
      </c>
      <c r="J235" s="200">
        <v>10</v>
      </c>
      <c r="K235" s="243" t="s">
        <v>112</v>
      </c>
      <c r="L235" s="200" t="s">
        <v>1341</v>
      </c>
      <c r="M235" s="213">
        <v>17.8</v>
      </c>
      <c r="N235" s="213"/>
      <c r="O235" s="243" t="str">
        <f>VLOOKUP(Ruimtestaat[[#This Row],[Ruimte code]],Ruimtegroepen[#All],4,FALSE)</f>
        <v>V  (Verkeersruimte)</v>
      </c>
      <c r="P235" s="214"/>
      <c r="Q235" s="215">
        <v>40</v>
      </c>
      <c r="R235" s="215" t="s">
        <v>2</v>
      </c>
      <c r="S235" s="215">
        <f>IF(R235&gt;0,IF(RIGHT(Ruimtestaat[[#This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5" s="215">
        <f>IF(S235&gt;0,VLOOKUP($J235,Ruimtegroepen[],3,FALSE)*VLOOKUP($K235,Vloersoorten[],3,FALSE)*VLOOKUP($R235,Frequenties[],3,FALSE)*VLOOKUP($A235,Locaties[],3,FALSE),0)</f>
        <v>0</v>
      </c>
      <c r="U235" s="215">
        <f>Ruimtestaat[[#This Row],[Uitvoeringen werkdagen]]*Ruimtestaat[[#This Row],[Oppervlak (netto)]]</f>
        <v>3560</v>
      </c>
      <c r="V235" s="259">
        <f>IF(T235&gt;0,Ruimtestaat[[#This Row],[Prest. (m2 /jaar) werkdagen]]/Ruimtestaat[[#This Row],[Norm (m2/uur) werkdagen]],0)</f>
        <v>0</v>
      </c>
      <c r="W235" s="260">
        <f>Ruimtestaat[[#This Row],[uren / jaar werkdagen]]*Tariefsopbouw!$D$38</f>
        <v>0</v>
      </c>
      <c r="X235" s="33"/>
      <c r="Y235" s="33">
        <f>IF(Ruimtestaat[[#This Row],[Frequentie weekend]]&gt;0,VALUE(LEFT(X235,1))*Q235,0)</f>
        <v>0</v>
      </c>
      <c r="Z235" s="33">
        <f>IF($Y235&gt;0,VLOOKUP($J235,Ruimtegroepen[],3,FALSE)*VLOOKUP($K235,Vloersoorten[],3,FALSE)*VLOOKUP($X235,Frequenties[],3,FALSE)*VLOOKUP(#REF!,Locaties[],3,FALSE),0)</f>
        <v>0</v>
      </c>
      <c r="AA235" s="33"/>
      <c r="AB235" s="33"/>
      <c r="AC235" s="33">
        <f>Ruimtestaat[[#This Row],[uren / jaar weekend]]*Tariefsopbouw!$D$40</f>
        <v>0</v>
      </c>
      <c r="AD235" s="88">
        <f>Ruimtestaat[[#This Row],[Prest. (m2 /jaar) weekend]]+Ruimtestaat[[#This Row],[Prest. (m2 /jaar) werkdagen]]</f>
        <v>3560</v>
      </c>
      <c r="AE235" s="88">
        <f>Ruimtestaat[[#This Row],[uren / jaar weekend]]+Ruimtestaat[[#This Row],[uren / jaar werkdagen]]</f>
        <v>0</v>
      </c>
      <c r="AF235" s="89">
        <f>Ruimtestaat[[#This Row],[kosten / jaar weekend]]+Ruimtestaat[[#This Row],[kosten / jaar werkdagen]]</f>
        <v>0</v>
      </c>
    </row>
    <row r="236" spans="1:218" ht="15" customHeight="1">
      <c r="A236" s="200">
        <v>2</v>
      </c>
      <c r="B236" s="21" t="str">
        <f>VLOOKUP(Ruimtestaat[[#This Row],[Code]],Locaties[#All],2,FALSE)</f>
        <v>Stichting Facilitair Beheer Van Renneslaan</v>
      </c>
      <c r="C236" s="243" t="str">
        <f>VLOOKUP(Ruimtestaat[[#This Row],[Code]],Locaties[#All],4,FALSE)</f>
        <v>Catharina van Renneslaan 35</v>
      </c>
      <c r="D236" s="243" t="str">
        <f>VLOOKUP(Ruimtestaat[[#This Row],[Code]],Locaties[#All],5,FALSE)</f>
        <v>7604 KV</v>
      </c>
      <c r="E236" s="243" t="str">
        <f>VLOOKUP(Ruimtestaat[[#This Row],[Code]],Locaties[#All],6,FALSE)</f>
        <v>Almelo</v>
      </c>
      <c r="F236" s="244"/>
      <c r="G236" s="200" t="s">
        <v>1336</v>
      </c>
      <c r="H236" s="200" t="s">
        <v>1333</v>
      </c>
      <c r="I236" s="244" t="s">
        <v>1165</v>
      </c>
      <c r="J236" s="200">
        <v>6</v>
      </c>
      <c r="K236" s="243" t="s">
        <v>1040</v>
      </c>
      <c r="L236" s="200" t="s">
        <v>999</v>
      </c>
      <c r="M236" s="213">
        <v>45.9</v>
      </c>
      <c r="N236" s="213"/>
      <c r="O236" s="243" t="str">
        <f>VLOOKUP(Ruimtestaat[[#This Row],[Ruimte code]],Ruimtegroepen[#All],4,FALSE)</f>
        <v>V  (Verkeersruimte)</v>
      </c>
      <c r="P236" s="214"/>
      <c r="Q236" s="215">
        <v>40</v>
      </c>
      <c r="R236" s="215" t="s">
        <v>2</v>
      </c>
      <c r="S236" s="215">
        <f>IF(R236&gt;0,IF(RIGHT(Ruimtestaat[[#This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6" s="215">
        <f>IF(S236&gt;0,VLOOKUP($J236,Ruimtegroepen[],3,FALSE)*VLOOKUP($K236,Vloersoorten[],3,FALSE)*VLOOKUP($R236,Frequenties[],3,FALSE)*VLOOKUP($A236,Locaties[],3,FALSE),0)</f>
        <v>0</v>
      </c>
      <c r="U236" s="215">
        <f>Ruimtestaat[[#This Row],[Uitvoeringen werkdagen]]*Ruimtestaat[[#This Row],[Oppervlak (netto)]]</f>
        <v>9180</v>
      </c>
      <c r="V236" s="259">
        <f>IF(T236&gt;0,Ruimtestaat[[#This Row],[Prest. (m2 /jaar) werkdagen]]/Ruimtestaat[[#This Row],[Norm (m2/uur) werkdagen]],0)</f>
        <v>0</v>
      </c>
      <c r="W236" s="260">
        <f>Ruimtestaat[[#This Row],[uren / jaar werkdagen]]*Tariefsopbouw!$D$38</f>
        <v>0</v>
      </c>
      <c r="X236" s="33"/>
      <c r="Y236" s="33">
        <f>IF(Ruimtestaat[[#This Row],[Frequentie weekend]]&gt;0,VALUE(LEFT(X236,1))*Q236,0)</f>
        <v>0</v>
      </c>
      <c r="Z236" s="33">
        <f>IF($Y236&gt;0,VLOOKUP($J236,Ruimtegroepen[],3,FALSE)*VLOOKUP($K236,Vloersoorten[],3,FALSE)*VLOOKUP($X236,Frequenties[],3,FALSE)*VLOOKUP(#REF!,Locaties[],3,FALSE),0)</f>
        <v>0</v>
      </c>
      <c r="AA236" s="33"/>
      <c r="AB236" s="33"/>
      <c r="AC236" s="33">
        <f>Ruimtestaat[[#This Row],[uren / jaar weekend]]*Tariefsopbouw!$D$40</f>
        <v>0</v>
      </c>
      <c r="AD236" s="88">
        <f>Ruimtestaat[[#This Row],[Prest. (m2 /jaar) weekend]]+Ruimtestaat[[#This Row],[Prest. (m2 /jaar) werkdagen]]</f>
        <v>9180</v>
      </c>
      <c r="AE236" s="88">
        <f>Ruimtestaat[[#This Row],[uren / jaar weekend]]+Ruimtestaat[[#This Row],[uren / jaar werkdagen]]</f>
        <v>0</v>
      </c>
      <c r="AF236" s="89">
        <f>Ruimtestaat[[#This Row],[kosten / jaar weekend]]+Ruimtestaat[[#This Row],[kosten / jaar werkdagen]]</f>
        <v>0</v>
      </c>
    </row>
    <row r="237" spans="1:218" ht="15" customHeight="1">
      <c r="A237" s="200">
        <v>2</v>
      </c>
      <c r="B237" s="21" t="str">
        <f>VLOOKUP(Ruimtestaat[[#This Row],[Code]],Locaties[#All],2,FALSE)</f>
        <v>Stichting Facilitair Beheer Van Renneslaan</v>
      </c>
      <c r="C237" s="243" t="str">
        <f>VLOOKUP(Ruimtestaat[[#This Row],[Code]],Locaties[#All],4,FALSE)</f>
        <v>Catharina van Renneslaan 35</v>
      </c>
      <c r="D237" s="243" t="str">
        <f>VLOOKUP(Ruimtestaat[[#This Row],[Code]],Locaties[#All],5,FALSE)</f>
        <v>7604 KV</v>
      </c>
      <c r="E237" s="243" t="str">
        <f>VLOOKUP(Ruimtestaat[[#This Row],[Code]],Locaties[#All],6,FALSE)</f>
        <v>Almelo</v>
      </c>
      <c r="F237" s="244"/>
      <c r="G237" s="200" t="s">
        <v>1336</v>
      </c>
      <c r="H237" s="200" t="s">
        <v>1178</v>
      </c>
      <c r="I237" s="244" t="s">
        <v>1166</v>
      </c>
      <c r="J237" s="200">
        <v>6</v>
      </c>
      <c r="K237" s="243" t="s">
        <v>1040</v>
      </c>
      <c r="L237" s="200" t="s">
        <v>999</v>
      </c>
      <c r="M237" s="213">
        <v>28.9</v>
      </c>
      <c r="N237" s="213"/>
      <c r="O237" s="243" t="str">
        <f>VLOOKUP(Ruimtestaat[[#This Row],[Ruimte code]],Ruimtegroepen[#All],4,FALSE)</f>
        <v>V  (Verkeersruimte)</v>
      </c>
      <c r="P237" s="214"/>
      <c r="Q237" s="215">
        <v>40</v>
      </c>
      <c r="R237" s="215" t="s">
        <v>2</v>
      </c>
      <c r="S237" s="215">
        <f>IF(R237&gt;0,IF(RIGHT(Ruimtestaat[[#This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7" s="215">
        <f>IF(S237&gt;0,VLOOKUP($J237,Ruimtegroepen[],3,FALSE)*VLOOKUP($K237,Vloersoorten[],3,FALSE)*VLOOKUP($R237,Frequenties[],3,FALSE)*VLOOKUP($A237,Locaties[],3,FALSE),0)</f>
        <v>0</v>
      </c>
      <c r="U237" s="215">
        <f>Ruimtestaat[[#This Row],[Uitvoeringen werkdagen]]*Ruimtestaat[[#This Row],[Oppervlak (netto)]]</f>
        <v>5780</v>
      </c>
      <c r="V237" s="259">
        <f>IF(T237&gt;0,Ruimtestaat[[#This Row],[Prest. (m2 /jaar) werkdagen]]/Ruimtestaat[[#This Row],[Norm (m2/uur) werkdagen]],0)</f>
        <v>0</v>
      </c>
      <c r="W237" s="260">
        <f>Ruimtestaat[[#This Row],[uren / jaar werkdagen]]*Tariefsopbouw!$D$38</f>
        <v>0</v>
      </c>
      <c r="X237" s="33"/>
      <c r="Y237" s="33">
        <f>IF(Ruimtestaat[[#This Row],[Frequentie weekend]]&gt;0,VALUE(LEFT(X237,1))*Q237,0)</f>
        <v>0</v>
      </c>
      <c r="Z237" s="33">
        <f>IF($Y237&gt;0,VLOOKUP($J237,Ruimtegroepen[],3,FALSE)*VLOOKUP($K237,Vloersoorten[],3,FALSE)*VLOOKUP($X237,Frequenties[],3,FALSE)*VLOOKUP(#REF!,Locaties[],3,FALSE),0)</f>
        <v>0</v>
      </c>
      <c r="AA237" s="33"/>
      <c r="AB237" s="33"/>
      <c r="AC237" s="33">
        <f>Ruimtestaat[[#This Row],[uren / jaar weekend]]*Tariefsopbouw!$D$40</f>
        <v>0</v>
      </c>
      <c r="AD237" s="88">
        <f>Ruimtestaat[[#This Row],[Prest. (m2 /jaar) weekend]]+Ruimtestaat[[#This Row],[Prest. (m2 /jaar) werkdagen]]</f>
        <v>5780</v>
      </c>
      <c r="AE237" s="88">
        <f>Ruimtestaat[[#This Row],[uren / jaar weekend]]+Ruimtestaat[[#This Row],[uren / jaar werkdagen]]</f>
        <v>0</v>
      </c>
      <c r="AF237" s="89">
        <f>Ruimtestaat[[#This Row],[kosten / jaar weekend]]+Ruimtestaat[[#This Row],[kosten / jaar werkdagen]]</f>
        <v>0</v>
      </c>
    </row>
    <row r="238" spans="1:218" ht="15" customHeight="1">
      <c r="A238" s="200">
        <v>2</v>
      </c>
      <c r="B238" s="21" t="str">
        <f>VLOOKUP(Ruimtestaat[[#This Row],[Code]],Locaties[#All],2,FALSE)</f>
        <v>Stichting Facilitair Beheer Van Renneslaan</v>
      </c>
      <c r="C238" s="243" t="str">
        <f>VLOOKUP(Ruimtestaat[[#This Row],[Code]],Locaties[#All],4,FALSE)</f>
        <v>Catharina van Renneslaan 35</v>
      </c>
      <c r="D238" s="243" t="str">
        <f>VLOOKUP(Ruimtestaat[[#This Row],[Code]],Locaties[#All],5,FALSE)</f>
        <v>7604 KV</v>
      </c>
      <c r="E238" s="243" t="str">
        <f>VLOOKUP(Ruimtestaat[[#This Row],[Code]],Locaties[#All],6,FALSE)</f>
        <v>Almelo</v>
      </c>
      <c r="F238" s="244"/>
      <c r="G238" s="200" t="s">
        <v>1336</v>
      </c>
      <c r="H238" s="200" t="s">
        <v>1176</v>
      </c>
      <c r="I238" s="244" t="s">
        <v>1167</v>
      </c>
      <c r="J238" s="200">
        <v>6</v>
      </c>
      <c r="K238" s="243" t="s">
        <v>1040</v>
      </c>
      <c r="L238" s="200" t="s">
        <v>999</v>
      </c>
      <c r="M238" s="213">
        <v>31.1</v>
      </c>
      <c r="N238" s="213"/>
      <c r="O238" s="243" t="str">
        <f>VLOOKUP(Ruimtestaat[[#This Row],[Ruimte code]],Ruimtegroepen[#All],4,FALSE)</f>
        <v>V  (Verkeersruimte)</v>
      </c>
      <c r="P238" s="214"/>
      <c r="Q238" s="215">
        <v>40</v>
      </c>
      <c r="R238" s="215" t="s">
        <v>2</v>
      </c>
      <c r="S238" s="215">
        <f>IF(R238&gt;0,IF(RIGHT(Ruimtestaat[[#This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8" s="215">
        <f>IF(S238&gt;0,VLOOKUP($J238,Ruimtegroepen[],3,FALSE)*VLOOKUP($K238,Vloersoorten[],3,FALSE)*VLOOKUP($R238,Frequenties[],3,FALSE)*VLOOKUP($A238,Locaties[],3,FALSE),0)</f>
        <v>0</v>
      </c>
      <c r="U238" s="215">
        <f>Ruimtestaat[[#This Row],[Uitvoeringen werkdagen]]*Ruimtestaat[[#This Row],[Oppervlak (netto)]]</f>
        <v>6220</v>
      </c>
      <c r="V238" s="259">
        <f>IF(T238&gt;0,Ruimtestaat[[#This Row],[Prest. (m2 /jaar) werkdagen]]/Ruimtestaat[[#This Row],[Norm (m2/uur) werkdagen]],0)</f>
        <v>0</v>
      </c>
      <c r="W238" s="260">
        <f>Ruimtestaat[[#This Row],[uren / jaar werkdagen]]*Tariefsopbouw!$D$38</f>
        <v>0</v>
      </c>
      <c r="X238" s="33"/>
      <c r="Y238" s="33">
        <f>IF(Ruimtestaat[[#This Row],[Frequentie weekend]]&gt;0,VALUE(LEFT(X238,1))*Q238,0)</f>
        <v>0</v>
      </c>
      <c r="Z238" s="33">
        <f>IF($Y238&gt;0,VLOOKUP($J238,Ruimtegroepen[],3,FALSE)*VLOOKUP($K238,Vloersoorten[],3,FALSE)*VLOOKUP($X238,Frequenties[],3,FALSE)*VLOOKUP(#REF!,Locaties[],3,FALSE),0)</f>
        <v>0</v>
      </c>
      <c r="AA238" s="33"/>
      <c r="AB238" s="33"/>
      <c r="AC238" s="33">
        <f>Ruimtestaat[[#This Row],[uren / jaar weekend]]*Tariefsopbouw!$D$40</f>
        <v>0</v>
      </c>
      <c r="AD238" s="88">
        <f>Ruimtestaat[[#This Row],[Prest. (m2 /jaar) weekend]]+Ruimtestaat[[#This Row],[Prest. (m2 /jaar) werkdagen]]</f>
        <v>6220</v>
      </c>
      <c r="AE238" s="88">
        <f>Ruimtestaat[[#This Row],[uren / jaar weekend]]+Ruimtestaat[[#This Row],[uren / jaar werkdagen]]</f>
        <v>0</v>
      </c>
      <c r="AF238" s="89">
        <f>Ruimtestaat[[#This Row],[kosten / jaar weekend]]+Ruimtestaat[[#This Row],[kosten / jaar werkdagen]]</f>
        <v>0</v>
      </c>
    </row>
    <row r="239" spans="1:218" ht="15" customHeight="1">
      <c r="A239" s="200">
        <v>2</v>
      </c>
      <c r="B239" s="21" t="str">
        <f>VLOOKUP(Ruimtestaat[[#This Row],[Code]],Locaties[#All],2,FALSE)</f>
        <v>Stichting Facilitair Beheer Van Renneslaan</v>
      </c>
      <c r="C239" s="243" t="str">
        <f>VLOOKUP(Ruimtestaat[[#This Row],[Code]],Locaties[#All],4,FALSE)</f>
        <v>Catharina van Renneslaan 35</v>
      </c>
      <c r="D239" s="243" t="str">
        <f>VLOOKUP(Ruimtestaat[[#This Row],[Code]],Locaties[#All],5,FALSE)</f>
        <v>7604 KV</v>
      </c>
      <c r="E239" s="243" t="str">
        <f>VLOOKUP(Ruimtestaat[[#This Row],[Code]],Locaties[#All],6,FALSE)</f>
        <v>Almelo</v>
      </c>
      <c r="F239" s="244"/>
      <c r="G239" s="200" t="s">
        <v>1336</v>
      </c>
      <c r="H239" s="200" t="s">
        <v>1173</v>
      </c>
      <c r="I239" s="244" t="s">
        <v>1168</v>
      </c>
      <c r="J239" s="200">
        <v>6</v>
      </c>
      <c r="K239" s="243" t="s">
        <v>1040</v>
      </c>
      <c r="L239" s="200" t="s">
        <v>999</v>
      </c>
      <c r="M239" s="213">
        <v>19.899999999999999</v>
      </c>
      <c r="N239" s="213"/>
      <c r="O239" s="243" t="str">
        <f>VLOOKUP(Ruimtestaat[[#This Row],[Ruimte code]],Ruimtegroepen[#All],4,FALSE)</f>
        <v>V  (Verkeersruimte)</v>
      </c>
      <c r="P239" s="214"/>
      <c r="Q239" s="215">
        <v>40</v>
      </c>
      <c r="R239" s="215" t="s">
        <v>2</v>
      </c>
      <c r="S239" s="215">
        <f>IF(R239&gt;0,IF(RIGHT(Ruimtestaat[[#This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39" s="215">
        <f>IF(S239&gt;0,VLOOKUP($J239,Ruimtegroepen[],3,FALSE)*VLOOKUP($K239,Vloersoorten[],3,FALSE)*VLOOKUP($R239,Frequenties[],3,FALSE)*VLOOKUP($A239,Locaties[],3,FALSE),0)</f>
        <v>0</v>
      </c>
      <c r="U239" s="215">
        <f>Ruimtestaat[[#This Row],[Uitvoeringen werkdagen]]*Ruimtestaat[[#This Row],[Oppervlak (netto)]]</f>
        <v>3979.9999999999995</v>
      </c>
      <c r="V239" s="259">
        <f>IF(T239&gt;0,Ruimtestaat[[#This Row],[Prest. (m2 /jaar) werkdagen]]/Ruimtestaat[[#This Row],[Norm (m2/uur) werkdagen]],0)</f>
        <v>0</v>
      </c>
      <c r="W239" s="260">
        <f>Ruimtestaat[[#This Row],[uren / jaar werkdagen]]*Tariefsopbouw!$D$38</f>
        <v>0</v>
      </c>
      <c r="X239" s="33"/>
      <c r="Y239" s="33">
        <f>IF(Ruimtestaat[[#This Row],[Frequentie weekend]]&gt;0,VALUE(LEFT(X239,1))*Q239,0)</f>
        <v>0</v>
      </c>
      <c r="Z239" s="33">
        <f>IF($Y239&gt;0,VLOOKUP($J239,Ruimtegroepen[],3,FALSE)*VLOOKUP($K239,Vloersoorten[],3,FALSE)*VLOOKUP($X239,Frequenties[],3,FALSE)*VLOOKUP(#REF!,Locaties[],3,FALSE),0)</f>
        <v>0</v>
      </c>
      <c r="AA239" s="33"/>
      <c r="AB239" s="33"/>
      <c r="AC239" s="33">
        <f>Ruimtestaat[[#This Row],[uren / jaar weekend]]*Tariefsopbouw!$D$40</f>
        <v>0</v>
      </c>
      <c r="AD239" s="88">
        <f>Ruimtestaat[[#This Row],[Prest. (m2 /jaar) weekend]]+Ruimtestaat[[#This Row],[Prest. (m2 /jaar) werkdagen]]</f>
        <v>3979.9999999999995</v>
      </c>
      <c r="AE239" s="88">
        <f>Ruimtestaat[[#This Row],[uren / jaar weekend]]+Ruimtestaat[[#This Row],[uren / jaar werkdagen]]</f>
        <v>0</v>
      </c>
      <c r="AF239" s="89">
        <f>Ruimtestaat[[#This Row],[kosten / jaar weekend]]+Ruimtestaat[[#This Row],[kosten / jaar werkdagen]]</f>
        <v>0</v>
      </c>
    </row>
    <row r="240" spans="1:218" ht="15" customHeight="1">
      <c r="A240" s="200">
        <v>2</v>
      </c>
      <c r="B240" s="21" t="str">
        <f>VLOOKUP(Ruimtestaat[[#This Row],[Code]],Locaties[#All],2,FALSE)</f>
        <v>Stichting Facilitair Beheer Van Renneslaan</v>
      </c>
      <c r="C240" s="243" t="str">
        <f>VLOOKUP(Ruimtestaat[[#This Row],[Code]],Locaties[#All],4,FALSE)</f>
        <v>Catharina van Renneslaan 35</v>
      </c>
      <c r="D240" s="243" t="str">
        <f>VLOOKUP(Ruimtestaat[[#This Row],[Code]],Locaties[#All],5,FALSE)</f>
        <v>7604 KV</v>
      </c>
      <c r="E240" s="243" t="str">
        <f>VLOOKUP(Ruimtestaat[[#This Row],[Code]],Locaties[#All],6,FALSE)</f>
        <v>Almelo</v>
      </c>
      <c r="F240" s="244"/>
      <c r="G240" s="200" t="s">
        <v>1336</v>
      </c>
      <c r="H240" s="200"/>
      <c r="I240" s="244" t="s">
        <v>1169</v>
      </c>
      <c r="J240" s="200">
        <v>10</v>
      </c>
      <c r="K240" s="243" t="s">
        <v>112</v>
      </c>
      <c r="L240" s="200" t="s">
        <v>1341</v>
      </c>
      <c r="M240" s="213">
        <v>23.1</v>
      </c>
      <c r="N240" s="213"/>
      <c r="O240" s="243" t="str">
        <f>VLOOKUP(Ruimtestaat[[#This Row],[Ruimte code]],Ruimtegroepen[#All],4,FALSE)</f>
        <v>V  (Verkeersruimte)</v>
      </c>
      <c r="P240" s="214"/>
      <c r="Q240" s="215">
        <v>40</v>
      </c>
      <c r="R240" s="215" t="s">
        <v>2</v>
      </c>
      <c r="S240" s="215">
        <f>IF(R240&gt;0,IF(RIGHT(Ruimtestaat[[#This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0" s="215">
        <f>IF(S240&gt;0,VLOOKUP($J240,Ruimtegroepen[],3,FALSE)*VLOOKUP($K240,Vloersoorten[],3,FALSE)*VLOOKUP($R240,Frequenties[],3,FALSE)*VLOOKUP($A240,Locaties[],3,FALSE),0)</f>
        <v>0</v>
      </c>
      <c r="U240" s="215">
        <f>Ruimtestaat[[#This Row],[Uitvoeringen werkdagen]]*Ruimtestaat[[#This Row],[Oppervlak (netto)]]</f>
        <v>4620</v>
      </c>
      <c r="V240" s="259">
        <f>IF(T240&gt;0,Ruimtestaat[[#This Row],[Prest. (m2 /jaar) werkdagen]]/Ruimtestaat[[#This Row],[Norm (m2/uur) werkdagen]],0)</f>
        <v>0</v>
      </c>
      <c r="W240" s="260">
        <f>Ruimtestaat[[#This Row],[uren / jaar werkdagen]]*Tariefsopbouw!$D$38</f>
        <v>0</v>
      </c>
      <c r="X240" s="33"/>
      <c r="Y240" s="33">
        <f>IF(Ruimtestaat[[#This Row],[Frequentie weekend]]&gt;0,VALUE(LEFT(X240,1))*Q240,0)</f>
        <v>0</v>
      </c>
      <c r="Z240" s="33">
        <f>IF($Y240&gt;0,VLOOKUP($J240,Ruimtegroepen[],3,FALSE)*VLOOKUP($K240,Vloersoorten[],3,FALSE)*VLOOKUP($X240,Frequenties[],3,FALSE)*VLOOKUP(#REF!,Locaties[],3,FALSE),0)</f>
        <v>0</v>
      </c>
      <c r="AA240" s="33"/>
      <c r="AB240" s="33"/>
      <c r="AC240" s="33">
        <f>Ruimtestaat[[#This Row],[uren / jaar weekend]]*Tariefsopbouw!$D$40</f>
        <v>0</v>
      </c>
      <c r="AD240" s="88">
        <f>Ruimtestaat[[#This Row],[Prest. (m2 /jaar) weekend]]+Ruimtestaat[[#This Row],[Prest. (m2 /jaar) werkdagen]]</f>
        <v>4620</v>
      </c>
      <c r="AE240" s="88">
        <f>Ruimtestaat[[#This Row],[uren / jaar weekend]]+Ruimtestaat[[#This Row],[uren / jaar werkdagen]]</f>
        <v>0</v>
      </c>
      <c r="AF240" s="89">
        <f>Ruimtestaat[[#This Row],[kosten / jaar weekend]]+Ruimtestaat[[#This Row],[kosten / jaar werkdagen]]</f>
        <v>0</v>
      </c>
    </row>
    <row r="241" spans="1:32" ht="15" customHeight="1">
      <c r="A241" s="200">
        <v>2</v>
      </c>
      <c r="B241" s="21" t="str">
        <f>VLOOKUP(Ruimtestaat[[#This Row],[Code]],Locaties[#All],2,FALSE)</f>
        <v>Stichting Facilitair Beheer Van Renneslaan</v>
      </c>
      <c r="C241" s="243" t="str">
        <f>VLOOKUP(Ruimtestaat[[#This Row],[Code]],Locaties[#All],4,FALSE)</f>
        <v>Catharina van Renneslaan 35</v>
      </c>
      <c r="D241" s="243" t="str">
        <f>VLOOKUP(Ruimtestaat[[#This Row],[Code]],Locaties[#All],5,FALSE)</f>
        <v>7604 KV</v>
      </c>
      <c r="E241" s="243" t="str">
        <f>VLOOKUP(Ruimtestaat[[#This Row],[Code]],Locaties[#All],6,FALSE)</f>
        <v>Almelo</v>
      </c>
      <c r="F241" s="244"/>
      <c r="G241" s="200" t="s">
        <v>1336</v>
      </c>
      <c r="H241" s="200"/>
      <c r="I241" s="244" t="s">
        <v>1170</v>
      </c>
      <c r="J241" s="200">
        <v>1</v>
      </c>
      <c r="K241" s="243" t="s">
        <v>1040</v>
      </c>
      <c r="L241" s="200" t="s">
        <v>999</v>
      </c>
      <c r="M241" s="213">
        <v>20.399999999999999</v>
      </c>
      <c r="N241" s="213"/>
      <c r="O241" s="243" t="str">
        <f>VLOOKUP(Ruimtestaat[[#This Row],[Ruimte code]],Ruimtegroepen[#All],4,FALSE)</f>
        <v>V  (Verkeersruimte)</v>
      </c>
      <c r="P241" s="214"/>
      <c r="Q241" s="215">
        <v>40</v>
      </c>
      <c r="R241" s="215" t="s">
        <v>16</v>
      </c>
      <c r="S241" s="215">
        <f>IF(R241&gt;0,IF(RIGHT(Ruimtestaat[[#This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41" s="215">
        <f>IF(S241&gt;0,VLOOKUP($J241,Ruimtegroepen[],3,FALSE)*VLOOKUP($K241,Vloersoorten[],3,FALSE)*VLOOKUP($R241,Frequenties[],3,FALSE)*VLOOKUP($A241,Locaties[],3,FALSE),0)</f>
        <v>0</v>
      </c>
      <c r="U241" s="215">
        <f>Ruimtestaat[[#This Row],[Uitvoeringen werkdagen]]*Ruimtestaat[[#This Row],[Oppervlak (netto)]]</f>
        <v>244.79999999999998</v>
      </c>
      <c r="V241" s="259">
        <f>IF(T241&gt;0,Ruimtestaat[[#This Row],[Prest. (m2 /jaar) werkdagen]]/Ruimtestaat[[#This Row],[Norm (m2/uur) werkdagen]],0)</f>
        <v>0</v>
      </c>
      <c r="W241" s="260">
        <f>Ruimtestaat[[#This Row],[uren / jaar werkdagen]]*Tariefsopbouw!$D$38</f>
        <v>0</v>
      </c>
      <c r="X241" s="33"/>
      <c r="Y241" s="33">
        <f>IF(Ruimtestaat[[#This Row],[Frequentie weekend]]&gt;0,VALUE(LEFT(X241,1))*Q241,0)</f>
        <v>0</v>
      </c>
      <c r="Z241" s="33">
        <f>IF($Y241&gt;0,VLOOKUP($J241,Ruimtegroepen[],3,FALSE)*VLOOKUP($K241,Vloersoorten[],3,FALSE)*VLOOKUP($X241,Frequenties[],3,FALSE)*VLOOKUP(#REF!,Locaties[],3,FALSE),0)</f>
        <v>0</v>
      </c>
      <c r="AA241" s="33"/>
      <c r="AB241" s="33"/>
      <c r="AC241" s="33">
        <f>Ruimtestaat[[#This Row],[uren / jaar weekend]]*Tariefsopbouw!$D$40</f>
        <v>0</v>
      </c>
      <c r="AD241" s="88">
        <f>Ruimtestaat[[#This Row],[Prest. (m2 /jaar) weekend]]+Ruimtestaat[[#This Row],[Prest. (m2 /jaar) werkdagen]]</f>
        <v>244.79999999999998</v>
      </c>
      <c r="AE241" s="88">
        <f>Ruimtestaat[[#This Row],[uren / jaar weekend]]+Ruimtestaat[[#This Row],[uren / jaar werkdagen]]</f>
        <v>0</v>
      </c>
      <c r="AF241" s="89">
        <f>Ruimtestaat[[#This Row],[kosten / jaar weekend]]+Ruimtestaat[[#This Row],[kosten / jaar werkdagen]]</f>
        <v>0</v>
      </c>
    </row>
    <row r="242" spans="1:32" ht="15" customHeight="1">
      <c r="A242" s="200">
        <v>2</v>
      </c>
      <c r="B242" s="21" t="str">
        <f>VLOOKUP(Ruimtestaat[[#This Row],[Code]],Locaties[#All],2,FALSE)</f>
        <v>Stichting Facilitair Beheer Van Renneslaan</v>
      </c>
      <c r="C242" s="243" t="str">
        <f>VLOOKUP(Ruimtestaat[[#This Row],[Code]],Locaties[#All],4,FALSE)</f>
        <v>Catharina van Renneslaan 35</v>
      </c>
      <c r="D242" s="243" t="str">
        <f>VLOOKUP(Ruimtestaat[[#This Row],[Code]],Locaties[#All],5,FALSE)</f>
        <v>7604 KV</v>
      </c>
      <c r="E242" s="243" t="str">
        <f>VLOOKUP(Ruimtestaat[[#This Row],[Code]],Locaties[#All],6,FALSE)</f>
        <v>Almelo</v>
      </c>
      <c r="F242" s="244"/>
      <c r="G242" s="200" t="s">
        <v>1336</v>
      </c>
      <c r="H242" s="200"/>
      <c r="I242" s="244" t="s">
        <v>1171</v>
      </c>
      <c r="J242" s="200">
        <v>21</v>
      </c>
      <c r="K242" s="243" t="s">
        <v>111</v>
      </c>
      <c r="L242" s="200" t="s">
        <v>1340</v>
      </c>
      <c r="M242" s="213"/>
      <c r="N242" s="213">
        <v>7.6</v>
      </c>
      <c r="O242" s="243" t="str">
        <f>VLOOKUP(Ruimtestaat[[#This Row],[Ruimte code]],Ruimtegroepen[#All],4,FALSE)</f>
        <v>Niet in onderhoud</v>
      </c>
      <c r="P242" s="214"/>
      <c r="Q242" s="215"/>
      <c r="R242" s="215"/>
      <c r="S242" s="215">
        <f>IF(R242&gt;0,IF(RIGHT(Ruimtestaat[[#This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242" s="215">
        <f>IF(S242&gt;0,VLOOKUP($J242,Ruimtegroepen[],3,FALSE)*VLOOKUP($K242,Vloersoorten[],3,FALSE)*VLOOKUP($R242,Frequenties[],3,FALSE)*VLOOKUP($A242,Locaties[],3,FALSE),0)</f>
        <v>0</v>
      </c>
      <c r="U242" s="215">
        <f>Ruimtestaat[[#This Row],[Uitvoeringen werkdagen]]*Ruimtestaat[[#This Row],[Oppervlak (netto)]]</f>
        <v>0</v>
      </c>
      <c r="V242" s="259">
        <f>IF(T242&gt;0,Ruimtestaat[[#This Row],[Prest. (m2 /jaar) werkdagen]]/Ruimtestaat[[#This Row],[Norm (m2/uur) werkdagen]],0)</f>
        <v>0</v>
      </c>
      <c r="W242" s="260">
        <f>Ruimtestaat[[#This Row],[uren / jaar werkdagen]]*Tariefsopbouw!$D$38</f>
        <v>0</v>
      </c>
      <c r="X242" s="33"/>
      <c r="Y242" s="33">
        <f>IF(Ruimtestaat[[#This Row],[Frequentie weekend]]&gt;0,VALUE(LEFT(X242,1))*Q242,0)</f>
        <v>0</v>
      </c>
      <c r="Z242" s="33">
        <f>IF($Y242&gt;0,VLOOKUP($J242,Ruimtegroepen[],3,FALSE)*VLOOKUP($K242,Vloersoorten[],3,FALSE)*VLOOKUP($X242,Frequenties[],3,FALSE)*VLOOKUP(#REF!,Locaties[],3,FALSE),0)</f>
        <v>0</v>
      </c>
      <c r="AA242" s="33"/>
      <c r="AB242" s="33"/>
      <c r="AC242" s="33">
        <f>Ruimtestaat[[#This Row],[uren / jaar weekend]]*Tariefsopbouw!$D$40</f>
        <v>0</v>
      </c>
      <c r="AD242" s="88">
        <f>Ruimtestaat[[#This Row],[Prest. (m2 /jaar) weekend]]+Ruimtestaat[[#This Row],[Prest. (m2 /jaar) werkdagen]]</f>
        <v>0</v>
      </c>
      <c r="AE242" s="88">
        <f>Ruimtestaat[[#This Row],[uren / jaar weekend]]+Ruimtestaat[[#This Row],[uren / jaar werkdagen]]</f>
        <v>0</v>
      </c>
      <c r="AF242" s="89">
        <f>Ruimtestaat[[#This Row],[kosten / jaar weekend]]+Ruimtestaat[[#This Row],[kosten / jaar werkdagen]]</f>
        <v>0</v>
      </c>
    </row>
    <row r="243" spans="1:32" ht="15" customHeight="1">
      <c r="A243" s="200">
        <v>2</v>
      </c>
      <c r="B243" s="21" t="str">
        <f>VLOOKUP(Ruimtestaat[[#This Row],[Code]],Locaties[#All],2,FALSE)</f>
        <v>Stichting Facilitair Beheer Van Renneslaan</v>
      </c>
      <c r="C243" s="243" t="str">
        <f>VLOOKUP(Ruimtestaat[[#This Row],[Code]],Locaties[#All],4,FALSE)</f>
        <v>Catharina van Renneslaan 35</v>
      </c>
      <c r="D243" s="243" t="str">
        <f>VLOOKUP(Ruimtestaat[[#This Row],[Code]],Locaties[#All],5,FALSE)</f>
        <v>7604 KV</v>
      </c>
      <c r="E243" s="243" t="str">
        <f>VLOOKUP(Ruimtestaat[[#This Row],[Code]],Locaties[#All],6,FALSE)</f>
        <v>Almelo</v>
      </c>
      <c r="F243" s="244" t="s">
        <v>1342</v>
      </c>
      <c r="G243" s="200" t="s">
        <v>1336</v>
      </c>
      <c r="H243" s="200" t="s">
        <v>1172</v>
      </c>
      <c r="I243" s="244" t="s">
        <v>1172</v>
      </c>
      <c r="J243" s="200">
        <v>16</v>
      </c>
      <c r="K243" s="243" t="s">
        <v>1040</v>
      </c>
      <c r="L243" s="200" t="s">
        <v>999</v>
      </c>
      <c r="M243" s="213">
        <v>43.5</v>
      </c>
      <c r="N243" s="213"/>
      <c r="O243" s="243" t="str">
        <f>VLOOKUP(Ruimtestaat[[#This Row],[Ruimte code]],Ruimtegroepen[#All],4,FALSE)</f>
        <v>L  (Lesruimte)</v>
      </c>
      <c r="P243" s="214"/>
      <c r="Q243" s="215">
        <v>40</v>
      </c>
      <c r="R243" s="215" t="s">
        <v>2</v>
      </c>
      <c r="S243" s="215">
        <f>IF(R243&gt;0,IF(RIGHT(Ruimtestaat[[#This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3" s="215">
        <f>IF(S243&gt;0,VLOOKUP($J243,Ruimtegroepen[],3,FALSE)*VLOOKUP($K243,Vloersoorten[],3,FALSE)*VLOOKUP($R243,Frequenties[],3,FALSE)*VLOOKUP($A243,Locaties[],3,FALSE),0)</f>
        <v>0</v>
      </c>
      <c r="U243" s="215">
        <f>Ruimtestaat[[#This Row],[Uitvoeringen werkdagen]]*Ruimtestaat[[#This Row],[Oppervlak (netto)]]</f>
        <v>8700</v>
      </c>
      <c r="V243" s="259">
        <f>IF(T243&gt;0,Ruimtestaat[[#This Row],[Prest. (m2 /jaar) werkdagen]]/Ruimtestaat[[#This Row],[Norm (m2/uur) werkdagen]],0)</f>
        <v>0</v>
      </c>
      <c r="W243" s="260">
        <f>Ruimtestaat[[#This Row],[uren / jaar werkdagen]]*Tariefsopbouw!$D$38</f>
        <v>0</v>
      </c>
      <c r="X243" s="33"/>
      <c r="Y243" s="33">
        <f>IF(Ruimtestaat[[#This Row],[Frequentie weekend]]&gt;0,VALUE(LEFT(X243,1))*Q243,0)</f>
        <v>0</v>
      </c>
      <c r="Z243" s="33">
        <f>IF($Y243&gt;0,VLOOKUP($J243,Ruimtegroepen[],3,FALSE)*VLOOKUP($K243,Vloersoorten[],3,FALSE)*VLOOKUP($X243,Frequenties[],3,FALSE)*VLOOKUP(#REF!,Locaties[],3,FALSE),0)</f>
        <v>0</v>
      </c>
      <c r="AA243" s="33"/>
      <c r="AB243" s="33"/>
      <c r="AC243" s="33">
        <f>Ruimtestaat[[#This Row],[uren / jaar weekend]]*Tariefsopbouw!$D$40</f>
        <v>0</v>
      </c>
      <c r="AD243" s="88">
        <f>Ruimtestaat[[#This Row],[Prest. (m2 /jaar) weekend]]+Ruimtestaat[[#This Row],[Prest. (m2 /jaar) werkdagen]]</f>
        <v>8700</v>
      </c>
      <c r="AE243" s="88">
        <f>Ruimtestaat[[#This Row],[uren / jaar weekend]]+Ruimtestaat[[#This Row],[uren / jaar werkdagen]]</f>
        <v>0</v>
      </c>
      <c r="AF243" s="89">
        <f>Ruimtestaat[[#This Row],[kosten / jaar weekend]]+Ruimtestaat[[#This Row],[kosten / jaar werkdagen]]</f>
        <v>0</v>
      </c>
    </row>
    <row r="244" spans="1:32" ht="15" customHeight="1">
      <c r="A244" s="200">
        <v>2</v>
      </c>
      <c r="B244" s="21" t="str">
        <f>VLOOKUP(Ruimtestaat[[#This Row],[Code]],Locaties[#All],2,FALSE)</f>
        <v>Stichting Facilitair Beheer Van Renneslaan</v>
      </c>
      <c r="C244" s="243" t="str">
        <f>VLOOKUP(Ruimtestaat[[#This Row],[Code]],Locaties[#All],4,FALSE)</f>
        <v>Catharina van Renneslaan 35</v>
      </c>
      <c r="D244" s="243" t="str">
        <f>VLOOKUP(Ruimtestaat[[#This Row],[Code]],Locaties[#All],5,FALSE)</f>
        <v>7604 KV</v>
      </c>
      <c r="E244" s="243" t="str">
        <f>VLOOKUP(Ruimtestaat[[#This Row],[Code]],Locaties[#All],6,FALSE)</f>
        <v>Almelo</v>
      </c>
      <c r="F244" s="244" t="s">
        <v>1342</v>
      </c>
      <c r="G244" s="200" t="s">
        <v>1336</v>
      </c>
      <c r="H244" s="200" t="s">
        <v>1173</v>
      </c>
      <c r="I244" s="244" t="s">
        <v>1173</v>
      </c>
      <c r="J244" s="200">
        <v>16</v>
      </c>
      <c r="K244" s="243" t="s">
        <v>1040</v>
      </c>
      <c r="L244" s="200" t="s">
        <v>999</v>
      </c>
      <c r="M244" s="213">
        <v>58.1</v>
      </c>
      <c r="N244" s="213"/>
      <c r="O244" s="243" t="str">
        <f>VLOOKUP(Ruimtestaat[[#This Row],[Ruimte code]],Ruimtegroepen[#All],4,FALSE)</f>
        <v>L  (Lesruimte)</v>
      </c>
      <c r="P244" s="214"/>
      <c r="Q244" s="215">
        <v>40</v>
      </c>
      <c r="R244" s="215" t="s">
        <v>2</v>
      </c>
      <c r="S244" s="215">
        <f>IF(R244&gt;0,IF(RIGHT(Ruimtestaat[[#This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4" s="215">
        <f>IF(S244&gt;0,VLOOKUP($J244,Ruimtegroepen[],3,FALSE)*VLOOKUP($K244,Vloersoorten[],3,FALSE)*VLOOKUP($R244,Frequenties[],3,FALSE)*VLOOKUP($A244,Locaties[],3,FALSE),0)</f>
        <v>0</v>
      </c>
      <c r="U244" s="215">
        <f>Ruimtestaat[[#This Row],[Uitvoeringen werkdagen]]*Ruimtestaat[[#This Row],[Oppervlak (netto)]]</f>
        <v>11620</v>
      </c>
      <c r="V244" s="259">
        <f>IF(T244&gt;0,Ruimtestaat[[#This Row],[Prest. (m2 /jaar) werkdagen]]/Ruimtestaat[[#This Row],[Norm (m2/uur) werkdagen]],0)</f>
        <v>0</v>
      </c>
      <c r="W244" s="260">
        <f>Ruimtestaat[[#This Row],[uren / jaar werkdagen]]*Tariefsopbouw!$D$38</f>
        <v>0</v>
      </c>
      <c r="X244" s="33"/>
      <c r="Y244" s="33">
        <f>IF(Ruimtestaat[[#This Row],[Frequentie weekend]]&gt;0,VALUE(LEFT(X244,1))*Q244,0)</f>
        <v>0</v>
      </c>
      <c r="Z244" s="33">
        <f>IF($Y244&gt;0,VLOOKUP($J244,Ruimtegroepen[],3,FALSE)*VLOOKUP($K244,Vloersoorten[],3,FALSE)*VLOOKUP($X244,Frequenties[],3,FALSE)*VLOOKUP(#REF!,Locaties[],3,FALSE),0)</f>
        <v>0</v>
      </c>
      <c r="AA244" s="33"/>
      <c r="AB244" s="33"/>
      <c r="AC244" s="33">
        <f>Ruimtestaat[[#This Row],[uren / jaar weekend]]*Tariefsopbouw!$D$40</f>
        <v>0</v>
      </c>
      <c r="AD244" s="88">
        <f>Ruimtestaat[[#This Row],[Prest. (m2 /jaar) weekend]]+Ruimtestaat[[#This Row],[Prest. (m2 /jaar) werkdagen]]</f>
        <v>11620</v>
      </c>
      <c r="AE244" s="88">
        <f>Ruimtestaat[[#This Row],[uren / jaar weekend]]+Ruimtestaat[[#This Row],[uren / jaar werkdagen]]</f>
        <v>0</v>
      </c>
      <c r="AF244" s="89">
        <f>Ruimtestaat[[#This Row],[kosten / jaar weekend]]+Ruimtestaat[[#This Row],[kosten / jaar werkdagen]]</f>
        <v>0</v>
      </c>
    </row>
    <row r="245" spans="1:32" ht="15" customHeight="1">
      <c r="A245" s="200">
        <v>2</v>
      </c>
      <c r="B245" s="21" t="str">
        <f>VLOOKUP(Ruimtestaat[[#This Row],[Code]],Locaties[#All],2,FALSE)</f>
        <v>Stichting Facilitair Beheer Van Renneslaan</v>
      </c>
      <c r="C245" s="243" t="str">
        <f>VLOOKUP(Ruimtestaat[[#This Row],[Code]],Locaties[#All],4,FALSE)</f>
        <v>Catharina van Renneslaan 35</v>
      </c>
      <c r="D245" s="243" t="str">
        <f>VLOOKUP(Ruimtestaat[[#This Row],[Code]],Locaties[#All],5,FALSE)</f>
        <v>7604 KV</v>
      </c>
      <c r="E245" s="243" t="str">
        <f>VLOOKUP(Ruimtestaat[[#This Row],[Code]],Locaties[#All],6,FALSE)</f>
        <v>Almelo</v>
      </c>
      <c r="F245" s="244" t="s">
        <v>1342</v>
      </c>
      <c r="G245" s="200" t="s">
        <v>1336</v>
      </c>
      <c r="H245" s="200" t="s">
        <v>1174</v>
      </c>
      <c r="I245" s="244" t="s">
        <v>1174</v>
      </c>
      <c r="J245" s="200">
        <v>16</v>
      </c>
      <c r="K245" s="243" t="s">
        <v>1040</v>
      </c>
      <c r="L245" s="200" t="s">
        <v>999</v>
      </c>
      <c r="M245" s="213">
        <v>49.9</v>
      </c>
      <c r="N245" s="213"/>
      <c r="O245" s="243" t="str">
        <f>VLOOKUP(Ruimtestaat[[#This Row],[Ruimte code]],Ruimtegroepen[#All],4,FALSE)</f>
        <v>L  (Lesruimte)</v>
      </c>
      <c r="P245" s="214"/>
      <c r="Q245" s="215">
        <v>40</v>
      </c>
      <c r="R245" s="215" t="s">
        <v>2</v>
      </c>
      <c r="S245" s="215">
        <f>IF(R245&gt;0,IF(RIGHT(Ruimtestaat[[#This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5" s="215">
        <f>IF(S245&gt;0,VLOOKUP($J245,Ruimtegroepen[],3,FALSE)*VLOOKUP($K245,Vloersoorten[],3,FALSE)*VLOOKUP($R245,Frequenties[],3,FALSE)*VLOOKUP($A245,Locaties[],3,FALSE),0)</f>
        <v>0</v>
      </c>
      <c r="U245" s="215">
        <f>Ruimtestaat[[#This Row],[Uitvoeringen werkdagen]]*Ruimtestaat[[#This Row],[Oppervlak (netto)]]</f>
        <v>9980</v>
      </c>
      <c r="V245" s="259">
        <f>IF(T245&gt;0,Ruimtestaat[[#This Row],[Prest. (m2 /jaar) werkdagen]]/Ruimtestaat[[#This Row],[Norm (m2/uur) werkdagen]],0)</f>
        <v>0</v>
      </c>
      <c r="W245" s="260">
        <f>Ruimtestaat[[#This Row],[uren / jaar werkdagen]]*Tariefsopbouw!$D$38</f>
        <v>0</v>
      </c>
      <c r="X245" s="33"/>
      <c r="Y245" s="33">
        <f>IF(Ruimtestaat[[#This Row],[Frequentie weekend]]&gt;0,VALUE(LEFT(X245,1))*Q245,0)</f>
        <v>0</v>
      </c>
      <c r="Z245" s="33">
        <f>IF($Y245&gt;0,VLOOKUP($J245,Ruimtegroepen[],3,FALSE)*VLOOKUP($K245,Vloersoorten[],3,FALSE)*VLOOKUP($X245,Frequenties[],3,FALSE)*VLOOKUP(#REF!,Locaties[],3,FALSE),0)</f>
        <v>0</v>
      </c>
      <c r="AA245" s="33"/>
      <c r="AB245" s="33"/>
      <c r="AC245" s="33">
        <f>Ruimtestaat[[#This Row],[uren / jaar weekend]]*Tariefsopbouw!$D$40</f>
        <v>0</v>
      </c>
      <c r="AD245" s="88">
        <f>Ruimtestaat[[#This Row],[Prest. (m2 /jaar) weekend]]+Ruimtestaat[[#This Row],[Prest. (m2 /jaar) werkdagen]]</f>
        <v>9980</v>
      </c>
      <c r="AE245" s="88">
        <f>Ruimtestaat[[#This Row],[uren / jaar weekend]]+Ruimtestaat[[#This Row],[uren / jaar werkdagen]]</f>
        <v>0</v>
      </c>
      <c r="AF245" s="89">
        <f>Ruimtestaat[[#This Row],[kosten / jaar weekend]]+Ruimtestaat[[#This Row],[kosten / jaar werkdagen]]</f>
        <v>0</v>
      </c>
    </row>
    <row r="246" spans="1:32" ht="15" customHeight="1">
      <c r="A246" s="200">
        <v>2</v>
      </c>
      <c r="B246" s="21" t="str">
        <f>VLOOKUP(Ruimtestaat[[#This Row],[Code]],Locaties[#All],2,FALSE)</f>
        <v>Stichting Facilitair Beheer Van Renneslaan</v>
      </c>
      <c r="C246" s="243" t="str">
        <f>VLOOKUP(Ruimtestaat[[#This Row],[Code]],Locaties[#All],4,FALSE)</f>
        <v>Catharina van Renneslaan 35</v>
      </c>
      <c r="D246" s="243" t="str">
        <f>VLOOKUP(Ruimtestaat[[#This Row],[Code]],Locaties[#All],5,FALSE)</f>
        <v>7604 KV</v>
      </c>
      <c r="E246" s="243" t="str">
        <f>VLOOKUP(Ruimtestaat[[#This Row],[Code]],Locaties[#All],6,FALSE)</f>
        <v>Almelo</v>
      </c>
      <c r="F246" s="244" t="s">
        <v>1342</v>
      </c>
      <c r="G246" s="200" t="s">
        <v>1336</v>
      </c>
      <c r="H246" s="200" t="s">
        <v>1175</v>
      </c>
      <c r="I246" s="244" t="s">
        <v>1175</v>
      </c>
      <c r="J246" s="200">
        <v>16</v>
      </c>
      <c r="K246" s="243" t="s">
        <v>1040</v>
      </c>
      <c r="L246" s="200" t="s">
        <v>999</v>
      </c>
      <c r="M246" s="213">
        <v>30.5</v>
      </c>
      <c r="N246" s="213"/>
      <c r="O246" s="243" t="str">
        <f>VLOOKUP(Ruimtestaat[[#This Row],[Ruimte code]],Ruimtegroepen[#All],4,FALSE)</f>
        <v>L  (Lesruimte)</v>
      </c>
      <c r="P246" s="214"/>
      <c r="Q246" s="215">
        <v>40</v>
      </c>
      <c r="R246" s="215" t="s">
        <v>2</v>
      </c>
      <c r="S246" s="215">
        <f>IF(R246&gt;0,IF(RIGHT(Ruimtestaat[[#This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6" s="215">
        <f>IF(S246&gt;0,VLOOKUP($J246,Ruimtegroepen[],3,FALSE)*VLOOKUP($K246,Vloersoorten[],3,FALSE)*VLOOKUP($R246,Frequenties[],3,FALSE)*VLOOKUP($A246,Locaties[],3,FALSE),0)</f>
        <v>0</v>
      </c>
      <c r="U246" s="215">
        <f>Ruimtestaat[[#This Row],[Uitvoeringen werkdagen]]*Ruimtestaat[[#This Row],[Oppervlak (netto)]]</f>
        <v>6100</v>
      </c>
      <c r="V246" s="259">
        <f>IF(T246&gt;0,Ruimtestaat[[#This Row],[Prest. (m2 /jaar) werkdagen]]/Ruimtestaat[[#This Row],[Norm (m2/uur) werkdagen]],0)</f>
        <v>0</v>
      </c>
      <c r="W246" s="260">
        <f>Ruimtestaat[[#This Row],[uren / jaar werkdagen]]*Tariefsopbouw!$D$38</f>
        <v>0</v>
      </c>
      <c r="X246" s="33"/>
      <c r="Y246" s="33">
        <f>IF(Ruimtestaat[[#This Row],[Frequentie weekend]]&gt;0,VALUE(LEFT(X246,1))*Q246,0)</f>
        <v>0</v>
      </c>
      <c r="Z246" s="33">
        <f>IF($Y246&gt;0,VLOOKUP($J246,Ruimtegroepen[],3,FALSE)*VLOOKUP($K246,Vloersoorten[],3,FALSE)*VLOOKUP($X246,Frequenties[],3,FALSE)*VLOOKUP(#REF!,Locaties[],3,FALSE),0)</f>
        <v>0</v>
      </c>
      <c r="AA246" s="33"/>
      <c r="AB246" s="33"/>
      <c r="AC246" s="33">
        <f>Ruimtestaat[[#This Row],[uren / jaar weekend]]*Tariefsopbouw!$D$40</f>
        <v>0</v>
      </c>
      <c r="AD246" s="88">
        <f>Ruimtestaat[[#This Row],[Prest. (m2 /jaar) weekend]]+Ruimtestaat[[#This Row],[Prest. (m2 /jaar) werkdagen]]</f>
        <v>6100</v>
      </c>
      <c r="AE246" s="88">
        <f>Ruimtestaat[[#This Row],[uren / jaar weekend]]+Ruimtestaat[[#This Row],[uren / jaar werkdagen]]</f>
        <v>0</v>
      </c>
      <c r="AF246" s="89">
        <f>Ruimtestaat[[#This Row],[kosten / jaar weekend]]+Ruimtestaat[[#This Row],[kosten / jaar werkdagen]]</f>
        <v>0</v>
      </c>
    </row>
    <row r="247" spans="1:32" ht="15" customHeight="1">
      <c r="A247" s="200">
        <v>2</v>
      </c>
      <c r="B247" s="21" t="str">
        <f>VLOOKUP(Ruimtestaat[[#This Row],[Code]],Locaties[#All],2,FALSE)</f>
        <v>Stichting Facilitair Beheer Van Renneslaan</v>
      </c>
      <c r="C247" s="243" t="str">
        <f>VLOOKUP(Ruimtestaat[[#This Row],[Code]],Locaties[#All],4,FALSE)</f>
        <v>Catharina van Renneslaan 35</v>
      </c>
      <c r="D247" s="243" t="str">
        <f>VLOOKUP(Ruimtestaat[[#This Row],[Code]],Locaties[#All],5,FALSE)</f>
        <v>7604 KV</v>
      </c>
      <c r="E247" s="243" t="str">
        <f>VLOOKUP(Ruimtestaat[[#This Row],[Code]],Locaties[#All],6,FALSE)</f>
        <v>Almelo</v>
      </c>
      <c r="F247" s="244" t="s">
        <v>1342</v>
      </c>
      <c r="G247" s="215" t="s">
        <v>1336</v>
      </c>
      <c r="H247" s="215" t="s">
        <v>1176</v>
      </c>
      <c r="I247" s="258" t="s">
        <v>1176</v>
      </c>
      <c r="J247" s="200">
        <v>16</v>
      </c>
      <c r="K247" s="243" t="s">
        <v>1040</v>
      </c>
      <c r="L247" s="200" t="s">
        <v>999</v>
      </c>
      <c r="M247" s="213">
        <v>50.1</v>
      </c>
      <c r="N247" s="213"/>
      <c r="O247" s="243" t="str">
        <f>VLOOKUP(Ruimtestaat[[#This Row],[Ruimte code]],Ruimtegroepen[#All],4,FALSE)</f>
        <v>L  (Lesruimte)</v>
      </c>
      <c r="P247" s="214"/>
      <c r="Q247" s="215">
        <v>40</v>
      </c>
      <c r="R247" s="215" t="s">
        <v>2</v>
      </c>
      <c r="S247" s="215">
        <f>IF(R247&gt;0,IF(RIGHT(Ruimtestaat[[#This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7" s="215">
        <f>IF(S247&gt;0,VLOOKUP($J247,Ruimtegroepen[],3,FALSE)*VLOOKUP($K247,Vloersoorten[],3,FALSE)*VLOOKUP($R247,Frequenties[],3,FALSE)*VLOOKUP($A247,Locaties[],3,FALSE),0)</f>
        <v>0</v>
      </c>
      <c r="U247" s="215">
        <f>Ruimtestaat[[#This Row],[Uitvoeringen werkdagen]]*Ruimtestaat[[#This Row],[Oppervlak (netto)]]</f>
        <v>10020</v>
      </c>
      <c r="V247" s="259">
        <f>IF(T247&gt;0,Ruimtestaat[[#This Row],[Prest. (m2 /jaar) werkdagen]]/Ruimtestaat[[#This Row],[Norm (m2/uur) werkdagen]],0)</f>
        <v>0</v>
      </c>
      <c r="W247" s="260">
        <f>Ruimtestaat[[#This Row],[uren / jaar werkdagen]]*Tariefsopbouw!$D$38</f>
        <v>0</v>
      </c>
      <c r="X247" s="33"/>
      <c r="Y247" s="33">
        <f>IF(Ruimtestaat[[#This Row],[Frequentie weekend]]&gt;0,VALUE(LEFT(X247,1))*Q247,0)</f>
        <v>0</v>
      </c>
      <c r="Z247" s="33">
        <f>IF($Y247&gt;0,VLOOKUP($J247,Ruimtegroepen[],3,FALSE)*VLOOKUP($K247,Vloersoorten[],3,FALSE)*VLOOKUP($X247,Frequenties[],3,FALSE)*VLOOKUP(#REF!,Locaties[],3,FALSE),0)</f>
        <v>0</v>
      </c>
      <c r="AA247" s="33"/>
      <c r="AB247" s="33"/>
      <c r="AC247" s="33">
        <f>Ruimtestaat[[#This Row],[uren / jaar weekend]]*Tariefsopbouw!$D$40</f>
        <v>0</v>
      </c>
      <c r="AD247" s="88">
        <f>Ruimtestaat[[#This Row],[Prest. (m2 /jaar) weekend]]+Ruimtestaat[[#This Row],[Prest. (m2 /jaar) werkdagen]]</f>
        <v>10020</v>
      </c>
      <c r="AE247" s="88">
        <f>Ruimtestaat[[#This Row],[uren / jaar weekend]]+Ruimtestaat[[#This Row],[uren / jaar werkdagen]]</f>
        <v>0</v>
      </c>
      <c r="AF247" s="89">
        <f>Ruimtestaat[[#This Row],[kosten / jaar weekend]]+Ruimtestaat[[#This Row],[kosten / jaar werkdagen]]</f>
        <v>0</v>
      </c>
    </row>
    <row r="248" spans="1:32" ht="15" customHeight="1">
      <c r="A248" s="200">
        <v>2</v>
      </c>
      <c r="B248" s="21" t="str">
        <f>VLOOKUP(Ruimtestaat[[#This Row],[Code]],Locaties[#All],2,FALSE)</f>
        <v>Stichting Facilitair Beheer Van Renneslaan</v>
      </c>
      <c r="C248" s="243" t="str">
        <f>VLOOKUP(Ruimtestaat[[#This Row],[Code]],Locaties[#All],4,FALSE)</f>
        <v>Catharina van Renneslaan 35</v>
      </c>
      <c r="D248" s="243" t="str">
        <f>VLOOKUP(Ruimtestaat[[#This Row],[Code]],Locaties[#All],5,FALSE)</f>
        <v>7604 KV</v>
      </c>
      <c r="E248" s="243" t="str">
        <f>VLOOKUP(Ruimtestaat[[#This Row],[Code]],Locaties[#All],6,FALSE)</f>
        <v>Almelo</v>
      </c>
      <c r="F248" s="244" t="s">
        <v>1342</v>
      </c>
      <c r="G248" s="215" t="s">
        <v>1336</v>
      </c>
      <c r="H248" s="200" t="s">
        <v>1177</v>
      </c>
      <c r="I248" s="244" t="s">
        <v>1177</v>
      </c>
      <c r="J248" s="200">
        <v>16</v>
      </c>
      <c r="K248" s="243" t="s">
        <v>1040</v>
      </c>
      <c r="L248" s="200" t="s">
        <v>999</v>
      </c>
      <c r="M248" s="213">
        <v>70</v>
      </c>
      <c r="N248" s="213"/>
      <c r="O248" s="243" t="str">
        <f>VLOOKUP(Ruimtestaat[[#This Row],[Ruimte code]],Ruimtegroepen[#All],4,FALSE)</f>
        <v>L  (Lesruimte)</v>
      </c>
      <c r="P248" s="214"/>
      <c r="Q248" s="215">
        <v>40</v>
      </c>
      <c r="R248" s="215" t="s">
        <v>2</v>
      </c>
      <c r="S248" s="215">
        <f>IF(R248&gt;0,IF(RIGHT(Ruimtestaat[[#This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8" s="215">
        <f>IF(S248&gt;0,VLOOKUP($J248,Ruimtegroepen[],3,FALSE)*VLOOKUP($K248,Vloersoorten[],3,FALSE)*VLOOKUP($R248,Frequenties[],3,FALSE)*VLOOKUP($A248,Locaties[],3,FALSE),0)</f>
        <v>0</v>
      </c>
      <c r="U248" s="215">
        <f>Ruimtestaat[[#This Row],[Uitvoeringen werkdagen]]*Ruimtestaat[[#This Row],[Oppervlak (netto)]]</f>
        <v>14000</v>
      </c>
      <c r="V248" s="259">
        <f>IF(T248&gt;0,Ruimtestaat[[#This Row],[Prest. (m2 /jaar) werkdagen]]/Ruimtestaat[[#This Row],[Norm (m2/uur) werkdagen]],0)</f>
        <v>0</v>
      </c>
      <c r="W248" s="260">
        <f>Ruimtestaat[[#This Row],[uren / jaar werkdagen]]*Tariefsopbouw!$D$38</f>
        <v>0</v>
      </c>
      <c r="X248" s="33"/>
      <c r="Y248" s="33">
        <f>IF(Ruimtestaat[[#This Row],[Frequentie weekend]]&gt;0,VALUE(LEFT(X248,1))*Q248,0)</f>
        <v>0</v>
      </c>
      <c r="Z248" s="33">
        <f>IF($Y248&gt;0,VLOOKUP($J248,Ruimtegroepen[],3,FALSE)*VLOOKUP($K248,Vloersoorten[],3,FALSE)*VLOOKUP($X248,Frequenties[],3,FALSE)*VLOOKUP(#REF!,Locaties[],3,FALSE),0)</f>
        <v>0</v>
      </c>
      <c r="AA248" s="33"/>
      <c r="AB248" s="33"/>
      <c r="AC248" s="33">
        <f>Ruimtestaat[[#This Row],[uren / jaar weekend]]*Tariefsopbouw!$D$40</f>
        <v>0</v>
      </c>
      <c r="AD248" s="88">
        <f>Ruimtestaat[[#This Row],[Prest. (m2 /jaar) weekend]]+Ruimtestaat[[#This Row],[Prest. (m2 /jaar) werkdagen]]</f>
        <v>14000</v>
      </c>
      <c r="AE248" s="88">
        <f>Ruimtestaat[[#This Row],[uren / jaar weekend]]+Ruimtestaat[[#This Row],[uren / jaar werkdagen]]</f>
        <v>0</v>
      </c>
      <c r="AF248" s="89">
        <f>Ruimtestaat[[#This Row],[kosten / jaar weekend]]+Ruimtestaat[[#This Row],[kosten / jaar werkdagen]]</f>
        <v>0</v>
      </c>
    </row>
    <row r="249" spans="1:32" ht="15" customHeight="1">
      <c r="A249" s="200">
        <v>2</v>
      </c>
      <c r="B249" s="21" t="str">
        <f>VLOOKUP(Ruimtestaat[[#This Row],[Code]],Locaties[#All],2,FALSE)</f>
        <v>Stichting Facilitair Beheer Van Renneslaan</v>
      </c>
      <c r="C249" s="243" t="str">
        <f>VLOOKUP(Ruimtestaat[[#This Row],[Code]],Locaties[#All],4,FALSE)</f>
        <v>Catharina van Renneslaan 35</v>
      </c>
      <c r="D249" s="243" t="str">
        <f>VLOOKUP(Ruimtestaat[[#This Row],[Code]],Locaties[#All],5,FALSE)</f>
        <v>7604 KV</v>
      </c>
      <c r="E249" s="243" t="str">
        <f>VLOOKUP(Ruimtestaat[[#This Row],[Code]],Locaties[#All],6,FALSE)</f>
        <v>Almelo</v>
      </c>
      <c r="F249" s="244"/>
      <c r="G249" s="215" t="s">
        <v>1336</v>
      </c>
      <c r="H249" s="200" t="s">
        <v>1178</v>
      </c>
      <c r="I249" s="244" t="s">
        <v>1178</v>
      </c>
      <c r="J249" s="200">
        <v>16</v>
      </c>
      <c r="K249" s="243" t="s">
        <v>1040</v>
      </c>
      <c r="L249" s="200" t="s">
        <v>999</v>
      </c>
      <c r="M249" s="213">
        <v>58.1</v>
      </c>
      <c r="N249" s="213"/>
      <c r="O249" s="243" t="str">
        <f>VLOOKUP(Ruimtestaat[[#This Row],[Ruimte code]],Ruimtegroepen[#All],4,FALSE)</f>
        <v>L  (Lesruimte)</v>
      </c>
      <c r="P249" s="214"/>
      <c r="Q249" s="215">
        <v>40</v>
      </c>
      <c r="R249" s="215" t="s">
        <v>2</v>
      </c>
      <c r="S249" s="215">
        <f>IF(R249&gt;0,IF(RIGHT(Ruimtestaat[[#This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49" s="215">
        <f>IF(S249&gt;0,VLOOKUP($J249,Ruimtegroepen[],3,FALSE)*VLOOKUP($K249,Vloersoorten[],3,FALSE)*VLOOKUP($R249,Frequenties[],3,FALSE)*VLOOKUP($A249,Locaties[],3,FALSE),0)</f>
        <v>0</v>
      </c>
      <c r="U249" s="215">
        <f>Ruimtestaat[[#This Row],[Uitvoeringen werkdagen]]*Ruimtestaat[[#This Row],[Oppervlak (netto)]]</f>
        <v>11620</v>
      </c>
      <c r="V249" s="259">
        <f>IF(T249&gt;0,Ruimtestaat[[#This Row],[Prest. (m2 /jaar) werkdagen]]/Ruimtestaat[[#This Row],[Norm (m2/uur) werkdagen]],0)</f>
        <v>0</v>
      </c>
      <c r="W249" s="260">
        <f>Ruimtestaat[[#This Row],[uren / jaar werkdagen]]*Tariefsopbouw!$D$38</f>
        <v>0</v>
      </c>
      <c r="X249" s="33"/>
      <c r="Y249" s="33">
        <f>IF(Ruimtestaat[[#This Row],[Frequentie weekend]]&gt;0,VALUE(LEFT(X249,1))*Q249,0)</f>
        <v>0</v>
      </c>
      <c r="Z249" s="33">
        <f>IF($Y249&gt;0,VLOOKUP($J249,Ruimtegroepen[],3,FALSE)*VLOOKUP($K249,Vloersoorten[],3,FALSE)*VLOOKUP($X249,Frequenties[],3,FALSE)*VLOOKUP(#REF!,Locaties[],3,FALSE),0)</f>
        <v>0</v>
      </c>
      <c r="AA249" s="33"/>
      <c r="AB249" s="33"/>
      <c r="AC249" s="33">
        <f>Ruimtestaat[[#This Row],[uren / jaar weekend]]*Tariefsopbouw!$D$40</f>
        <v>0</v>
      </c>
      <c r="AD249" s="88">
        <f>Ruimtestaat[[#This Row],[Prest. (m2 /jaar) weekend]]+Ruimtestaat[[#This Row],[Prest. (m2 /jaar) werkdagen]]</f>
        <v>11620</v>
      </c>
      <c r="AE249" s="88">
        <f>Ruimtestaat[[#This Row],[uren / jaar weekend]]+Ruimtestaat[[#This Row],[uren / jaar werkdagen]]</f>
        <v>0</v>
      </c>
      <c r="AF249" s="89">
        <f>Ruimtestaat[[#This Row],[kosten / jaar weekend]]+Ruimtestaat[[#This Row],[kosten / jaar werkdagen]]</f>
        <v>0</v>
      </c>
    </row>
    <row r="250" spans="1:32" ht="15" customHeight="1">
      <c r="A250" s="200">
        <v>2</v>
      </c>
      <c r="B250" s="21" t="str">
        <f>VLOOKUP(Ruimtestaat[[#This Row],[Code]],Locaties[#All],2,FALSE)</f>
        <v>Stichting Facilitair Beheer Van Renneslaan</v>
      </c>
      <c r="C250" s="243" t="str">
        <f>VLOOKUP(Ruimtestaat[[#This Row],[Code]],Locaties[#All],4,FALSE)</f>
        <v>Catharina van Renneslaan 35</v>
      </c>
      <c r="D250" s="243" t="str">
        <f>VLOOKUP(Ruimtestaat[[#This Row],[Code]],Locaties[#All],5,FALSE)</f>
        <v>7604 KV</v>
      </c>
      <c r="E250" s="243" t="str">
        <f>VLOOKUP(Ruimtestaat[[#This Row],[Code]],Locaties[#All],6,FALSE)</f>
        <v>Almelo</v>
      </c>
      <c r="F250" s="244"/>
      <c r="G250" s="215" t="s">
        <v>1336</v>
      </c>
      <c r="H250" s="200" t="s">
        <v>1179</v>
      </c>
      <c r="I250" s="244" t="s">
        <v>1179</v>
      </c>
      <c r="J250" s="200">
        <v>16</v>
      </c>
      <c r="K250" s="243" t="s">
        <v>1040</v>
      </c>
      <c r="L250" s="200" t="s">
        <v>999</v>
      </c>
      <c r="M250" s="213">
        <v>163.9</v>
      </c>
      <c r="N250" s="213"/>
      <c r="O250" s="243" t="str">
        <f>VLOOKUP(Ruimtestaat[[#This Row],[Ruimte code]],Ruimtegroepen[#All],4,FALSE)</f>
        <v>L  (Lesruimte)</v>
      </c>
      <c r="P250" s="214"/>
      <c r="Q250" s="215">
        <v>40</v>
      </c>
      <c r="R250" s="215" t="s">
        <v>2</v>
      </c>
      <c r="S250" s="215">
        <f>IF(R250&gt;0,IF(RIGHT(Ruimtestaat[[#This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0" s="215">
        <f>IF(S250&gt;0,VLOOKUP($J250,Ruimtegroepen[],3,FALSE)*VLOOKUP($K250,Vloersoorten[],3,FALSE)*VLOOKUP($R250,Frequenties[],3,FALSE)*VLOOKUP($A250,Locaties[],3,FALSE),0)</f>
        <v>0</v>
      </c>
      <c r="U250" s="215">
        <f>Ruimtestaat[[#This Row],[Uitvoeringen werkdagen]]*Ruimtestaat[[#This Row],[Oppervlak (netto)]]</f>
        <v>32780</v>
      </c>
      <c r="V250" s="259">
        <f>IF(T250&gt;0,Ruimtestaat[[#This Row],[Prest. (m2 /jaar) werkdagen]]/Ruimtestaat[[#This Row],[Norm (m2/uur) werkdagen]],0)</f>
        <v>0</v>
      </c>
      <c r="W250" s="260">
        <f>Ruimtestaat[[#This Row],[uren / jaar werkdagen]]*Tariefsopbouw!$D$38</f>
        <v>0</v>
      </c>
      <c r="X250" s="33"/>
      <c r="Y250" s="33">
        <f>IF(Ruimtestaat[[#This Row],[Frequentie weekend]]&gt;0,VALUE(LEFT(X250,1))*Q250,0)</f>
        <v>0</v>
      </c>
      <c r="Z250" s="33">
        <f>IF($Y250&gt;0,VLOOKUP($J250,Ruimtegroepen[],3,FALSE)*VLOOKUP($K250,Vloersoorten[],3,FALSE)*VLOOKUP($X250,Frequenties[],3,FALSE)*VLOOKUP(#REF!,Locaties[],3,FALSE),0)</f>
        <v>0</v>
      </c>
      <c r="AA250" s="33"/>
      <c r="AB250" s="33"/>
      <c r="AC250" s="33">
        <f>Ruimtestaat[[#This Row],[uren / jaar weekend]]*Tariefsopbouw!$D$40</f>
        <v>0</v>
      </c>
      <c r="AD250" s="88">
        <f>Ruimtestaat[[#This Row],[Prest. (m2 /jaar) weekend]]+Ruimtestaat[[#This Row],[Prest. (m2 /jaar) werkdagen]]</f>
        <v>32780</v>
      </c>
      <c r="AE250" s="88">
        <f>Ruimtestaat[[#This Row],[uren / jaar weekend]]+Ruimtestaat[[#This Row],[uren / jaar werkdagen]]</f>
        <v>0</v>
      </c>
      <c r="AF250" s="89">
        <f>Ruimtestaat[[#This Row],[kosten / jaar weekend]]+Ruimtestaat[[#This Row],[kosten / jaar werkdagen]]</f>
        <v>0</v>
      </c>
    </row>
    <row r="251" spans="1:32" ht="15" customHeight="1">
      <c r="A251" s="200">
        <v>2</v>
      </c>
      <c r="B251" s="21" t="str">
        <f>VLOOKUP(Ruimtestaat[[#This Row],[Code]],Locaties[#All],2,FALSE)</f>
        <v>Stichting Facilitair Beheer Van Renneslaan</v>
      </c>
      <c r="C251" s="243" t="str">
        <f>VLOOKUP(Ruimtestaat[[#This Row],[Code]],Locaties[#All],4,FALSE)</f>
        <v>Catharina van Renneslaan 35</v>
      </c>
      <c r="D251" s="243" t="str">
        <f>VLOOKUP(Ruimtestaat[[#This Row],[Code]],Locaties[#All],5,FALSE)</f>
        <v>7604 KV</v>
      </c>
      <c r="E251" s="243" t="str">
        <f>VLOOKUP(Ruimtestaat[[#This Row],[Code]],Locaties[#All],6,FALSE)</f>
        <v>Almelo</v>
      </c>
      <c r="F251" s="244" t="s">
        <v>1343</v>
      </c>
      <c r="G251" s="200" t="s">
        <v>1336</v>
      </c>
      <c r="H251" s="200" t="s">
        <v>1180</v>
      </c>
      <c r="I251" s="244" t="s">
        <v>1180</v>
      </c>
      <c r="J251" s="200">
        <v>16</v>
      </c>
      <c r="K251" s="243" t="s">
        <v>1040</v>
      </c>
      <c r="L251" s="200" t="s">
        <v>999</v>
      </c>
      <c r="M251" s="213">
        <v>39.5</v>
      </c>
      <c r="N251" s="213"/>
      <c r="O251" s="243" t="str">
        <f>VLOOKUP(Ruimtestaat[[#This Row],[Ruimte code]],Ruimtegroepen[#All],4,FALSE)</f>
        <v>L  (Lesruimte)</v>
      </c>
      <c r="P251" s="214"/>
      <c r="Q251" s="215">
        <v>40</v>
      </c>
      <c r="R251" s="215" t="s">
        <v>2</v>
      </c>
      <c r="S251" s="215">
        <f>IF(R251&gt;0,IF(RIGHT(Ruimtestaat[[#This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1" s="215">
        <f>IF(S251&gt;0,VLOOKUP($J251,Ruimtegroepen[],3,FALSE)*VLOOKUP($K251,Vloersoorten[],3,FALSE)*VLOOKUP($R251,Frequenties[],3,FALSE)*VLOOKUP($A251,Locaties[],3,FALSE),0)</f>
        <v>0</v>
      </c>
      <c r="U251" s="215">
        <f>Ruimtestaat[[#This Row],[Uitvoeringen werkdagen]]*Ruimtestaat[[#This Row],[Oppervlak (netto)]]</f>
        <v>7900</v>
      </c>
      <c r="V251" s="259">
        <f>IF(T251&gt;0,Ruimtestaat[[#This Row],[Prest. (m2 /jaar) werkdagen]]/Ruimtestaat[[#This Row],[Norm (m2/uur) werkdagen]],0)</f>
        <v>0</v>
      </c>
      <c r="W251" s="260">
        <f>Ruimtestaat[[#This Row],[uren / jaar werkdagen]]*Tariefsopbouw!$D$38</f>
        <v>0</v>
      </c>
      <c r="X251" s="33"/>
      <c r="Y251" s="33">
        <f>IF(Ruimtestaat[[#This Row],[Frequentie weekend]]&gt;0,VALUE(LEFT(X251,1))*Q251,0)</f>
        <v>0</v>
      </c>
      <c r="Z251" s="33">
        <f>IF($Y251&gt;0,VLOOKUP($J251,Ruimtegroepen[],3,FALSE)*VLOOKUP($K251,Vloersoorten[],3,FALSE)*VLOOKUP($X251,Frequenties[],3,FALSE)*VLOOKUP(#REF!,Locaties[],3,FALSE),0)</f>
        <v>0</v>
      </c>
      <c r="AA251" s="33"/>
      <c r="AB251" s="33"/>
      <c r="AC251" s="33">
        <f>Ruimtestaat[[#This Row],[uren / jaar weekend]]*Tariefsopbouw!$D$40</f>
        <v>0</v>
      </c>
      <c r="AD251" s="88">
        <f>Ruimtestaat[[#This Row],[Prest. (m2 /jaar) weekend]]+Ruimtestaat[[#This Row],[Prest. (m2 /jaar) werkdagen]]</f>
        <v>7900</v>
      </c>
      <c r="AE251" s="88">
        <f>Ruimtestaat[[#This Row],[uren / jaar weekend]]+Ruimtestaat[[#This Row],[uren / jaar werkdagen]]</f>
        <v>0</v>
      </c>
      <c r="AF251" s="89">
        <f>Ruimtestaat[[#This Row],[kosten / jaar weekend]]+Ruimtestaat[[#This Row],[kosten / jaar werkdagen]]</f>
        <v>0</v>
      </c>
    </row>
    <row r="252" spans="1:32" ht="15" customHeight="1">
      <c r="A252" s="200">
        <v>2</v>
      </c>
      <c r="B252" s="21" t="str">
        <f>VLOOKUP(Ruimtestaat[[#This Row],[Code]],Locaties[#All],2,FALSE)</f>
        <v>Stichting Facilitair Beheer Van Renneslaan</v>
      </c>
      <c r="C252" s="243" t="str">
        <f>VLOOKUP(Ruimtestaat[[#This Row],[Code]],Locaties[#All],4,FALSE)</f>
        <v>Catharina van Renneslaan 35</v>
      </c>
      <c r="D252" s="243" t="str">
        <f>VLOOKUP(Ruimtestaat[[#This Row],[Code]],Locaties[#All],5,FALSE)</f>
        <v>7604 KV</v>
      </c>
      <c r="E252" s="243" t="str">
        <f>VLOOKUP(Ruimtestaat[[#This Row],[Code]],Locaties[#All],6,FALSE)</f>
        <v>Almelo</v>
      </c>
      <c r="F252" s="244" t="s">
        <v>1343</v>
      </c>
      <c r="G252" s="200" t="s">
        <v>1336</v>
      </c>
      <c r="H252" s="200" t="s">
        <v>1181</v>
      </c>
      <c r="I252" s="244" t="s">
        <v>1181</v>
      </c>
      <c r="J252" s="200">
        <v>16</v>
      </c>
      <c r="K252" s="243" t="s">
        <v>1040</v>
      </c>
      <c r="L252" s="200" t="s">
        <v>999</v>
      </c>
      <c r="M252" s="213">
        <v>132.19999999999999</v>
      </c>
      <c r="N252" s="213"/>
      <c r="O252" s="243" t="str">
        <f>VLOOKUP(Ruimtestaat[[#This Row],[Ruimte code]],Ruimtegroepen[#All],4,FALSE)</f>
        <v>L  (Lesruimte)</v>
      </c>
      <c r="P252" s="214"/>
      <c r="Q252" s="215">
        <v>40</v>
      </c>
      <c r="R252" s="215" t="s">
        <v>2</v>
      </c>
      <c r="S252" s="215">
        <f>IF(R252&gt;0,IF(RIGHT(Ruimtestaat[[#This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2" s="215">
        <f>IF(S252&gt;0,VLOOKUP($J252,Ruimtegroepen[],3,FALSE)*VLOOKUP($K252,Vloersoorten[],3,FALSE)*VLOOKUP($R252,Frequenties[],3,FALSE)*VLOOKUP($A252,Locaties[],3,FALSE),0)</f>
        <v>0</v>
      </c>
      <c r="U252" s="215">
        <f>Ruimtestaat[[#This Row],[Uitvoeringen werkdagen]]*Ruimtestaat[[#This Row],[Oppervlak (netto)]]</f>
        <v>26439.999999999996</v>
      </c>
      <c r="V252" s="259">
        <f>IF(T252&gt;0,Ruimtestaat[[#This Row],[Prest. (m2 /jaar) werkdagen]]/Ruimtestaat[[#This Row],[Norm (m2/uur) werkdagen]],0)</f>
        <v>0</v>
      </c>
      <c r="W252" s="260">
        <f>Ruimtestaat[[#This Row],[uren / jaar werkdagen]]*Tariefsopbouw!$D$38</f>
        <v>0</v>
      </c>
      <c r="X252" s="33"/>
      <c r="Y252" s="33">
        <f>IF(Ruimtestaat[[#This Row],[Frequentie weekend]]&gt;0,VALUE(LEFT(X252,1))*Q252,0)</f>
        <v>0</v>
      </c>
      <c r="Z252" s="33">
        <f>IF($Y252&gt;0,VLOOKUP($J252,Ruimtegroepen[],3,FALSE)*VLOOKUP($K252,Vloersoorten[],3,FALSE)*VLOOKUP($X252,Frequenties[],3,FALSE)*VLOOKUP(#REF!,Locaties[],3,FALSE),0)</f>
        <v>0</v>
      </c>
      <c r="AA252" s="33"/>
      <c r="AB252" s="33"/>
      <c r="AC252" s="33">
        <f>Ruimtestaat[[#This Row],[uren / jaar weekend]]*Tariefsopbouw!$D$40</f>
        <v>0</v>
      </c>
      <c r="AD252" s="88">
        <f>Ruimtestaat[[#This Row],[Prest. (m2 /jaar) weekend]]+Ruimtestaat[[#This Row],[Prest. (m2 /jaar) werkdagen]]</f>
        <v>26439.999999999996</v>
      </c>
      <c r="AE252" s="88">
        <f>Ruimtestaat[[#This Row],[uren / jaar weekend]]+Ruimtestaat[[#This Row],[uren / jaar werkdagen]]</f>
        <v>0</v>
      </c>
      <c r="AF252" s="89">
        <f>Ruimtestaat[[#This Row],[kosten / jaar weekend]]+Ruimtestaat[[#This Row],[kosten / jaar werkdagen]]</f>
        <v>0</v>
      </c>
    </row>
    <row r="253" spans="1:32" ht="15" customHeight="1">
      <c r="A253" s="200">
        <v>2</v>
      </c>
      <c r="B253" s="21" t="str">
        <f>VLOOKUP(Ruimtestaat[[#This Row],[Code]],Locaties[#All],2,FALSE)</f>
        <v>Stichting Facilitair Beheer Van Renneslaan</v>
      </c>
      <c r="C253" s="243" t="str">
        <f>VLOOKUP(Ruimtestaat[[#This Row],[Code]],Locaties[#All],4,FALSE)</f>
        <v>Catharina van Renneslaan 35</v>
      </c>
      <c r="D253" s="243" t="str">
        <f>VLOOKUP(Ruimtestaat[[#This Row],[Code]],Locaties[#All],5,FALSE)</f>
        <v>7604 KV</v>
      </c>
      <c r="E253" s="243" t="str">
        <f>VLOOKUP(Ruimtestaat[[#This Row],[Code]],Locaties[#All],6,FALSE)</f>
        <v>Almelo</v>
      </c>
      <c r="F253" s="244"/>
      <c r="G253" s="200" t="s">
        <v>1336</v>
      </c>
      <c r="H253" s="200" t="s">
        <v>1182</v>
      </c>
      <c r="I253" s="244" t="s">
        <v>1182</v>
      </c>
      <c r="J253" s="200">
        <v>16</v>
      </c>
      <c r="K253" s="243" t="s">
        <v>1040</v>
      </c>
      <c r="L253" s="200" t="s">
        <v>999</v>
      </c>
      <c r="M253" s="213">
        <v>30.2</v>
      </c>
      <c r="N253" s="213"/>
      <c r="O253" s="243" t="str">
        <f>VLOOKUP(Ruimtestaat[[#This Row],[Ruimte code]],Ruimtegroepen[#All],4,FALSE)</f>
        <v>L  (Lesruimte)</v>
      </c>
      <c r="P253" s="214"/>
      <c r="Q253" s="215">
        <v>40</v>
      </c>
      <c r="R253" s="215" t="s">
        <v>2</v>
      </c>
      <c r="S253" s="215">
        <f>IF(R253&gt;0,IF(RIGHT(Ruimtestaat[[#This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3" s="215">
        <f>IF(S253&gt;0,VLOOKUP($J253,Ruimtegroepen[],3,FALSE)*VLOOKUP($K253,Vloersoorten[],3,FALSE)*VLOOKUP($R253,Frequenties[],3,FALSE)*VLOOKUP($A253,Locaties[],3,FALSE),0)</f>
        <v>0</v>
      </c>
      <c r="U253" s="215">
        <f>Ruimtestaat[[#This Row],[Uitvoeringen werkdagen]]*Ruimtestaat[[#This Row],[Oppervlak (netto)]]</f>
        <v>6040</v>
      </c>
      <c r="V253" s="259">
        <f>IF(T253&gt;0,Ruimtestaat[[#This Row],[Prest. (m2 /jaar) werkdagen]]/Ruimtestaat[[#This Row],[Norm (m2/uur) werkdagen]],0)</f>
        <v>0</v>
      </c>
      <c r="W253" s="260">
        <f>Ruimtestaat[[#This Row],[uren / jaar werkdagen]]*Tariefsopbouw!$D$38</f>
        <v>0</v>
      </c>
      <c r="X253" s="33"/>
      <c r="Y253" s="33">
        <f>IF(Ruimtestaat[[#This Row],[Frequentie weekend]]&gt;0,VALUE(LEFT(X253,1))*Q253,0)</f>
        <v>0</v>
      </c>
      <c r="Z253" s="33">
        <f>IF($Y253&gt;0,VLOOKUP($J253,Ruimtegroepen[],3,FALSE)*VLOOKUP($K253,Vloersoorten[],3,FALSE)*VLOOKUP($X253,Frequenties[],3,FALSE)*VLOOKUP(#REF!,Locaties[],3,FALSE),0)</f>
        <v>0</v>
      </c>
      <c r="AA253" s="33"/>
      <c r="AB253" s="33"/>
      <c r="AC253" s="33">
        <f>Ruimtestaat[[#This Row],[uren / jaar weekend]]*Tariefsopbouw!$D$40</f>
        <v>0</v>
      </c>
      <c r="AD253" s="88">
        <f>Ruimtestaat[[#This Row],[Prest. (m2 /jaar) weekend]]+Ruimtestaat[[#This Row],[Prest. (m2 /jaar) werkdagen]]</f>
        <v>6040</v>
      </c>
      <c r="AE253" s="88">
        <f>Ruimtestaat[[#This Row],[uren / jaar weekend]]+Ruimtestaat[[#This Row],[uren / jaar werkdagen]]</f>
        <v>0</v>
      </c>
      <c r="AF253" s="89">
        <f>Ruimtestaat[[#This Row],[kosten / jaar weekend]]+Ruimtestaat[[#This Row],[kosten / jaar werkdagen]]</f>
        <v>0</v>
      </c>
    </row>
    <row r="254" spans="1:32" ht="15" customHeight="1">
      <c r="A254" s="200">
        <v>2</v>
      </c>
      <c r="B254" s="21" t="str">
        <f>VLOOKUP(Ruimtestaat[[#This Row],[Code]],Locaties[#All],2,FALSE)</f>
        <v>Stichting Facilitair Beheer Van Renneslaan</v>
      </c>
      <c r="C254" s="243" t="str">
        <f>VLOOKUP(Ruimtestaat[[#This Row],[Code]],Locaties[#All],4,FALSE)</f>
        <v>Catharina van Renneslaan 35</v>
      </c>
      <c r="D254" s="243" t="str">
        <f>VLOOKUP(Ruimtestaat[[#This Row],[Code]],Locaties[#All],5,FALSE)</f>
        <v>7604 KV</v>
      </c>
      <c r="E254" s="243" t="str">
        <f>VLOOKUP(Ruimtestaat[[#This Row],[Code]],Locaties[#All],6,FALSE)</f>
        <v>Almelo</v>
      </c>
      <c r="F254" s="244" t="s">
        <v>1342</v>
      </c>
      <c r="G254" s="200" t="s">
        <v>1336</v>
      </c>
      <c r="H254" s="200" t="s">
        <v>1334</v>
      </c>
      <c r="I254" s="244" t="s">
        <v>1183</v>
      </c>
      <c r="J254" s="200">
        <v>8</v>
      </c>
      <c r="K254" s="243" t="s">
        <v>1040</v>
      </c>
      <c r="L254" s="200" t="s">
        <v>999</v>
      </c>
      <c r="M254" s="213">
        <v>260.8</v>
      </c>
      <c r="N254" s="213"/>
      <c r="O254" s="243" t="str">
        <f>VLOOKUP(Ruimtestaat[[#This Row],[Ruimte code]],Ruimtegroepen[#All],4,FALSE)</f>
        <v>L  (Lesruimte)</v>
      </c>
      <c r="P254" s="214"/>
      <c r="Q254" s="215">
        <v>40</v>
      </c>
      <c r="R254" s="215" t="s">
        <v>2</v>
      </c>
      <c r="S254" s="215">
        <f>IF(R254&gt;0,IF(RIGHT(Ruimtestaat[[#This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4" s="215">
        <f>IF(S254&gt;0,VLOOKUP($J254,Ruimtegroepen[],3,FALSE)*VLOOKUP($K254,Vloersoorten[],3,FALSE)*VLOOKUP($R254,Frequenties[],3,FALSE)*VLOOKUP($A254,Locaties[],3,FALSE),0)</f>
        <v>0</v>
      </c>
      <c r="U254" s="215">
        <f>Ruimtestaat[[#This Row],[Uitvoeringen werkdagen]]*Ruimtestaat[[#This Row],[Oppervlak (netto)]]</f>
        <v>52160</v>
      </c>
      <c r="V254" s="259">
        <f>IF(T254&gt;0,Ruimtestaat[[#This Row],[Prest. (m2 /jaar) werkdagen]]/Ruimtestaat[[#This Row],[Norm (m2/uur) werkdagen]],0)</f>
        <v>0</v>
      </c>
      <c r="W254" s="260">
        <f>Ruimtestaat[[#This Row],[uren / jaar werkdagen]]*Tariefsopbouw!$D$38</f>
        <v>0</v>
      </c>
      <c r="X254" s="33"/>
      <c r="Y254" s="33">
        <f>IF(Ruimtestaat[[#This Row],[Frequentie weekend]]&gt;0,VALUE(LEFT(X254,1))*Q254,0)</f>
        <v>0</v>
      </c>
      <c r="Z254" s="33">
        <f>IF($Y254&gt;0,VLOOKUP($J254,Ruimtegroepen[],3,FALSE)*VLOOKUP($K254,Vloersoorten[],3,FALSE)*VLOOKUP($X254,Frequenties[],3,FALSE)*VLOOKUP(#REF!,Locaties[],3,FALSE),0)</f>
        <v>0</v>
      </c>
      <c r="AA254" s="33"/>
      <c r="AB254" s="33"/>
      <c r="AC254" s="33">
        <f>Ruimtestaat[[#This Row],[uren / jaar weekend]]*Tariefsopbouw!$D$40</f>
        <v>0</v>
      </c>
      <c r="AD254" s="88">
        <f>Ruimtestaat[[#This Row],[Prest. (m2 /jaar) weekend]]+Ruimtestaat[[#This Row],[Prest. (m2 /jaar) werkdagen]]</f>
        <v>52160</v>
      </c>
      <c r="AE254" s="88">
        <f>Ruimtestaat[[#This Row],[uren / jaar weekend]]+Ruimtestaat[[#This Row],[uren / jaar werkdagen]]</f>
        <v>0</v>
      </c>
      <c r="AF254" s="89">
        <f>Ruimtestaat[[#This Row],[kosten / jaar weekend]]+Ruimtestaat[[#This Row],[kosten / jaar werkdagen]]</f>
        <v>0</v>
      </c>
    </row>
    <row r="255" spans="1:32" ht="15" customHeight="1">
      <c r="A255" s="200">
        <v>2</v>
      </c>
      <c r="B255" s="21" t="str">
        <f>VLOOKUP(Ruimtestaat[[#This Row],[Code]],Locaties[#All],2,FALSE)</f>
        <v>Stichting Facilitair Beheer Van Renneslaan</v>
      </c>
      <c r="C255" s="243" t="str">
        <f>VLOOKUP(Ruimtestaat[[#This Row],[Code]],Locaties[#All],4,FALSE)</f>
        <v>Catharina van Renneslaan 35</v>
      </c>
      <c r="D255" s="243" t="str">
        <f>VLOOKUP(Ruimtestaat[[#This Row],[Code]],Locaties[#All],5,FALSE)</f>
        <v>7604 KV</v>
      </c>
      <c r="E255" s="243" t="str">
        <f>VLOOKUP(Ruimtestaat[[#This Row],[Code]],Locaties[#All],6,FALSE)</f>
        <v>Almelo</v>
      </c>
      <c r="F255" s="244" t="s">
        <v>1342</v>
      </c>
      <c r="G255" s="200" t="s">
        <v>1336</v>
      </c>
      <c r="H255" s="200" t="s">
        <v>1184</v>
      </c>
      <c r="I255" s="244" t="s">
        <v>1184</v>
      </c>
      <c r="J255" s="200">
        <v>2</v>
      </c>
      <c r="K255" s="243" t="s">
        <v>1040</v>
      </c>
      <c r="L255" s="200" t="s">
        <v>999</v>
      </c>
      <c r="M255" s="213">
        <v>21.5</v>
      </c>
      <c r="N255" s="213"/>
      <c r="O255" s="243" t="str">
        <f>VLOOKUP(Ruimtestaat[[#This Row],[Ruimte code]],Ruimtegroepen[#All],4,FALSE)</f>
        <v>B  (Bureauruimte)</v>
      </c>
      <c r="P255" s="214"/>
      <c r="Q255" s="215">
        <v>40</v>
      </c>
      <c r="R255" s="215" t="s">
        <v>18</v>
      </c>
      <c r="S255" s="215">
        <f>IF(R255&gt;0,IF(RIGHT(Ruimtestaat[[#This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55" s="215">
        <f>IF(S255&gt;0,VLOOKUP($J255,Ruimtegroepen[],3,FALSE)*VLOOKUP($K255,Vloersoorten[],3,FALSE)*VLOOKUP($R255,Frequenties[],3,FALSE)*VLOOKUP($A255,Locaties[],3,FALSE),0)</f>
        <v>0</v>
      </c>
      <c r="U255" s="215">
        <f>Ruimtestaat[[#This Row],[Uitvoeringen werkdagen]]*Ruimtestaat[[#This Row],[Oppervlak (netto)]]</f>
        <v>2580</v>
      </c>
      <c r="V255" s="259">
        <f>IF(T255&gt;0,Ruimtestaat[[#This Row],[Prest. (m2 /jaar) werkdagen]]/Ruimtestaat[[#This Row],[Norm (m2/uur) werkdagen]],0)</f>
        <v>0</v>
      </c>
      <c r="W255" s="260">
        <f>Ruimtestaat[[#This Row],[uren / jaar werkdagen]]*Tariefsopbouw!$D$38</f>
        <v>0</v>
      </c>
      <c r="X255" s="33"/>
      <c r="Y255" s="33">
        <f>IF(Ruimtestaat[[#This Row],[Frequentie weekend]]&gt;0,VALUE(LEFT(X255,1))*Q255,0)</f>
        <v>0</v>
      </c>
      <c r="Z255" s="33">
        <f>IF($Y255&gt;0,VLOOKUP($J255,Ruimtegroepen[],3,FALSE)*VLOOKUP($K255,Vloersoorten[],3,FALSE)*VLOOKUP($X255,Frequenties[],3,FALSE)*VLOOKUP(#REF!,Locaties[],3,FALSE),0)</f>
        <v>0</v>
      </c>
      <c r="AA255" s="33"/>
      <c r="AB255" s="33"/>
      <c r="AC255" s="33">
        <f>Ruimtestaat[[#This Row],[uren / jaar weekend]]*Tariefsopbouw!$D$40</f>
        <v>0</v>
      </c>
      <c r="AD255" s="88">
        <f>Ruimtestaat[[#This Row],[Prest. (m2 /jaar) weekend]]+Ruimtestaat[[#This Row],[Prest. (m2 /jaar) werkdagen]]</f>
        <v>2580</v>
      </c>
      <c r="AE255" s="88">
        <f>Ruimtestaat[[#This Row],[uren / jaar weekend]]+Ruimtestaat[[#This Row],[uren / jaar werkdagen]]</f>
        <v>0</v>
      </c>
      <c r="AF255" s="89">
        <f>Ruimtestaat[[#This Row],[kosten / jaar weekend]]+Ruimtestaat[[#This Row],[kosten / jaar werkdagen]]</f>
        <v>0</v>
      </c>
    </row>
    <row r="256" spans="1:32" ht="15" customHeight="1">
      <c r="A256" s="200">
        <v>2</v>
      </c>
      <c r="B256" s="21" t="str">
        <f>VLOOKUP(Ruimtestaat[[#This Row],[Code]],Locaties[#All],2,FALSE)</f>
        <v>Stichting Facilitair Beheer Van Renneslaan</v>
      </c>
      <c r="C256" s="243" t="str">
        <f>VLOOKUP(Ruimtestaat[[#This Row],[Code]],Locaties[#All],4,FALSE)</f>
        <v>Catharina van Renneslaan 35</v>
      </c>
      <c r="D256" s="243" t="str">
        <f>VLOOKUP(Ruimtestaat[[#This Row],[Code]],Locaties[#All],5,FALSE)</f>
        <v>7604 KV</v>
      </c>
      <c r="E256" s="243" t="str">
        <f>VLOOKUP(Ruimtestaat[[#This Row],[Code]],Locaties[#All],6,FALSE)</f>
        <v>Almelo</v>
      </c>
      <c r="F256" s="244" t="s">
        <v>1342</v>
      </c>
      <c r="G256" s="200" t="s">
        <v>1336</v>
      </c>
      <c r="H256" s="200" t="s">
        <v>1185</v>
      </c>
      <c r="I256" s="244" t="s">
        <v>1185</v>
      </c>
      <c r="J256" s="200">
        <v>2</v>
      </c>
      <c r="K256" s="243" t="s">
        <v>1040</v>
      </c>
      <c r="L256" s="200" t="s">
        <v>999</v>
      </c>
      <c r="M256" s="213">
        <v>12.5</v>
      </c>
      <c r="N256" s="213"/>
      <c r="O256" s="243" t="str">
        <f>VLOOKUP(Ruimtestaat[[#This Row],[Ruimte code]],Ruimtegroepen[#All],4,FALSE)</f>
        <v>B  (Bureauruimte)</v>
      </c>
      <c r="P256" s="214"/>
      <c r="Q256" s="215">
        <v>40</v>
      </c>
      <c r="R256" s="215" t="s">
        <v>18</v>
      </c>
      <c r="S256" s="215">
        <f>IF(R256&gt;0,IF(RIGHT(Ruimtestaat[[#This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56" s="215">
        <f>IF(S256&gt;0,VLOOKUP($J256,Ruimtegroepen[],3,FALSE)*VLOOKUP($K256,Vloersoorten[],3,FALSE)*VLOOKUP($R256,Frequenties[],3,FALSE)*VLOOKUP($A256,Locaties[],3,FALSE),0)</f>
        <v>0</v>
      </c>
      <c r="U256" s="215">
        <f>Ruimtestaat[[#This Row],[Uitvoeringen werkdagen]]*Ruimtestaat[[#This Row],[Oppervlak (netto)]]</f>
        <v>1500</v>
      </c>
      <c r="V256" s="259">
        <f>IF(T256&gt;0,Ruimtestaat[[#This Row],[Prest. (m2 /jaar) werkdagen]]/Ruimtestaat[[#This Row],[Norm (m2/uur) werkdagen]],0)</f>
        <v>0</v>
      </c>
      <c r="W256" s="260">
        <f>Ruimtestaat[[#This Row],[uren / jaar werkdagen]]*Tariefsopbouw!$D$38</f>
        <v>0</v>
      </c>
      <c r="X256" s="33"/>
      <c r="Y256" s="33">
        <f>IF(Ruimtestaat[[#This Row],[Frequentie weekend]]&gt;0,VALUE(LEFT(X256,1))*Q256,0)</f>
        <v>0</v>
      </c>
      <c r="Z256" s="33">
        <f>IF($Y256&gt;0,VLOOKUP($J256,Ruimtegroepen[],3,FALSE)*VLOOKUP($K256,Vloersoorten[],3,FALSE)*VLOOKUP($X256,Frequenties[],3,FALSE)*VLOOKUP(#REF!,Locaties[],3,FALSE),0)</f>
        <v>0</v>
      </c>
      <c r="AA256" s="33"/>
      <c r="AB256" s="33"/>
      <c r="AC256" s="33">
        <f>Ruimtestaat[[#This Row],[uren / jaar weekend]]*Tariefsopbouw!$D$40</f>
        <v>0</v>
      </c>
      <c r="AD256" s="88">
        <f>Ruimtestaat[[#This Row],[Prest. (m2 /jaar) weekend]]+Ruimtestaat[[#This Row],[Prest. (m2 /jaar) werkdagen]]</f>
        <v>1500</v>
      </c>
      <c r="AE256" s="88">
        <f>Ruimtestaat[[#This Row],[uren / jaar weekend]]+Ruimtestaat[[#This Row],[uren / jaar werkdagen]]</f>
        <v>0</v>
      </c>
      <c r="AF256" s="89">
        <f>Ruimtestaat[[#This Row],[kosten / jaar weekend]]+Ruimtestaat[[#This Row],[kosten / jaar werkdagen]]</f>
        <v>0</v>
      </c>
    </row>
    <row r="257" spans="1:32" ht="15" customHeight="1">
      <c r="A257" s="200">
        <v>2</v>
      </c>
      <c r="B257" s="21" t="str">
        <f>VLOOKUP(Ruimtestaat[[#This Row],[Code]],Locaties[#All],2,FALSE)</f>
        <v>Stichting Facilitair Beheer Van Renneslaan</v>
      </c>
      <c r="C257" s="243" t="str">
        <f>VLOOKUP(Ruimtestaat[[#This Row],[Code]],Locaties[#All],4,FALSE)</f>
        <v>Catharina van Renneslaan 35</v>
      </c>
      <c r="D257" s="243" t="str">
        <f>VLOOKUP(Ruimtestaat[[#This Row],[Code]],Locaties[#All],5,FALSE)</f>
        <v>7604 KV</v>
      </c>
      <c r="E257" s="243" t="str">
        <f>VLOOKUP(Ruimtestaat[[#This Row],[Code]],Locaties[#All],6,FALSE)</f>
        <v>Almelo</v>
      </c>
      <c r="F257" s="244" t="s">
        <v>1342</v>
      </c>
      <c r="G257" s="200" t="s">
        <v>1336</v>
      </c>
      <c r="H257" s="200" t="s">
        <v>1186</v>
      </c>
      <c r="I257" s="244" t="s">
        <v>1186</v>
      </c>
      <c r="J257" s="200">
        <v>16</v>
      </c>
      <c r="K257" s="243" t="s">
        <v>1040</v>
      </c>
      <c r="L257" s="200" t="s">
        <v>999</v>
      </c>
      <c r="M257" s="213">
        <v>59.4</v>
      </c>
      <c r="N257" s="213"/>
      <c r="O257" s="243" t="str">
        <f>VLOOKUP(Ruimtestaat[[#This Row],[Ruimte code]],Ruimtegroepen[#All],4,FALSE)</f>
        <v>L  (Lesruimte)</v>
      </c>
      <c r="P257" s="214"/>
      <c r="Q257" s="215">
        <v>40</v>
      </c>
      <c r="R257" s="215" t="s">
        <v>2</v>
      </c>
      <c r="S257" s="215">
        <f>IF(R257&gt;0,IF(RIGHT(Ruimtestaat[[#This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7" s="215">
        <f>IF(S257&gt;0,VLOOKUP($J257,Ruimtegroepen[],3,FALSE)*VLOOKUP($K257,Vloersoorten[],3,FALSE)*VLOOKUP($R257,Frequenties[],3,FALSE)*VLOOKUP($A257,Locaties[],3,FALSE),0)</f>
        <v>0</v>
      </c>
      <c r="U257" s="215">
        <f>Ruimtestaat[[#This Row],[Uitvoeringen werkdagen]]*Ruimtestaat[[#This Row],[Oppervlak (netto)]]</f>
        <v>11880</v>
      </c>
      <c r="V257" s="259">
        <f>IF(T257&gt;0,Ruimtestaat[[#This Row],[Prest. (m2 /jaar) werkdagen]]/Ruimtestaat[[#This Row],[Norm (m2/uur) werkdagen]],0)</f>
        <v>0</v>
      </c>
      <c r="W257" s="260">
        <f>Ruimtestaat[[#This Row],[uren / jaar werkdagen]]*Tariefsopbouw!$D$38</f>
        <v>0</v>
      </c>
      <c r="X257" s="33"/>
      <c r="Y257" s="33">
        <f>IF(Ruimtestaat[[#This Row],[Frequentie weekend]]&gt;0,VALUE(LEFT(X257,1))*Q257,0)</f>
        <v>0</v>
      </c>
      <c r="Z257" s="33">
        <f>IF($Y257&gt;0,VLOOKUP($J257,Ruimtegroepen[],3,FALSE)*VLOOKUP($K257,Vloersoorten[],3,FALSE)*VLOOKUP($X257,Frequenties[],3,FALSE)*VLOOKUP(#REF!,Locaties[],3,FALSE),0)</f>
        <v>0</v>
      </c>
      <c r="AA257" s="33"/>
      <c r="AB257" s="33"/>
      <c r="AC257" s="33">
        <f>Ruimtestaat[[#This Row],[uren / jaar weekend]]*Tariefsopbouw!$D$40</f>
        <v>0</v>
      </c>
      <c r="AD257" s="88">
        <f>Ruimtestaat[[#This Row],[Prest. (m2 /jaar) weekend]]+Ruimtestaat[[#This Row],[Prest. (m2 /jaar) werkdagen]]</f>
        <v>11880</v>
      </c>
      <c r="AE257" s="88">
        <f>Ruimtestaat[[#This Row],[uren / jaar weekend]]+Ruimtestaat[[#This Row],[uren / jaar werkdagen]]</f>
        <v>0</v>
      </c>
      <c r="AF257" s="89">
        <f>Ruimtestaat[[#This Row],[kosten / jaar weekend]]+Ruimtestaat[[#This Row],[kosten / jaar werkdagen]]</f>
        <v>0</v>
      </c>
    </row>
    <row r="258" spans="1:32" ht="15" customHeight="1">
      <c r="A258" s="200">
        <v>2</v>
      </c>
      <c r="B258" s="21" t="str">
        <f>VLOOKUP(Ruimtestaat[[#This Row],[Code]],Locaties[#All],2,FALSE)</f>
        <v>Stichting Facilitair Beheer Van Renneslaan</v>
      </c>
      <c r="C258" s="243" t="str">
        <f>VLOOKUP(Ruimtestaat[[#This Row],[Code]],Locaties[#All],4,FALSE)</f>
        <v>Catharina van Renneslaan 35</v>
      </c>
      <c r="D258" s="243" t="str">
        <f>VLOOKUP(Ruimtestaat[[#This Row],[Code]],Locaties[#All],5,FALSE)</f>
        <v>7604 KV</v>
      </c>
      <c r="E258" s="243" t="str">
        <f>VLOOKUP(Ruimtestaat[[#This Row],[Code]],Locaties[#All],6,FALSE)</f>
        <v>Almelo</v>
      </c>
      <c r="F258" s="244"/>
      <c r="G258" s="200" t="s">
        <v>1336</v>
      </c>
      <c r="H258" s="200" t="s">
        <v>1335</v>
      </c>
      <c r="I258" s="244" t="s">
        <v>1187</v>
      </c>
      <c r="J258" s="243">
        <v>9</v>
      </c>
      <c r="K258" s="243" t="s">
        <v>1040</v>
      </c>
      <c r="L258" s="200" t="s">
        <v>999</v>
      </c>
      <c r="M258" s="213">
        <v>36.6</v>
      </c>
      <c r="N258" s="213"/>
      <c r="O258" s="243" t="str">
        <f>VLOOKUP(Ruimtestaat[[#This Row],[Ruimte code]],Ruimtegroepen[#All],4,FALSE)</f>
        <v>V  (Verkeersruimte)</v>
      </c>
      <c r="P258" s="214"/>
      <c r="Q258" s="215">
        <v>40</v>
      </c>
      <c r="R258" s="215" t="s">
        <v>2</v>
      </c>
      <c r="S258" s="215">
        <f>IF(R258&gt;0,IF(RIGHT(Ruimtestaat[[#This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8" s="215">
        <f>IF(S258&gt;0,VLOOKUP($J258,Ruimtegroepen[],3,FALSE)*VLOOKUP($K258,Vloersoorten[],3,FALSE)*VLOOKUP($R258,Frequenties[],3,FALSE)*VLOOKUP($A258,Locaties[],3,FALSE),0)</f>
        <v>0</v>
      </c>
      <c r="U258" s="215">
        <f>Ruimtestaat[[#This Row],[Uitvoeringen werkdagen]]*Ruimtestaat[[#This Row],[Oppervlak (netto)]]</f>
        <v>7320</v>
      </c>
      <c r="V258" s="259">
        <f>IF(T258&gt;0,Ruimtestaat[[#This Row],[Prest. (m2 /jaar) werkdagen]]/Ruimtestaat[[#This Row],[Norm (m2/uur) werkdagen]],0)</f>
        <v>0</v>
      </c>
      <c r="W258" s="260">
        <f>Ruimtestaat[[#This Row],[uren / jaar werkdagen]]*Tariefsopbouw!$D$38</f>
        <v>0</v>
      </c>
      <c r="X258" s="33"/>
      <c r="Y258" s="33">
        <f>IF(Ruimtestaat[[#This Row],[Frequentie weekend]]&gt;0,VALUE(LEFT(X258,1))*Q258,0)</f>
        <v>0</v>
      </c>
      <c r="Z258" s="33">
        <f>IF($Y258&gt;0,VLOOKUP($J258,Ruimtegroepen[],3,FALSE)*VLOOKUP($K258,Vloersoorten[],3,FALSE)*VLOOKUP($X258,Frequenties[],3,FALSE)*VLOOKUP(#REF!,Locaties[],3,FALSE),0)</f>
        <v>0</v>
      </c>
      <c r="AA258" s="33"/>
      <c r="AB258" s="33"/>
      <c r="AC258" s="33">
        <f>Ruimtestaat[[#This Row],[uren / jaar weekend]]*Tariefsopbouw!$D$40</f>
        <v>0</v>
      </c>
      <c r="AD258" s="88">
        <f>Ruimtestaat[[#This Row],[Prest. (m2 /jaar) weekend]]+Ruimtestaat[[#This Row],[Prest. (m2 /jaar) werkdagen]]</f>
        <v>7320</v>
      </c>
      <c r="AE258" s="88">
        <f>Ruimtestaat[[#This Row],[uren / jaar weekend]]+Ruimtestaat[[#This Row],[uren / jaar werkdagen]]</f>
        <v>0</v>
      </c>
      <c r="AF258" s="89">
        <f>Ruimtestaat[[#This Row],[kosten / jaar weekend]]+Ruimtestaat[[#This Row],[kosten / jaar werkdagen]]</f>
        <v>0</v>
      </c>
    </row>
    <row r="259" spans="1:32" ht="15" customHeight="1">
      <c r="A259" s="200">
        <v>2</v>
      </c>
      <c r="B259" s="21" t="str">
        <f>VLOOKUP(Ruimtestaat[[#This Row],[Code]],Locaties[#All],2,FALSE)</f>
        <v>Stichting Facilitair Beheer Van Renneslaan</v>
      </c>
      <c r="C259" s="243" t="str">
        <f>VLOOKUP(Ruimtestaat[[#This Row],[Code]],Locaties[#All],4,FALSE)</f>
        <v>Catharina van Renneslaan 35</v>
      </c>
      <c r="D259" s="243" t="str">
        <f>VLOOKUP(Ruimtestaat[[#This Row],[Code]],Locaties[#All],5,FALSE)</f>
        <v>7604 KV</v>
      </c>
      <c r="E259" s="243" t="str">
        <f>VLOOKUP(Ruimtestaat[[#This Row],[Code]],Locaties[#All],6,FALSE)</f>
        <v>Almelo</v>
      </c>
      <c r="F259" s="244"/>
      <c r="G259" s="200" t="s">
        <v>1336</v>
      </c>
      <c r="H259" s="200"/>
      <c r="I259" s="244" t="s">
        <v>1188</v>
      </c>
      <c r="J259" s="200">
        <v>10</v>
      </c>
      <c r="K259" s="243" t="s">
        <v>111</v>
      </c>
      <c r="L259" s="200" t="s">
        <v>1339</v>
      </c>
      <c r="M259" s="213">
        <v>7</v>
      </c>
      <c r="N259" s="213"/>
      <c r="O259" s="243" t="str">
        <f>VLOOKUP(Ruimtestaat[[#This Row],[Ruimte code]],Ruimtegroepen[#All],4,FALSE)</f>
        <v>V  (Verkeersruimte)</v>
      </c>
      <c r="P259" s="214"/>
      <c r="Q259" s="215">
        <v>40</v>
      </c>
      <c r="R259" s="215" t="s">
        <v>2</v>
      </c>
      <c r="S259" s="215">
        <f>IF(R259&gt;0,IF(RIGHT(Ruimtestaat[[#This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59" s="215">
        <f>IF(S259&gt;0,VLOOKUP($J259,Ruimtegroepen[],3,FALSE)*VLOOKUP($K259,Vloersoorten[],3,FALSE)*VLOOKUP($R259,Frequenties[],3,FALSE)*VLOOKUP($A259,Locaties[],3,FALSE),0)</f>
        <v>0</v>
      </c>
      <c r="U259" s="215">
        <f>Ruimtestaat[[#This Row],[Uitvoeringen werkdagen]]*Ruimtestaat[[#This Row],[Oppervlak (netto)]]</f>
        <v>1400</v>
      </c>
      <c r="V259" s="259">
        <f>IF(T259&gt;0,Ruimtestaat[[#This Row],[Prest. (m2 /jaar) werkdagen]]/Ruimtestaat[[#This Row],[Norm (m2/uur) werkdagen]],0)</f>
        <v>0</v>
      </c>
      <c r="W259" s="260">
        <f>Ruimtestaat[[#This Row],[uren / jaar werkdagen]]*Tariefsopbouw!$D$38</f>
        <v>0</v>
      </c>
      <c r="X259" s="33"/>
      <c r="Y259" s="33">
        <f>IF(Ruimtestaat[[#This Row],[Frequentie weekend]]&gt;0,VALUE(LEFT(X259,1))*Q259,0)</f>
        <v>0</v>
      </c>
      <c r="Z259" s="33">
        <f>IF($Y259&gt;0,VLOOKUP($J259,Ruimtegroepen[],3,FALSE)*VLOOKUP($K259,Vloersoorten[],3,FALSE)*VLOOKUP($X259,Frequenties[],3,FALSE)*VLOOKUP(#REF!,Locaties[],3,FALSE),0)</f>
        <v>0</v>
      </c>
      <c r="AA259" s="33"/>
      <c r="AB259" s="33"/>
      <c r="AC259" s="33">
        <f>Ruimtestaat[[#This Row],[uren / jaar weekend]]*Tariefsopbouw!$D$40</f>
        <v>0</v>
      </c>
      <c r="AD259" s="88">
        <f>Ruimtestaat[[#This Row],[Prest. (m2 /jaar) weekend]]+Ruimtestaat[[#This Row],[Prest. (m2 /jaar) werkdagen]]</f>
        <v>1400</v>
      </c>
      <c r="AE259" s="88">
        <f>Ruimtestaat[[#This Row],[uren / jaar weekend]]+Ruimtestaat[[#This Row],[uren / jaar werkdagen]]</f>
        <v>0</v>
      </c>
      <c r="AF259" s="89">
        <f>Ruimtestaat[[#This Row],[kosten / jaar weekend]]+Ruimtestaat[[#This Row],[kosten / jaar werkdagen]]</f>
        <v>0</v>
      </c>
    </row>
    <row r="260" spans="1:32" ht="15" customHeight="1">
      <c r="A260" s="200">
        <v>2</v>
      </c>
      <c r="B260" s="21" t="str">
        <f>VLOOKUP(Ruimtestaat[[#This Row],[Code]],Locaties[#All],2,FALSE)</f>
        <v>Stichting Facilitair Beheer Van Renneslaan</v>
      </c>
      <c r="C260" s="243" t="str">
        <f>VLOOKUP(Ruimtestaat[[#This Row],[Code]],Locaties[#All],4,FALSE)</f>
        <v>Catharina van Renneslaan 35</v>
      </c>
      <c r="D260" s="243" t="str">
        <f>VLOOKUP(Ruimtestaat[[#This Row],[Code]],Locaties[#All],5,FALSE)</f>
        <v>7604 KV</v>
      </c>
      <c r="E260" s="243" t="str">
        <f>VLOOKUP(Ruimtestaat[[#This Row],[Code]],Locaties[#All],6,FALSE)</f>
        <v>Almelo</v>
      </c>
      <c r="F260" s="244"/>
      <c r="G260" s="200" t="s">
        <v>1336</v>
      </c>
      <c r="H260" s="200"/>
      <c r="I260" s="244" t="s">
        <v>1189</v>
      </c>
      <c r="J260" s="243">
        <v>5</v>
      </c>
      <c r="K260" s="243" t="s">
        <v>111</v>
      </c>
      <c r="L260" s="200" t="s">
        <v>1340</v>
      </c>
      <c r="M260" s="213">
        <v>17.5</v>
      </c>
      <c r="N260" s="213"/>
      <c r="O260" s="243" t="str">
        <f>VLOOKUP(Ruimtestaat[[#This Row],[Ruimte code]],Ruimtegroepen[#All],4,FALSE)</f>
        <v>S  (Sanitair)</v>
      </c>
      <c r="P260" s="214"/>
      <c r="Q260" s="215">
        <v>40</v>
      </c>
      <c r="R260" s="215" t="s">
        <v>2</v>
      </c>
      <c r="S260" s="215">
        <f>IF(R260&gt;0,IF(RIGHT(Ruimtestaat[[#This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0" s="215">
        <f>IF(S260&gt;0,VLOOKUP($J260,Ruimtegroepen[],3,FALSE)*VLOOKUP($K260,Vloersoorten[],3,FALSE)*VLOOKUP($R260,Frequenties[],3,FALSE)*VLOOKUP($A260,Locaties[],3,FALSE),0)</f>
        <v>0</v>
      </c>
      <c r="U260" s="215">
        <f>Ruimtestaat[[#This Row],[Uitvoeringen werkdagen]]*Ruimtestaat[[#This Row],[Oppervlak (netto)]]</f>
        <v>3500</v>
      </c>
      <c r="V260" s="259">
        <f>IF(T260&gt;0,Ruimtestaat[[#This Row],[Prest. (m2 /jaar) werkdagen]]/Ruimtestaat[[#This Row],[Norm (m2/uur) werkdagen]],0)</f>
        <v>0</v>
      </c>
      <c r="W260" s="260">
        <f>Ruimtestaat[[#This Row],[uren / jaar werkdagen]]*Tariefsopbouw!$D$38</f>
        <v>0</v>
      </c>
      <c r="X260" s="33"/>
      <c r="Y260" s="33">
        <f>IF(Ruimtestaat[[#This Row],[Frequentie weekend]]&gt;0,VALUE(LEFT(X260,1))*Q260,0)</f>
        <v>0</v>
      </c>
      <c r="Z260" s="33">
        <f>IF($Y260&gt;0,VLOOKUP($J260,Ruimtegroepen[],3,FALSE)*VLOOKUP($K260,Vloersoorten[],3,FALSE)*VLOOKUP($X260,Frequenties[],3,FALSE)*VLOOKUP(#REF!,Locaties[],3,FALSE),0)</f>
        <v>0</v>
      </c>
      <c r="AA260" s="33"/>
      <c r="AB260" s="33"/>
      <c r="AC260" s="33">
        <f>Ruimtestaat[[#This Row],[uren / jaar weekend]]*Tariefsopbouw!$D$40</f>
        <v>0</v>
      </c>
      <c r="AD260" s="88">
        <f>Ruimtestaat[[#This Row],[Prest. (m2 /jaar) weekend]]+Ruimtestaat[[#This Row],[Prest. (m2 /jaar) werkdagen]]</f>
        <v>3500</v>
      </c>
      <c r="AE260" s="88">
        <f>Ruimtestaat[[#This Row],[uren / jaar weekend]]+Ruimtestaat[[#This Row],[uren / jaar werkdagen]]</f>
        <v>0</v>
      </c>
      <c r="AF260" s="89">
        <f>Ruimtestaat[[#This Row],[kosten / jaar weekend]]+Ruimtestaat[[#This Row],[kosten / jaar werkdagen]]</f>
        <v>0</v>
      </c>
    </row>
    <row r="261" spans="1:32" ht="15" customHeight="1">
      <c r="A261" s="200">
        <v>2</v>
      </c>
      <c r="B261" s="21" t="str">
        <f>VLOOKUP(Ruimtestaat[[#This Row],[Code]],Locaties[#All],2,FALSE)</f>
        <v>Stichting Facilitair Beheer Van Renneslaan</v>
      </c>
      <c r="C261" s="243" t="str">
        <f>VLOOKUP(Ruimtestaat[[#This Row],[Code]],Locaties[#All],4,FALSE)</f>
        <v>Catharina van Renneslaan 35</v>
      </c>
      <c r="D261" s="243" t="str">
        <f>VLOOKUP(Ruimtestaat[[#This Row],[Code]],Locaties[#All],5,FALSE)</f>
        <v>7604 KV</v>
      </c>
      <c r="E261" s="243" t="str">
        <f>VLOOKUP(Ruimtestaat[[#This Row],[Code]],Locaties[#All],6,FALSE)</f>
        <v>Almelo</v>
      </c>
      <c r="F261" s="244"/>
      <c r="G261" s="200" t="s">
        <v>1336</v>
      </c>
      <c r="H261" s="200"/>
      <c r="I261" s="244" t="s">
        <v>1190</v>
      </c>
      <c r="J261" s="200">
        <v>10</v>
      </c>
      <c r="K261" s="243" t="s">
        <v>112</v>
      </c>
      <c r="L261" s="200" t="s">
        <v>1341</v>
      </c>
      <c r="M261" s="213">
        <v>7.5</v>
      </c>
      <c r="N261" s="213"/>
      <c r="O261" s="243" t="str">
        <f>VLOOKUP(Ruimtestaat[[#This Row],[Ruimte code]],Ruimtegroepen[#All],4,FALSE)</f>
        <v>V  (Verkeersruimte)</v>
      </c>
      <c r="P261" s="214"/>
      <c r="Q261" s="215">
        <v>40</v>
      </c>
      <c r="R261" s="215" t="s">
        <v>2</v>
      </c>
      <c r="S261" s="215">
        <f>IF(R261&gt;0,IF(RIGHT(Ruimtestaat[[#This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1" s="215">
        <f>IF(S261&gt;0,VLOOKUP($J261,Ruimtegroepen[],3,FALSE)*VLOOKUP($K261,Vloersoorten[],3,FALSE)*VLOOKUP($R261,Frequenties[],3,FALSE)*VLOOKUP($A261,Locaties[],3,FALSE),0)</f>
        <v>0</v>
      </c>
      <c r="U261" s="215">
        <f>Ruimtestaat[[#This Row],[Uitvoeringen werkdagen]]*Ruimtestaat[[#This Row],[Oppervlak (netto)]]</f>
        <v>1500</v>
      </c>
      <c r="V261" s="259">
        <f>IF(T261&gt;0,Ruimtestaat[[#This Row],[Prest. (m2 /jaar) werkdagen]]/Ruimtestaat[[#This Row],[Norm (m2/uur) werkdagen]],0)</f>
        <v>0</v>
      </c>
      <c r="W261" s="260">
        <f>Ruimtestaat[[#This Row],[uren / jaar werkdagen]]*Tariefsopbouw!$D$38</f>
        <v>0</v>
      </c>
      <c r="X261" s="33"/>
      <c r="Y261" s="33">
        <f>IF(Ruimtestaat[[#This Row],[Frequentie weekend]]&gt;0,VALUE(LEFT(X261,1))*Q261,0)</f>
        <v>0</v>
      </c>
      <c r="Z261" s="33">
        <f>IF($Y261&gt;0,VLOOKUP($J261,Ruimtegroepen[],3,FALSE)*VLOOKUP($K261,Vloersoorten[],3,FALSE)*VLOOKUP($X261,Frequenties[],3,FALSE)*VLOOKUP(#REF!,Locaties[],3,FALSE),0)</f>
        <v>0</v>
      </c>
      <c r="AA261" s="33"/>
      <c r="AB261" s="33"/>
      <c r="AC261" s="33">
        <f>Ruimtestaat[[#This Row],[uren / jaar weekend]]*Tariefsopbouw!$D$40</f>
        <v>0</v>
      </c>
      <c r="AD261" s="88">
        <f>Ruimtestaat[[#This Row],[Prest. (m2 /jaar) weekend]]+Ruimtestaat[[#This Row],[Prest. (m2 /jaar) werkdagen]]</f>
        <v>1500</v>
      </c>
      <c r="AE261" s="88">
        <f>Ruimtestaat[[#This Row],[uren / jaar weekend]]+Ruimtestaat[[#This Row],[uren / jaar werkdagen]]</f>
        <v>0</v>
      </c>
      <c r="AF261" s="89">
        <f>Ruimtestaat[[#This Row],[kosten / jaar weekend]]+Ruimtestaat[[#This Row],[kosten / jaar werkdagen]]</f>
        <v>0</v>
      </c>
    </row>
    <row r="262" spans="1:32" ht="15" customHeight="1">
      <c r="A262" s="200">
        <v>2</v>
      </c>
      <c r="B262" s="21" t="str">
        <f>VLOOKUP(Ruimtestaat[[#This Row],[Code]],Locaties[#All],2,FALSE)</f>
        <v>Stichting Facilitair Beheer Van Renneslaan</v>
      </c>
      <c r="C262" s="243" t="str">
        <f>VLOOKUP(Ruimtestaat[[#This Row],[Code]],Locaties[#All],4,FALSE)</f>
        <v>Catharina van Renneslaan 35</v>
      </c>
      <c r="D262" s="243" t="str">
        <f>VLOOKUP(Ruimtestaat[[#This Row],[Code]],Locaties[#All],5,FALSE)</f>
        <v>7604 KV</v>
      </c>
      <c r="E262" s="243" t="str">
        <f>VLOOKUP(Ruimtestaat[[#This Row],[Code]],Locaties[#All],6,FALSE)</f>
        <v>Almelo</v>
      </c>
      <c r="F262" s="244"/>
      <c r="G262" s="200" t="s">
        <v>1336</v>
      </c>
      <c r="H262" s="200"/>
      <c r="I262" s="244" t="s">
        <v>1191</v>
      </c>
      <c r="J262" s="200">
        <v>16</v>
      </c>
      <c r="K262" s="243" t="s">
        <v>1040</v>
      </c>
      <c r="L262" s="200" t="s">
        <v>999</v>
      </c>
      <c r="M262" s="213">
        <v>182.3</v>
      </c>
      <c r="N262" s="213"/>
      <c r="O262" s="243" t="str">
        <f>VLOOKUP(Ruimtestaat[[#This Row],[Ruimte code]],Ruimtegroepen[#All],4,FALSE)</f>
        <v>L  (Lesruimte)</v>
      </c>
      <c r="P262" s="214"/>
      <c r="Q262" s="215">
        <v>40</v>
      </c>
      <c r="R262" s="215" t="s">
        <v>2</v>
      </c>
      <c r="S262" s="215">
        <f>IF(R262&gt;0,IF(RIGHT(Ruimtestaat[[#This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2" s="215">
        <f>IF(S262&gt;0,VLOOKUP($J262,Ruimtegroepen[],3,FALSE)*VLOOKUP($K262,Vloersoorten[],3,FALSE)*VLOOKUP($R262,Frequenties[],3,FALSE)*VLOOKUP($A262,Locaties[],3,FALSE),0)</f>
        <v>0</v>
      </c>
      <c r="U262" s="215">
        <f>Ruimtestaat[[#This Row],[Uitvoeringen werkdagen]]*Ruimtestaat[[#This Row],[Oppervlak (netto)]]</f>
        <v>36460</v>
      </c>
      <c r="V262" s="259">
        <f>IF(T262&gt;0,Ruimtestaat[[#This Row],[Prest. (m2 /jaar) werkdagen]]/Ruimtestaat[[#This Row],[Norm (m2/uur) werkdagen]],0)</f>
        <v>0</v>
      </c>
      <c r="W262" s="260">
        <f>Ruimtestaat[[#This Row],[uren / jaar werkdagen]]*Tariefsopbouw!$D$38</f>
        <v>0</v>
      </c>
      <c r="X262" s="33"/>
      <c r="Y262" s="33">
        <f>IF(Ruimtestaat[[#This Row],[Frequentie weekend]]&gt;0,VALUE(LEFT(X262,1))*Q262,0)</f>
        <v>0</v>
      </c>
      <c r="Z262" s="33">
        <f>IF($Y262&gt;0,VLOOKUP($J262,Ruimtegroepen[],3,FALSE)*VLOOKUP($K262,Vloersoorten[],3,FALSE)*VLOOKUP($X262,Frequenties[],3,FALSE)*VLOOKUP(#REF!,Locaties[],3,FALSE),0)</f>
        <v>0</v>
      </c>
      <c r="AA262" s="33"/>
      <c r="AB262" s="33"/>
      <c r="AC262" s="33">
        <f>Ruimtestaat[[#This Row],[uren / jaar weekend]]*Tariefsopbouw!$D$40</f>
        <v>0</v>
      </c>
      <c r="AD262" s="88">
        <f>Ruimtestaat[[#This Row],[Prest. (m2 /jaar) weekend]]+Ruimtestaat[[#This Row],[Prest. (m2 /jaar) werkdagen]]</f>
        <v>36460</v>
      </c>
      <c r="AE262" s="88">
        <f>Ruimtestaat[[#This Row],[uren / jaar weekend]]+Ruimtestaat[[#This Row],[uren / jaar werkdagen]]</f>
        <v>0</v>
      </c>
      <c r="AF262" s="89">
        <f>Ruimtestaat[[#This Row],[kosten / jaar weekend]]+Ruimtestaat[[#This Row],[kosten / jaar werkdagen]]</f>
        <v>0</v>
      </c>
    </row>
    <row r="263" spans="1:32" ht="15" customHeight="1">
      <c r="A263" s="200">
        <v>2</v>
      </c>
      <c r="B263" s="21" t="str">
        <f>VLOOKUP(Ruimtestaat[[#This Row],[Code]],Locaties[#All],2,FALSE)</f>
        <v>Stichting Facilitair Beheer Van Renneslaan</v>
      </c>
      <c r="C263" s="243" t="str">
        <f>VLOOKUP(Ruimtestaat[[#This Row],[Code]],Locaties[#All],4,FALSE)</f>
        <v>Catharina van Renneslaan 35</v>
      </c>
      <c r="D263" s="243" t="str">
        <f>VLOOKUP(Ruimtestaat[[#This Row],[Code]],Locaties[#All],5,FALSE)</f>
        <v>7604 KV</v>
      </c>
      <c r="E263" s="243" t="str">
        <f>VLOOKUP(Ruimtestaat[[#This Row],[Code]],Locaties[#All],6,FALSE)</f>
        <v>Almelo</v>
      </c>
      <c r="F263" s="244"/>
      <c r="G263" s="200" t="s">
        <v>1336</v>
      </c>
      <c r="H263" s="200"/>
      <c r="I263" s="244" t="s">
        <v>1192</v>
      </c>
      <c r="J263" s="200">
        <v>6</v>
      </c>
      <c r="K263" s="243" t="s">
        <v>112</v>
      </c>
      <c r="L263" s="200" t="s">
        <v>1341</v>
      </c>
      <c r="M263" s="213">
        <v>117.5</v>
      </c>
      <c r="N263" s="213"/>
      <c r="O263" s="243" t="str">
        <f>VLOOKUP(Ruimtestaat[[#This Row],[Ruimte code]],Ruimtegroepen[#All],4,FALSE)</f>
        <v>V  (Verkeersruimte)</v>
      </c>
      <c r="P263" s="214"/>
      <c r="Q263" s="215">
        <v>40</v>
      </c>
      <c r="R263" s="215" t="s">
        <v>2</v>
      </c>
      <c r="S263" s="215">
        <f>IF(R263&gt;0,IF(RIGHT(Ruimtestaat[[#This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3" s="215">
        <f>IF(S263&gt;0,VLOOKUP($J263,Ruimtegroepen[],3,FALSE)*VLOOKUP($K263,Vloersoorten[],3,FALSE)*VLOOKUP($R263,Frequenties[],3,FALSE)*VLOOKUP($A263,Locaties[],3,FALSE),0)</f>
        <v>0</v>
      </c>
      <c r="U263" s="215">
        <f>Ruimtestaat[[#This Row],[Uitvoeringen werkdagen]]*Ruimtestaat[[#This Row],[Oppervlak (netto)]]</f>
        <v>23500</v>
      </c>
      <c r="V263" s="259">
        <f>IF(T263&gt;0,Ruimtestaat[[#This Row],[Prest. (m2 /jaar) werkdagen]]/Ruimtestaat[[#This Row],[Norm (m2/uur) werkdagen]],0)</f>
        <v>0</v>
      </c>
      <c r="W263" s="260">
        <f>Ruimtestaat[[#This Row],[uren / jaar werkdagen]]*Tariefsopbouw!$D$38</f>
        <v>0</v>
      </c>
      <c r="X263" s="33"/>
      <c r="Y263" s="33">
        <f>IF(Ruimtestaat[[#This Row],[Frequentie weekend]]&gt;0,VALUE(LEFT(X263,1))*Q263,0)</f>
        <v>0</v>
      </c>
      <c r="Z263" s="33">
        <f>IF($Y263&gt;0,VLOOKUP($J263,Ruimtegroepen[],3,FALSE)*VLOOKUP($K263,Vloersoorten[],3,FALSE)*VLOOKUP($X263,Frequenties[],3,FALSE)*VLOOKUP(#REF!,Locaties[],3,FALSE),0)</f>
        <v>0</v>
      </c>
      <c r="AA263" s="33"/>
      <c r="AB263" s="33"/>
      <c r="AC263" s="33">
        <f>Ruimtestaat[[#This Row],[uren / jaar weekend]]*Tariefsopbouw!$D$40</f>
        <v>0</v>
      </c>
      <c r="AD263" s="88">
        <f>Ruimtestaat[[#This Row],[Prest. (m2 /jaar) weekend]]+Ruimtestaat[[#This Row],[Prest. (m2 /jaar) werkdagen]]</f>
        <v>23500</v>
      </c>
      <c r="AE263" s="88">
        <f>Ruimtestaat[[#This Row],[uren / jaar weekend]]+Ruimtestaat[[#This Row],[uren / jaar werkdagen]]</f>
        <v>0</v>
      </c>
      <c r="AF263" s="89">
        <f>Ruimtestaat[[#This Row],[kosten / jaar weekend]]+Ruimtestaat[[#This Row],[kosten / jaar werkdagen]]</f>
        <v>0</v>
      </c>
    </row>
    <row r="264" spans="1:32" ht="15" customHeight="1">
      <c r="A264" s="200">
        <v>2</v>
      </c>
      <c r="B264" s="21" t="str">
        <f>VLOOKUP(Ruimtestaat[[#This Row],[Code]],Locaties[#All],2,FALSE)</f>
        <v>Stichting Facilitair Beheer Van Renneslaan</v>
      </c>
      <c r="C264" s="243" t="str">
        <f>VLOOKUP(Ruimtestaat[[#This Row],[Code]],Locaties[#All],4,FALSE)</f>
        <v>Catharina van Renneslaan 35</v>
      </c>
      <c r="D264" s="243" t="str">
        <f>VLOOKUP(Ruimtestaat[[#This Row],[Code]],Locaties[#All],5,FALSE)</f>
        <v>7604 KV</v>
      </c>
      <c r="E264" s="243" t="str">
        <f>VLOOKUP(Ruimtestaat[[#This Row],[Code]],Locaties[#All],6,FALSE)</f>
        <v>Almelo</v>
      </c>
      <c r="F264" s="244"/>
      <c r="G264" s="200" t="s">
        <v>1336</v>
      </c>
      <c r="H264" s="200"/>
      <c r="I264" s="244" t="s">
        <v>1193</v>
      </c>
      <c r="J264" s="215">
        <v>2</v>
      </c>
      <c r="K264" s="243" t="s">
        <v>1040</v>
      </c>
      <c r="L264" s="200" t="s">
        <v>999</v>
      </c>
      <c r="M264" s="213">
        <v>22.8</v>
      </c>
      <c r="N264" s="213"/>
      <c r="O264" s="243" t="str">
        <f>VLOOKUP(Ruimtestaat[[#This Row],[Ruimte code]],Ruimtegroepen[#All],4,FALSE)</f>
        <v>B  (Bureauruimte)</v>
      </c>
      <c r="P264" s="214"/>
      <c r="Q264" s="215">
        <v>40</v>
      </c>
      <c r="R264" s="215" t="s">
        <v>18</v>
      </c>
      <c r="S264" s="215">
        <f>IF(R264&gt;0,IF(RIGHT(Ruimtestaat[[#This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64" s="215">
        <f>IF(S264&gt;0,VLOOKUP($J264,Ruimtegroepen[],3,FALSE)*VLOOKUP($K264,Vloersoorten[],3,FALSE)*VLOOKUP($R264,Frequenties[],3,FALSE)*VLOOKUP($A264,Locaties[],3,FALSE),0)</f>
        <v>0</v>
      </c>
      <c r="U264" s="215">
        <f>Ruimtestaat[[#This Row],[Uitvoeringen werkdagen]]*Ruimtestaat[[#This Row],[Oppervlak (netto)]]</f>
        <v>2736</v>
      </c>
      <c r="V264" s="259">
        <f>IF(T264&gt;0,Ruimtestaat[[#This Row],[Prest. (m2 /jaar) werkdagen]]/Ruimtestaat[[#This Row],[Norm (m2/uur) werkdagen]],0)</f>
        <v>0</v>
      </c>
      <c r="W264" s="260">
        <f>Ruimtestaat[[#This Row],[uren / jaar werkdagen]]*Tariefsopbouw!$D$38</f>
        <v>0</v>
      </c>
      <c r="X264" s="33"/>
      <c r="Y264" s="33">
        <f>IF(Ruimtestaat[[#This Row],[Frequentie weekend]]&gt;0,VALUE(LEFT(X264,1))*Q264,0)</f>
        <v>0</v>
      </c>
      <c r="Z264" s="33">
        <f>IF($Y264&gt;0,VLOOKUP($J264,Ruimtegroepen[],3,FALSE)*VLOOKUP($K264,Vloersoorten[],3,FALSE)*VLOOKUP($X264,Frequenties[],3,FALSE)*VLOOKUP(#REF!,Locaties[],3,FALSE),0)</f>
        <v>0</v>
      </c>
      <c r="AA264" s="33"/>
      <c r="AB264" s="33"/>
      <c r="AC264" s="33">
        <f>Ruimtestaat[[#This Row],[uren / jaar weekend]]*Tariefsopbouw!$D$40</f>
        <v>0</v>
      </c>
      <c r="AD264" s="88">
        <f>Ruimtestaat[[#This Row],[Prest. (m2 /jaar) weekend]]+Ruimtestaat[[#This Row],[Prest. (m2 /jaar) werkdagen]]</f>
        <v>2736</v>
      </c>
      <c r="AE264" s="88">
        <f>Ruimtestaat[[#This Row],[uren / jaar weekend]]+Ruimtestaat[[#This Row],[uren / jaar werkdagen]]</f>
        <v>0</v>
      </c>
      <c r="AF264" s="89">
        <f>Ruimtestaat[[#This Row],[kosten / jaar weekend]]+Ruimtestaat[[#This Row],[kosten / jaar werkdagen]]</f>
        <v>0</v>
      </c>
    </row>
    <row r="265" spans="1:32" ht="15" customHeight="1">
      <c r="A265" s="200">
        <v>2</v>
      </c>
      <c r="B265" s="21" t="str">
        <f>VLOOKUP(Ruimtestaat[[#This Row],[Code]],Locaties[#All],2,FALSE)</f>
        <v>Stichting Facilitair Beheer Van Renneslaan</v>
      </c>
      <c r="C265" s="243" t="str">
        <f>VLOOKUP(Ruimtestaat[[#This Row],[Code]],Locaties[#All],4,FALSE)</f>
        <v>Catharina van Renneslaan 35</v>
      </c>
      <c r="D265" s="243" t="str">
        <f>VLOOKUP(Ruimtestaat[[#This Row],[Code]],Locaties[#All],5,FALSE)</f>
        <v>7604 KV</v>
      </c>
      <c r="E265" s="243" t="str">
        <f>VLOOKUP(Ruimtestaat[[#This Row],[Code]],Locaties[#All],6,FALSE)</f>
        <v>Almelo</v>
      </c>
      <c r="F265" s="244"/>
      <c r="G265" s="200" t="s">
        <v>1336</v>
      </c>
      <c r="H265" s="200"/>
      <c r="I265" s="244" t="s">
        <v>1194</v>
      </c>
      <c r="J265" s="200">
        <v>1</v>
      </c>
      <c r="K265" s="243" t="s">
        <v>1040</v>
      </c>
      <c r="L265" s="200" t="s">
        <v>999</v>
      </c>
      <c r="M265" s="213">
        <v>15.3</v>
      </c>
      <c r="N265" s="213"/>
      <c r="O265" s="243" t="str">
        <f>VLOOKUP(Ruimtestaat[[#This Row],[Ruimte code]],Ruimtegroepen[#All],4,FALSE)</f>
        <v>V  (Verkeersruimte)</v>
      </c>
      <c r="P265" s="214"/>
      <c r="Q265" s="215">
        <v>40</v>
      </c>
      <c r="R265" s="215" t="s">
        <v>16</v>
      </c>
      <c r="S265" s="215">
        <f>IF(R265&gt;0,IF(RIGHT(Ruimtestaat[[#This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65" s="215">
        <f>IF(S265&gt;0,VLOOKUP($J265,Ruimtegroepen[],3,FALSE)*VLOOKUP($K265,Vloersoorten[],3,FALSE)*VLOOKUP($R265,Frequenties[],3,FALSE)*VLOOKUP($A265,Locaties[],3,FALSE),0)</f>
        <v>0</v>
      </c>
      <c r="U265" s="215">
        <f>Ruimtestaat[[#This Row],[Uitvoeringen werkdagen]]*Ruimtestaat[[#This Row],[Oppervlak (netto)]]</f>
        <v>183.60000000000002</v>
      </c>
      <c r="V265" s="259">
        <f>IF(T265&gt;0,Ruimtestaat[[#This Row],[Prest. (m2 /jaar) werkdagen]]/Ruimtestaat[[#This Row],[Norm (m2/uur) werkdagen]],0)</f>
        <v>0</v>
      </c>
      <c r="W265" s="260">
        <f>Ruimtestaat[[#This Row],[uren / jaar werkdagen]]*Tariefsopbouw!$D$38</f>
        <v>0</v>
      </c>
      <c r="X265" s="33"/>
      <c r="Y265" s="33">
        <f>IF(Ruimtestaat[[#This Row],[Frequentie weekend]]&gt;0,VALUE(LEFT(X265,1))*Q265,0)</f>
        <v>0</v>
      </c>
      <c r="Z265" s="33">
        <f>IF($Y265&gt;0,VLOOKUP($J265,Ruimtegroepen[],3,FALSE)*VLOOKUP($K265,Vloersoorten[],3,FALSE)*VLOOKUP($X265,Frequenties[],3,FALSE)*VLOOKUP(#REF!,Locaties[],3,FALSE),0)</f>
        <v>0</v>
      </c>
      <c r="AA265" s="33"/>
      <c r="AB265" s="33"/>
      <c r="AC265" s="33">
        <f>Ruimtestaat[[#This Row],[uren / jaar weekend]]*Tariefsopbouw!$D$40</f>
        <v>0</v>
      </c>
      <c r="AD265" s="88">
        <f>Ruimtestaat[[#This Row],[Prest. (m2 /jaar) weekend]]+Ruimtestaat[[#This Row],[Prest. (m2 /jaar) werkdagen]]</f>
        <v>183.60000000000002</v>
      </c>
      <c r="AE265" s="88">
        <f>Ruimtestaat[[#This Row],[uren / jaar weekend]]+Ruimtestaat[[#This Row],[uren / jaar werkdagen]]</f>
        <v>0</v>
      </c>
      <c r="AF265" s="89">
        <f>Ruimtestaat[[#This Row],[kosten / jaar weekend]]+Ruimtestaat[[#This Row],[kosten / jaar werkdagen]]</f>
        <v>0</v>
      </c>
    </row>
    <row r="266" spans="1:32" ht="15" customHeight="1">
      <c r="A266" s="200">
        <v>2</v>
      </c>
      <c r="B266" s="21" t="str">
        <f>VLOOKUP(Ruimtestaat[[#This Row],[Code]],Locaties[#All],2,FALSE)</f>
        <v>Stichting Facilitair Beheer Van Renneslaan</v>
      </c>
      <c r="C266" s="243" t="str">
        <f>VLOOKUP(Ruimtestaat[[#This Row],[Code]],Locaties[#All],4,FALSE)</f>
        <v>Catharina van Renneslaan 35</v>
      </c>
      <c r="D266" s="243" t="str">
        <f>VLOOKUP(Ruimtestaat[[#This Row],[Code]],Locaties[#All],5,FALSE)</f>
        <v>7604 KV</v>
      </c>
      <c r="E266" s="243" t="str">
        <f>VLOOKUP(Ruimtestaat[[#This Row],[Code]],Locaties[#All],6,FALSE)</f>
        <v>Almelo</v>
      </c>
      <c r="F266" s="244"/>
      <c r="G266" s="200" t="s">
        <v>1336</v>
      </c>
      <c r="H266" s="200"/>
      <c r="I266" s="244" t="s">
        <v>1195</v>
      </c>
      <c r="J266" s="200">
        <v>7</v>
      </c>
      <c r="K266" s="243" t="s">
        <v>1040</v>
      </c>
      <c r="L266" s="200" t="s">
        <v>999</v>
      </c>
      <c r="M266" s="213">
        <v>27.5</v>
      </c>
      <c r="N266" s="213"/>
      <c r="O266" s="243" t="str">
        <f>VLOOKUP(Ruimtestaat[[#This Row],[Ruimte code]],Ruimtegroepen[#All],4,FALSE)</f>
        <v>V  (Verkeersruimte)</v>
      </c>
      <c r="P266" s="214"/>
      <c r="Q266" s="215">
        <v>40</v>
      </c>
      <c r="R266" s="215" t="s">
        <v>2</v>
      </c>
      <c r="S266" s="215">
        <f>IF(R266&gt;0,IF(RIGHT(Ruimtestaat[[#This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6" s="215">
        <f>IF(S266&gt;0,VLOOKUP($J266,Ruimtegroepen[],3,FALSE)*VLOOKUP($K266,Vloersoorten[],3,FALSE)*VLOOKUP($R266,Frequenties[],3,FALSE)*VLOOKUP($A266,Locaties[],3,FALSE),0)</f>
        <v>0</v>
      </c>
      <c r="U266" s="215">
        <f>Ruimtestaat[[#This Row],[Uitvoeringen werkdagen]]*Ruimtestaat[[#This Row],[Oppervlak (netto)]]</f>
        <v>5500</v>
      </c>
      <c r="V266" s="259">
        <f>IF(T266&gt;0,Ruimtestaat[[#This Row],[Prest. (m2 /jaar) werkdagen]]/Ruimtestaat[[#This Row],[Norm (m2/uur) werkdagen]],0)</f>
        <v>0</v>
      </c>
      <c r="W266" s="260">
        <f>Ruimtestaat[[#This Row],[uren / jaar werkdagen]]*Tariefsopbouw!$D$38</f>
        <v>0</v>
      </c>
      <c r="X266" s="33"/>
      <c r="Y266" s="33">
        <f>IF(Ruimtestaat[[#This Row],[Frequentie weekend]]&gt;0,VALUE(LEFT(X266,1))*Q266,0)</f>
        <v>0</v>
      </c>
      <c r="Z266" s="33">
        <f>IF($Y266&gt;0,VLOOKUP($J266,Ruimtegroepen[],3,FALSE)*VLOOKUP($K266,Vloersoorten[],3,FALSE)*VLOOKUP($X266,Frequenties[],3,FALSE)*VLOOKUP(#REF!,Locaties[],3,FALSE),0)</f>
        <v>0</v>
      </c>
      <c r="AA266" s="33"/>
      <c r="AB266" s="33"/>
      <c r="AC266" s="33">
        <f>Ruimtestaat[[#This Row],[uren / jaar weekend]]*Tariefsopbouw!$D$40</f>
        <v>0</v>
      </c>
      <c r="AD266" s="88">
        <f>Ruimtestaat[[#This Row],[Prest. (m2 /jaar) weekend]]+Ruimtestaat[[#This Row],[Prest. (m2 /jaar) werkdagen]]</f>
        <v>5500</v>
      </c>
      <c r="AE266" s="88">
        <f>Ruimtestaat[[#This Row],[uren / jaar weekend]]+Ruimtestaat[[#This Row],[uren / jaar werkdagen]]</f>
        <v>0</v>
      </c>
      <c r="AF266" s="89">
        <f>Ruimtestaat[[#This Row],[kosten / jaar weekend]]+Ruimtestaat[[#This Row],[kosten / jaar werkdagen]]</f>
        <v>0</v>
      </c>
    </row>
    <row r="267" spans="1:32" ht="15" customHeight="1">
      <c r="A267" s="200">
        <v>2</v>
      </c>
      <c r="B267" s="21" t="str">
        <f>VLOOKUP(Ruimtestaat[[#This Row],[Code]],Locaties[#All],2,FALSE)</f>
        <v>Stichting Facilitair Beheer Van Renneslaan</v>
      </c>
      <c r="C267" s="243" t="str">
        <f>VLOOKUP(Ruimtestaat[[#This Row],[Code]],Locaties[#All],4,FALSE)</f>
        <v>Catharina van Renneslaan 35</v>
      </c>
      <c r="D267" s="243" t="str">
        <f>VLOOKUP(Ruimtestaat[[#This Row],[Code]],Locaties[#All],5,FALSE)</f>
        <v>7604 KV</v>
      </c>
      <c r="E267" s="243" t="str">
        <f>VLOOKUP(Ruimtestaat[[#This Row],[Code]],Locaties[#All],6,FALSE)</f>
        <v>Almelo</v>
      </c>
      <c r="F267" s="244"/>
      <c r="G267" s="200" t="s">
        <v>1336</v>
      </c>
      <c r="H267" s="200"/>
      <c r="I267" s="244" t="s">
        <v>1196</v>
      </c>
      <c r="J267" s="200">
        <v>8</v>
      </c>
      <c r="K267" s="243" t="s">
        <v>112</v>
      </c>
      <c r="L267" s="200" t="s">
        <v>1341</v>
      </c>
      <c r="M267" s="213">
        <v>143.80000000000001</v>
      </c>
      <c r="N267" s="213"/>
      <c r="O267" s="243" t="str">
        <f>VLOOKUP(Ruimtestaat[[#This Row],[Ruimte code]],Ruimtegroepen[#All],4,FALSE)</f>
        <v>L  (Lesruimte)</v>
      </c>
      <c r="P267" s="214"/>
      <c r="Q267" s="215">
        <v>40</v>
      </c>
      <c r="R267" s="215" t="s">
        <v>2</v>
      </c>
      <c r="S267" s="215">
        <f>IF(R267&gt;0,IF(RIGHT(Ruimtestaat[[#This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7" s="215">
        <f>IF(S267&gt;0,VLOOKUP($J267,Ruimtegroepen[],3,FALSE)*VLOOKUP($K267,Vloersoorten[],3,FALSE)*VLOOKUP($R267,Frequenties[],3,FALSE)*VLOOKUP($A267,Locaties[],3,FALSE),0)</f>
        <v>0</v>
      </c>
      <c r="U267" s="215">
        <f>Ruimtestaat[[#This Row],[Uitvoeringen werkdagen]]*Ruimtestaat[[#This Row],[Oppervlak (netto)]]</f>
        <v>28760.000000000004</v>
      </c>
      <c r="V267" s="259">
        <f>IF(T267&gt;0,Ruimtestaat[[#This Row],[Prest. (m2 /jaar) werkdagen]]/Ruimtestaat[[#This Row],[Norm (m2/uur) werkdagen]],0)</f>
        <v>0</v>
      </c>
      <c r="W267" s="260">
        <f>Ruimtestaat[[#This Row],[uren / jaar werkdagen]]*Tariefsopbouw!$D$38</f>
        <v>0</v>
      </c>
      <c r="X267" s="33"/>
      <c r="Y267" s="33">
        <f>IF(Ruimtestaat[[#This Row],[Frequentie weekend]]&gt;0,VALUE(LEFT(X267,1))*Q267,0)</f>
        <v>0</v>
      </c>
      <c r="Z267" s="33">
        <f>IF($Y267&gt;0,VLOOKUP($J267,Ruimtegroepen[],3,FALSE)*VLOOKUP($K267,Vloersoorten[],3,FALSE)*VLOOKUP($X267,Frequenties[],3,FALSE)*VLOOKUP(#REF!,Locaties[],3,FALSE),0)</f>
        <v>0</v>
      </c>
      <c r="AA267" s="33"/>
      <c r="AB267" s="33"/>
      <c r="AC267" s="33">
        <f>Ruimtestaat[[#This Row],[uren / jaar weekend]]*Tariefsopbouw!$D$40</f>
        <v>0</v>
      </c>
      <c r="AD267" s="88">
        <f>Ruimtestaat[[#This Row],[Prest. (m2 /jaar) weekend]]+Ruimtestaat[[#This Row],[Prest. (m2 /jaar) werkdagen]]</f>
        <v>28760.000000000004</v>
      </c>
      <c r="AE267" s="88">
        <f>Ruimtestaat[[#This Row],[uren / jaar weekend]]+Ruimtestaat[[#This Row],[uren / jaar werkdagen]]</f>
        <v>0</v>
      </c>
      <c r="AF267" s="89">
        <f>Ruimtestaat[[#This Row],[kosten / jaar weekend]]+Ruimtestaat[[#This Row],[kosten / jaar werkdagen]]</f>
        <v>0</v>
      </c>
    </row>
    <row r="268" spans="1:32" ht="15" customHeight="1">
      <c r="A268" s="200">
        <v>2</v>
      </c>
      <c r="B268" s="21" t="str">
        <f>VLOOKUP(Ruimtestaat[[#This Row],[Code]],Locaties[#All],2,FALSE)</f>
        <v>Stichting Facilitair Beheer Van Renneslaan</v>
      </c>
      <c r="C268" s="243" t="str">
        <f>VLOOKUP(Ruimtestaat[[#This Row],[Code]],Locaties[#All],4,FALSE)</f>
        <v>Catharina van Renneslaan 35</v>
      </c>
      <c r="D268" s="243" t="str">
        <f>VLOOKUP(Ruimtestaat[[#This Row],[Code]],Locaties[#All],5,FALSE)</f>
        <v>7604 KV</v>
      </c>
      <c r="E268" s="243" t="str">
        <f>VLOOKUP(Ruimtestaat[[#This Row],[Code]],Locaties[#All],6,FALSE)</f>
        <v>Almelo</v>
      </c>
      <c r="F268" s="244" t="s">
        <v>1343</v>
      </c>
      <c r="G268" s="200" t="s">
        <v>1336</v>
      </c>
      <c r="H268" s="200"/>
      <c r="I268" s="244" t="s">
        <v>1197</v>
      </c>
      <c r="J268" s="243">
        <v>8</v>
      </c>
      <c r="K268" s="243" t="s">
        <v>1040</v>
      </c>
      <c r="L268" s="200" t="s">
        <v>999</v>
      </c>
      <c r="M268" s="213">
        <v>192</v>
      </c>
      <c r="N268" s="213"/>
      <c r="O268" s="243" t="str">
        <f>VLOOKUP(Ruimtestaat[[#This Row],[Ruimte code]],Ruimtegroepen[#All],4,FALSE)</f>
        <v>L  (Lesruimte)</v>
      </c>
      <c r="P268" s="214"/>
      <c r="Q268" s="215">
        <v>40</v>
      </c>
      <c r="R268" s="215" t="s">
        <v>2</v>
      </c>
      <c r="S268" s="215">
        <f>IF(R268&gt;0,IF(RIGHT(Ruimtestaat[[#This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68" s="215">
        <f>IF(S268&gt;0,VLOOKUP($J268,Ruimtegroepen[],3,FALSE)*VLOOKUP($K268,Vloersoorten[],3,FALSE)*VLOOKUP($R268,Frequenties[],3,FALSE)*VLOOKUP($A268,Locaties[],3,FALSE),0)</f>
        <v>0</v>
      </c>
      <c r="U268" s="215">
        <f>Ruimtestaat[[#This Row],[Uitvoeringen werkdagen]]*Ruimtestaat[[#This Row],[Oppervlak (netto)]]</f>
        <v>38400</v>
      </c>
      <c r="V268" s="259">
        <f>IF(T268&gt;0,Ruimtestaat[[#This Row],[Prest. (m2 /jaar) werkdagen]]/Ruimtestaat[[#This Row],[Norm (m2/uur) werkdagen]],0)</f>
        <v>0</v>
      </c>
      <c r="W268" s="260">
        <f>Ruimtestaat[[#This Row],[uren / jaar werkdagen]]*Tariefsopbouw!$D$38</f>
        <v>0</v>
      </c>
      <c r="X268" s="33"/>
      <c r="Y268" s="33">
        <f>IF(Ruimtestaat[[#This Row],[Frequentie weekend]]&gt;0,VALUE(LEFT(X268,1))*Q268,0)</f>
        <v>0</v>
      </c>
      <c r="Z268" s="33">
        <f>IF($Y268&gt;0,VLOOKUP($J268,Ruimtegroepen[],3,FALSE)*VLOOKUP($K268,Vloersoorten[],3,FALSE)*VLOOKUP($X268,Frequenties[],3,FALSE)*VLOOKUP(#REF!,Locaties[],3,FALSE),0)</f>
        <v>0</v>
      </c>
      <c r="AA268" s="33"/>
      <c r="AB268" s="33"/>
      <c r="AC268" s="33">
        <f>Ruimtestaat[[#This Row],[uren / jaar weekend]]*Tariefsopbouw!$D$40</f>
        <v>0</v>
      </c>
      <c r="AD268" s="88">
        <f>Ruimtestaat[[#This Row],[Prest. (m2 /jaar) weekend]]+Ruimtestaat[[#This Row],[Prest. (m2 /jaar) werkdagen]]</f>
        <v>38400</v>
      </c>
      <c r="AE268" s="88">
        <f>Ruimtestaat[[#This Row],[uren / jaar weekend]]+Ruimtestaat[[#This Row],[uren / jaar werkdagen]]</f>
        <v>0</v>
      </c>
      <c r="AF268" s="89">
        <f>Ruimtestaat[[#This Row],[kosten / jaar weekend]]+Ruimtestaat[[#This Row],[kosten / jaar werkdagen]]</f>
        <v>0</v>
      </c>
    </row>
    <row r="269" spans="1:32" ht="15" customHeight="1">
      <c r="A269" s="200">
        <v>2</v>
      </c>
      <c r="B269" s="21" t="str">
        <f>VLOOKUP(Ruimtestaat[[#This Row],[Code]],Locaties[#All],2,FALSE)</f>
        <v>Stichting Facilitair Beheer Van Renneslaan</v>
      </c>
      <c r="C269" s="243" t="str">
        <f>VLOOKUP(Ruimtestaat[[#This Row],[Code]],Locaties[#All],4,FALSE)</f>
        <v>Catharina van Renneslaan 35</v>
      </c>
      <c r="D269" s="243" t="str">
        <f>VLOOKUP(Ruimtestaat[[#This Row],[Code]],Locaties[#All],5,FALSE)</f>
        <v>7604 KV</v>
      </c>
      <c r="E269" s="243" t="str">
        <f>VLOOKUP(Ruimtestaat[[#This Row],[Code]],Locaties[#All],6,FALSE)</f>
        <v>Almelo</v>
      </c>
      <c r="F269" s="244" t="s">
        <v>1343</v>
      </c>
      <c r="G269" s="200" t="s">
        <v>1336</v>
      </c>
      <c r="H269" s="200"/>
      <c r="I269" s="244" t="s">
        <v>1198</v>
      </c>
      <c r="J269" s="215">
        <v>2</v>
      </c>
      <c r="K269" s="243" t="s">
        <v>1040</v>
      </c>
      <c r="L269" s="200" t="s">
        <v>999</v>
      </c>
      <c r="M269" s="213">
        <v>21.5</v>
      </c>
      <c r="N269" s="213"/>
      <c r="O269" s="243" t="str">
        <f>VLOOKUP(Ruimtestaat[[#This Row],[Ruimte code]],Ruimtegroepen[#All],4,FALSE)</f>
        <v>B  (Bureauruimte)</v>
      </c>
      <c r="P269" s="214"/>
      <c r="Q269" s="215">
        <v>40</v>
      </c>
      <c r="R269" s="215" t="s">
        <v>18</v>
      </c>
      <c r="S269" s="215">
        <f>IF(R269&gt;0,IF(RIGHT(Ruimtestaat[[#This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69" s="215">
        <f>IF(S269&gt;0,VLOOKUP($J269,Ruimtegroepen[],3,FALSE)*VLOOKUP($K269,Vloersoorten[],3,FALSE)*VLOOKUP($R269,Frequenties[],3,FALSE)*VLOOKUP($A269,Locaties[],3,FALSE),0)</f>
        <v>0</v>
      </c>
      <c r="U269" s="215">
        <f>Ruimtestaat[[#This Row],[Uitvoeringen werkdagen]]*Ruimtestaat[[#This Row],[Oppervlak (netto)]]</f>
        <v>2580</v>
      </c>
      <c r="V269" s="259">
        <f>IF(T269&gt;0,Ruimtestaat[[#This Row],[Prest. (m2 /jaar) werkdagen]]/Ruimtestaat[[#This Row],[Norm (m2/uur) werkdagen]],0)</f>
        <v>0</v>
      </c>
      <c r="W269" s="260">
        <f>Ruimtestaat[[#This Row],[uren / jaar werkdagen]]*Tariefsopbouw!$D$38</f>
        <v>0</v>
      </c>
      <c r="X269" s="33"/>
      <c r="Y269" s="33">
        <f>IF(Ruimtestaat[[#This Row],[Frequentie weekend]]&gt;0,VALUE(LEFT(X269,1))*Q269,0)</f>
        <v>0</v>
      </c>
      <c r="Z269" s="33">
        <f>IF($Y269&gt;0,VLOOKUP($J269,Ruimtegroepen[],3,FALSE)*VLOOKUP($K269,Vloersoorten[],3,FALSE)*VLOOKUP($X269,Frequenties[],3,FALSE)*VLOOKUP(#REF!,Locaties[],3,FALSE),0)</f>
        <v>0</v>
      </c>
      <c r="AA269" s="33"/>
      <c r="AB269" s="33"/>
      <c r="AC269" s="33">
        <f>Ruimtestaat[[#This Row],[uren / jaar weekend]]*Tariefsopbouw!$D$40</f>
        <v>0</v>
      </c>
      <c r="AD269" s="88">
        <f>Ruimtestaat[[#This Row],[Prest. (m2 /jaar) weekend]]+Ruimtestaat[[#This Row],[Prest. (m2 /jaar) werkdagen]]</f>
        <v>2580</v>
      </c>
      <c r="AE269" s="88">
        <f>Ruimtestaat[[#This Row],[uren / jaar weekend]]+Ruimtestaat[[#This Row],[uren / jaar werkdagen]]</f>
        <v>0</v>
      </c>
      <c r="AF269" s="89">
        <f>Ruimtestaat[[#This Row],[kosten / jaar weekend]]+Ruimtestaat[[#This Row],[kosten / jaar werkdagen]]</f>
        <v>0</v>
      </c>
    </row>
    <row r="270" spans="1:32" ht="15" customHeight="1">
      <c r="A270" s="200">
        <v>2</v>
      </c>
      <c r="B270" s="21" t="str">
        <f>VLOOKUP(Ruimtestaat[[#This Row],[Code]],Locaties[#All],2,FALSE)</f>
        <v>Stichting Facilitair Beheer Van Renneslaan</v>
      </c>
      <c r="C270" s="243" t="str">
        <f>VLOOKUP(Ruimtestaat[[#This Row],[Code]],Locaties[#All],4,FALSE)</f>
        <v>Catharina van Renneslaan 35</v>
      </c>
      <c r="D270" s="243" t="str">
        <f>VLOOKUP(Ruimtestaat[[#This Row],[Code]],Locaties[#All],5,FALSE)</f>
        <v>7604 KV</v>
      </c>
      <c r="E270" s="243" t="str">
        <f>VLOOKUP(Ruimtestaat[[#This Row],[Code]],Locaties[#All],6,FALSE)</f>
        <v>Almelo</v>
      </c>
      <c r="F270" s="244" t="s">
        <v>1343</v>
      </c>
      <c r="G270" s="200" t="s">
        <v>1336</v>
      </c>
      <c r="H270" s="200"/>
      <c r="I270" s="244" t="s">
        <v>1199</v>
      </c>
      <c r="J270" s="215">
        <v>2</v>
      </c>
      <c r="K270" s="243" t="s">
        <v>1040</v>
      </c>
      <c r="L270" s="200" t="s">
        <v>999</v>
      </c>
      <c r="M270" s="213">
        <v>12.5</v>
      </c>
      <c r="N270" s="213"/>
      <c r="O270" s="243" t="str">
        <f>VLOOKUP(Ruimtestaat[[#This Row],[Ruimte code]],Ruimtegroepen[#All],4,FALSE)</f>
        <v>B  (Bureauruimte)</v>
      </c>
      <c r="P270" s="214"/>
      <c r="Q270" s="215">
        <v>40</v>
      </c>
      <c r="R270" s="215" t="s">
        <v>18</v>
      </c>
      <c r="S270" s="215">
        <f>IF(R270&gt;0,IF(RIGHT(Ruimtestaat[[#This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70" s="215">
        <f>IF(S270&gt;0,VLOOKUP($J270,Ruimtegroepen[],3,FALSE)*VLOOKUP($K270,Vloersoorten[],3,FALSE)*VLOOKUP($R270,Frequenties[],3,FALSE)*VLOOKUP($A270,Locaties[],3,FALSE),0)</f>
        <v>0</v>
      </c>
      <c r="U270" s="215">
        <f>Ruimtestaat[[#This Row],[Uitvoeringen werkdagen]]*Ruimtestaat[[#This Row],[Oppervlak (netto)]]</f>
        <v>1500</v>
      </c>
      <c r="V270" s="259">
        <f>IF(T270&gt;0,Ruimtestaat[[#This Row],[Prest. (m2 /jaar) werkdagen]]/Ruimtestaat[[#This Row],[Norm (m2/uur) werkdagen]],0)</f>
        <v>0</v>
      </c>
      <c r="W270" s="260">
        <f>Ruimtestaat[[#This Row],[uren / jaar werkdagen]]*Tariefsopbouw!$D$38</f>
        <v>0</v>
      </c>
      <c r="X270" s="33"/>
      <c r="Y270" s="33">
        <f>IF(Ruimtestaat[[#This Row],[Frequentie weekend]]&gt;0,VALUE(LEFT(X270,1))*Q270,0)</f>
        <v>0</v>
      </c>
      <c r="Z270" s="33">
        <f>IF($Y270&gt;0,VLOOKUP($J270,Ruimtegroepen[],3,FALSE)*VLOOKUP($K270,Vloersoorten[],3,FALSE)*VLOOKUP($X270,Frequenties[],3,FALSE)*VLOOKUP(#REF!,Locaties[],3,FALSE),0)</f>
        <v>0</v>
      </c>
      <c r="AA270" s="33"/>
      <c r="AB270" s="33"/>
      <c r="AC270" s="33">
        <f>Ruimtestaat[[#This Row],[uren / jaar weekend]]*Tariefsopbouw!$D$40</f>
        <v>0</v>
      </c>
      <c r="AD270" s="88">
        <f>Ruimtestaat[[#This Row],[Prest. (m2 /jaar) weekend]]+Ruimtestaat[[#This Row],[Prest. (m2 /jaar) werkdagen]]</f>
        <v>1500</v>
      </c>
      <c r="AE270" s="88">
        <f>Ruimtestaat[[#This Row],[uren / jaar weekend]]+Ruimtestaat[[#This Row],[uren / jaar werkdagen]]</f>
        <v>0</v>
      </c>
      <c r="AF270" s="89">
        <f>Ruimtestaat[[#This Row],[kosten / jaar weekend]]+Ruimtestaat[[#This Row],[kosten / jaar werkdagen]]</f>
        <v>0</v>
      </c>
    </row>
    <row r="271" spans="1:32" ht="15" customHeight="1">
      <c r="A271" s="200">
        <v>2</v>
      </c>
      <c r="B271" s="21" t="str">
        <f>VLOOKUP(Ruimtestaat[[#This Row],[Code]],Locaties[#All],2,FALSE)</f>
        <v>Stichting Facilitair Beheer Van Renneslaan</v>
      </c>
      <c r="C271" s="243" t="str">
        <f>VLOOKUP(Ruimtestaat[[#This Row],[Code]],Locaties[#All],4,FALSE)</f>
        <v>Catharina van Renneslaan 35</v>
      </c>
      <c r="D271" s="243" t="str">
        <f>VLOOKUP(Ruimtestaat[[#This Row],[Code]],Locaties[#All],5,FALSE)</f>
        <v>7604 KV</v>
      </c>
      <c r="E271" s="243" t="str">
        <f>VLOOKUP(Ruimtestaat[[#This Row],[Code]],Locaties[#All],6,FALSE)</f>
        <v>Almelo</v>
      </c>
      <c r="F271" s="244" t="s">
        <v>1343</v>
      </c>
      <c r="G271" s="200" t="s">
        <v>1336</v>
      </c>
      <c r="H271" s="200"/>
      <c r="I271" s="244" t="s">
        <v>1200</v>
      </c>
      <c r="J271" s="200">
        <v>2</v>
      </c>
      <c r="K271" s="243" t="s">
        <v>1040</v>
      </c>
      <c r="L271" s="200" t="s">
        <v>999</v>
      </c>
      <c r="M271" s="213">
        <v>72.2</v>
      </c>
      <c r="N271" s="213"/>
      <c r="O271" s="243" t="str">
        <f>VLOOKUP(Ruimtestaat[[#This Row],[Ruimte code]],Ruimtegroepen[#All],4,FALSE)</f>
        <v>B  (Bureauruimte)</v>
      </c>
      <c r="P271" s="214"/>
      <c r="Q271" s="215">
        <v>40</v>
      </c>
      <c r="R271" s="215" t="s">
        <v>18</v>
      </c>
      <c r="S271" s="215">
        <f>IF(R271&gt;0,IF(RIGHT(Ruimtestaat[[#This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71" s="215">
        <f>IF(S271&gt;0,VLOOKUP($J271,Ruimtegroepen[],3,FALSE)*VLOOKUP($K271,Vloersoorten[],3,FALSE)*VLOOKUP($R271,Frequenties[],3,FALSE)*VLOOKUP($A271,Locaties[],3,FALSE),0)</f>
        <v>0</v>
      </c>
      <c r="U271" s="215">
        <f>Ruimtestaat[[#This Row],[Uitvoeringen werkdagen]]*Ruimtestaat[[#This Row],[Oppervlak (netto)]]</f>
        <v>8664</v>
      </c>
      <c r="V271" s="259">
        <f>IF(T271&gt;0,Ruimtestaat[[#This Row],[Prest. (m2 /jaar) werkdagen]]/Ruimtestaat[[#This Row],[Norm (m2/uur) werkdagen]],0)</f>
        <v>0</v>
      </c>
      <c r="W271" s="260">
        <f>Ruimtestaat[[#This Row],[uren / jaar werkdagen]]*Tariefsopbouw!$D$38</f>
        <v>0</v>
      </c>
      <c r="X271" s="33"/>
      <c r="Y271" s="33">
        <f>IF(Ruimtestaat[[#This Row],[Frequentie weekend]]&gt;0,VALUE(LEFT(X271,1))*Q271,0)</f>
        <v>0</v>
      </c>
      <c r="Z271" s="33">
        <f>IF($Y271&gt;0,VLOOKUP($J271,Ruimtegroepen[],3,FALSE)*VLOOKUP($K271,Vloersoorten[],3,FALSE)*VLOOKUP($X271,Frequenties[],3,FALSE)*VLOOKUP(#REF!,Locaties[],3,FALSE),0)</f>
        <v>0</v>
      </c>
      <c r="AA271" s="33"/>
      <c r="AB271" s="33"/>
      <c r="AC271" s="33">
        <f>Ruimtestaat[[#This Row],[uren / jaar weekend]]*Tariefsopbouw!$D$40</f>
        <v>0</v>
      </c>
      <c r="AD271" s="88">
        <f>Ruimtestaat[[#This Row],[Prest. (m2 /jaar) weekend]]+Ruimtestaat[[#This Row],[Prest. (m2 /jaar) werkdagen]]</f>
        <v>8664</v>
      </c>
      <c r="AE271" s="88">
        <f>Ruimtestaat[[#This Row],[uren / jaar weekend]]+Ruimtestaat[[#This Row],[uren / jaar werkdagen]]</f>
        <v>0</v>
      </c>
      <c r="AF271" s="89">
        <f>Ruimtestaat[[#This Row],[kosten / jaar weekend]]+Ruimtestaat[[#This Row],[kosten / jaar werkdagen]]</f>
        <v>0</v>
      </c>
    </row>
    <row r="272" spans="1:32" ht="15" customHeight="1">
      <c r="A272" s="200">
        <v>2</v>
      </c>
      <c r="B272" s="21" t="str">
        <f>VLOOKUP(Ruimtestaat[[#This Row],[Code]],Locaties[#All],2,FALSE)</f>
        <v>Stichting Facilitair Beheer Van Renneslaan</v>
      </c>
      <c r="C272" s="243" t="str">
        <f>VLOOKUP(Ruimtestaat[[#This Row],[Code]],Locaties[#All],4,FALSE)</f>
        <v>Catharina van Renneslaan 35</v>
      </c>
      <c r="D272" s="243" t="str">
        <f>VLOOKUP(Ruimtestaat[[#This Row],[Code]],Locaties[#All],5,FALSE)</f>
        <v>7604 KV</v>
      </c>
      <c r="E272" s="243" t="str">
        <f>VLOOKUP(Ruimtestaat[[#This Row],[Code]],Locaties[#All],6,FALSE)</f>
        <v>Almelo</v>
      </c>
      <c r="F272" s="244"/>
      <c r="G272" s="200" t="s">
        <v>1336</v>
      </c>
      <c r="H272" s="200"/>
      <c r="I272" s="244" t="s">
        <v>1201</v>
      </c>
      <c r="J272" s="200">
        <v>6</v>
      </c>
      <c r="K272" s="243" t="s">
        <v>112</v>
      </c>
      <c r="L272" s="200" t="s">
        <v>1341</v>
      </c>
      <c r="M272" s="213">
        <v>63.6</v>
      </c>
      <c r="N272" s="213"/>
      <c r="O272" s="243" t="str">
        <f>VLOOKUP(Ruimtestaat[[#This Row],[Ruimte code]],Ruimtegroepen[#All],4,FALSE)</f>
        <v>V  (Verkeersruimte)</v>
      </c>
      <c r="P272" s="214"/>
      <c r="Q272" s="215">
        <v>40</v>
      </c>
      <c r="R272" s="215" t="s">
        <v>2</v>
      </c>
      <c r="S272" s="215">
        <f>IF(R272&gt;0,IF(RIGHT(Ruimtestaat[[#This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2" s="215">
        <f>IF(S272&gt;0,VLOOKUP($J272,Ruimtegroepen[],3,FALSE)*VLOOKUP($K272,Vloersoorten[],3,FALSE)*VLOOKUP($R272,Frequenties[],3,FALSE)*VLOOKUP($A272,Locaties[],3,FALSE),0)</f>
        <v>0</v>
      </c>
      <c r="U272" s="215">
        <f>Ruimtestaat[[#This Row],[Uitvoeringen werkdagen]]*Ruimtestaat[[#This Row],[Oppervlak (netto)]]</f>
        <v>12720</v>
      </c>
      <c r="V272" s="259">
        <f>IF(T272&gt;0,Ruimtestaat[[#This Row],[Prest. (m2 /jaar) werkdagen]]/Ruimtestaat[[#This Row],[Norm (m2/uur) werkdagen]],0)</f>
        <v>0</v>
      </c>
      <c r="W272" s="260">
        <f>Ruimtestaat[[#This Row],[uren / jaar werkdagen]]*Tariefsopbouw!$D$38</f>
        <v>0</v>
      </c>
      <c r="X272" s="33"/>
      <c r="Y272" s="33">
        <f>IF(Ruimtestaat[[#This Row],[Frequentie weekend]]&gt;0,VALUE(LEFT(X272,1))*Q272,0)</f>
        <v>0</v>
      </c>
      <c r="Z272" s="33">
        <f>IF($Y272&gt;0,VLOOKUP($J272,Ruimtegroepen[],3,FALSE)*VLOOKUP($K272,Vloersoorten[],3,FALSE)*VLOOKUP($X272,Frequenties[],3,FALSE)*VLOOKUP(#REF!,Locaties[],3,FALSE),0)</f>
        <v>0</v>
      </c>
      <c r="AA272" s="33"/>
      <c r="AB272" s="33"/>
      <c r="AC272" s="33">
        <f>Ruimtestaat[[#This Row],[uren / jaar weekend]]*Tariefsopbouw!$D$40</f>
        <v>0</v>
      </c>
      <c r="AD272" s="88">
        <f>Ruimtestaat[[#This Row],[Prest. (m2 /jaar) weekend]]+Ruimtestaat[[#This Row],[Prest. (m2 /jaar) werkdagen]]</f>
        <v>12720</v>
      </c>
      <c r="AE272" s="88">
        <f>Ruimtestaat[[#This Row],[uren / jaar weekend]]+Ruimtestaat[[#This Row],[uren / jaar werkdagen]]</f>
        <v>0</v>
      </c>
      <c r="AF272" s="89">
        <f>Ruimtestaat[[#This Row],[kosten / jaar weekend]]+Ruimtestaat[[#This Row],[kosten / jaar werkdagen]]</f>
        <v>0</v>
      </c>
    </row>
    <row r="273" spans="1:32" ht="15" customHeight="1">
      <c r="A273" s="200">
        <v>2</v>
      </c>
      <c r="B273" s="21" t="str">
        <f>VLOOKUP(Ruimtestaat[[#This Row],[Code]],Locaties[#All],2,FALSE)</f>
        <v>Stichting Facilitair Beheer Van Renneslaan</v>
      </c>
      <c r="C273" s="243" t="str">
        <f>VLOOKUP(Ruimtestaat[[#This Row],[Code]],Locaties[#All],4,FALSE)</f>
        <v>Catharina van Renneslaan 35</v>
      </c>
      <c r="D273" s="243" t="str">
        <f>VLOOKUP(Ruimtestaat[[#This Row],[Code]],Locaties[#All],5,FALSE)</f>
        <v>7604 KV</v>
      </c>
      <c r="E273" s="243" t="str">
        <f>VLOOKUP(Ruimtestaat[[#This Row],[Code]],Locaties[#All],6,FALSE)</f>
        <v>Almelo</v>
      </c>
      <c r="F273" s="244"/>
      <c r="G273" s="200" t="s">
        <v>1336</v>
      </c>
      <c r="H273" s="200"/>
      <c r="I273" s="244" t="s">
        <v>1202</v>
      </c>
      <c r="J273" s="200">
        <v>10</v>
      </c>
      <c r="K273" s="243" t="s">
        <v>112</v>
      </c>
      <c r="L273" s="200" t="s">
        <v>1341</v>
      </c>
      <c r="M273" s="213">
        <v>7.5</v>
      </c>
      <c r="N273" s="213"/>
      <c r="O273" s="243" t="str">
        <f>VLOOKUP(Ruimtestaat[[#This Row],[Ruimte code]],Ruimtegroepen[#All],4,FALSE)</f>
        <v>V  (Verkeersruimte)</v>
      </c>
      <c r="P273" s="214"/>
      <c r="Q273" s="215">
        <v>40</v>
      </c>
      <c r="R273" s="215" t="s">
        <v>2</v>
      </c>
      <c r="S273" s="215">
        <f>IF(R273&gt;0,IF(RIGHT(Ruimtestaat[[#This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3" s="215">
        <f>IF(S273&gt;0,VLOOKUP($J273,Ruimtegroepen[],3,FALSE)*VLOOKUP($K273,Vloersoorten[],3,FALSE)*VLOOKUP($R273,Frequenties[],3,FALSE)*VLOOKUP($A273,Locaties[],3,FALSE),0)</f>
        <v>0</v>
      </c>
      <c r="U273" s="215">
        <f>Ruimtestaat[[#This Row],[Uitvoeringen werkdagen]]*Ruimtestaat[[#This Row],[Oppervlak (netto)]]</f>
        <v>1500</v>
      </c>
      <c r="V273" s="259">
        <f>IF(T273&gt;0,Ruimtestaat[[#This Row],[Prest. (m2 /jaar) werkdagen]]/Ruimtestaat[[#This Row],[Norm (m2/uur) werkdagen]],0)</f>
        <v>0</v>
      </c>
      <c r="W273" s="260">
        <f>Ruimtestaat[[#This Row],[uren / jaar werkdagen]]*Tariefsopbouw!$D$38</f>
        <v>0</v>
      </c>
      <c r="X273" s="33"/>
      <c r="Y273" s="33">
        <f>IF(Ruimtestaat[[#This Row],[Frequentie weekend]]&gt;0,VALUE(LEFT(X273,1))*Q273,0)</f>
        <v>0</v>
      </c>
      <c r="Z273" s="33">
        <f>IF($Y273&gt;0,VLOOKUP($J273,Ruimtegroepen[],3,FALSE)*VLOOKUP($K273,Vloersoorten[],3,FALSE)*VLOOKUP($X273,Frequenties[],3,FALSE)*VLOOKUP(#REF!,Locaties[],3,FALSE),0)</f>
        <v>0</v>
      </c>
      <c r="AA273" s="33"/>
      <c r="AB273" s="33"/>
      <c r="AC273" s="33">
        <f>Ruimtestaat[[#This Row],[uren / jaar weekend]]*Tariefsopbouw!$D$40</f>
        <v>0</v>
      </c>
      <c r="AD273" s="88">
        <f>Ruimtestaat[[#This Row],[Prest. (m2 /jaar) weekend]]+Ruimtestaat[[#This Row],[Prest. (m2 /jaar) werkdagen]]</f>
        <v>1500</v>
      </c>
      <c r="AE273" s="88">
        <f>Ruimtestaat[[#This Row],[uren / jaar weekend]]+Ruimtestaat[[#This Row],[uren / jaar werkdagen]]</f>
        <v>0</v>
      </c>
      <c r="AF273" s="89">
        <f>Ruimtestaat[[#This Row],[kosten / jaar weekend]]+Ruimtestaat[[#This Row],[kosten / jaar werkdagen]]</f>
        <v>0</v>
      </c>
    </row>
    <row r="274" spans="1:32" ht="15" customHeight="1">
      <c r="A274" s="200">
        <v>2</v>
      </c>
      <c r="B274" s="21" t="str">
        <f>VLOOKUP(Ruimtestaat[[#This Row],[Code]],Locaties[#All],2,FALSE)</f>
        <v>Stichting Facilitair Beheer Van Renneslaan</v>
      </c>
      <c r="C274" s="243" t="str">
        <f>VLOOKUP(Ruimtestaat[[#This Row],[Code]],Locaties[#All],4,FALSE)</f>
        <v>Catharina van Renneslaan 35</v>
      </c>
      <c r="D274" s="243" t="str">
        <f>VLOOKUP(Ruimtestaat[[#This Row],[Code]],Locaties[#All],5,FALSE)</f>
        <v>7604 KV</v>
      </c>
      <c r="E274" s="243" t="str">
        <f>VLOOKUP(Ruimtestaat[[#This Row],[Code]],Locaties[#All],6,FALSE)</f>
        <v>Almelo</v>
      </c>
      <c r="F274" s="244"/>
      <c r="G274" s="200" t="s">
        <v>1336</v>
      </c>
      <c r="H274" s="200"/>
      <c r="I274" s="244" t="s">
        <v>1203</v>
      </c>
      <c r="J274" s="200">
        <v>2</v>
      </c>
      <c r="K274" s="243" t="s">
        <v>1040</v>
      </c>
      <c r="L274" s="200" t="s">
        <v>999</v>
      </c>
      <c r="M274" s="213">
        <v>24.3</v>
      </c>
      <c r="N274" s="213"/>
      <c r="O274" s="243" t="str">
        <f>VLOOKUP(Ruimtestaat[[#This Row],[Ruimte code]],Ruimtegroepen[#All],4,FALSE)</f>
        <v>B  (Bureauruimte)</v>
      </c>
      <c r="P274" s="214"/>
      <c r="Q274" s="215">
        <v>40</v>
      </c>
      <c r="R274" s="215" t="s">
        <v>18</v>
      </c>
      <c r="S274" s="215">
        <f>IF(R274&gt;0,IF(RIGHT(Ruimtestaat[[#This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74" s="215">
        <f>IF(S274&gt;0,VLOOKUP($J274,Ruimtegroepen[],3,FALSE)*VLOOKUP($K274,Vloersoorten[],3,FALSE)*VLOOKUP($R274,Frequenties[],3,FALSE)*VLOOKUP($A274,Locaties[],3,FALSE),0)</f>
        <v>0</v>
      </c>
      <c r="U274" s="215">
        <f>Ruimtestaat[[#This Row],[Uitvoeringen werkdagen]]*Ruimtestaat[[#This Row],[Oppervlak (netto)]]</f>
        <v>2916</v>
      </c>
      <c r="V274" s="259">
        <f>IF(T274&gt;0,Ruimtestaat[[#This Row],[Prest. (m2 /jaar) werkdagen]]/Ruimtestaat[[#This Row],[Norm (m2/uur) werkdagen]],0)</f>
        <v>0</v>
      </c>
      <c r="W274" s="260">
        <f>Ruimtestaat[[#This Row],[uren / jaar werkdagen]]*Tariefsopbouw!$D$38</f>
        <v>0</v>
      </c>
      <c r="X274" s="33"/>
      <c r="Y274" s="33">
        <f>IF(Ruimtestaat[[#This Row],[Frequentie weekend]]&gt;0,VALUE(LEFT(X274,1))*Q274,0)</f>
        <v>0</v>
      </c>
      <c r="Z274" s="33">
        <f>IF($Y274&gt;0,VLOOKUP($J274,Ruimtegroepen[],3,FALSE)*VLOOKUP($K274,Vloersoorten[],3,FALSE)*VLOOKUP($X274,Frequenties[],3,FALSE)*VLOOKUP(#REF!,Locaties[],3,FALSE),0)</f>
        <v>0</v>
      </c>
      <c r="AA274" s="33"/>
      <c r="AB274" s="33"/>
      <c r="AC274" s="33">
        <f>Ruimtestaat[[#This Row],[uren / jaar weekend]]*Tariefsopbouw!$D$40</f>
        <v>0</v>
      </c>
      <c r="AD274" s="88">
        <f>Ruimtestaat[[#This Row],[Prest. (m2 /jaar) weekend]]+Ruimtestaat[[#This Row],[Prest. (m2 /jaar) werkdagen]]</f>
        <v>2916</v>
      </c>
      <c r="AE274" s="88">
        <f>Ruimtestaat[[#This Row],[uren / jaar weekend]]+Ruimtestaat[[#This Row],[uren / jaar werkdagen]]</f>
        <v>0</v>
      </c>
      <c r="AF274" s="89">
        <f>Ruimtestaat[[#This Row],[kosten / jaar weekend]]+Ruimtestaat[[#This Row],[kosten / jaar werkdagen]]</f>
        <v>0</v>
      </c>
    </row>
    <row r="275" spans="1:32" ht="15" customHeight="1">
      <c r="A275" s="200">
        <v>2</v>
      </c>
      <c r="B275" s="21" t="str">
        <f>VLOOKUP(Ruimtestaat[[#This Row],[Code]],Locaties[#All],2,FALSE)</f>
        <v>Stichting Facilitair Beheer Van Renneslaan</v>
      </c>
      <c r="C275" s="243" t="str">
        <f>VLOOKUP(Ruimtestaat[[#This Row],[Code]],Locaties[#All],4,FALSE)</f>
        <v>Catharina van Renneslaan 35</v>
      </c>
      <c r="D275" s="243" t="str">
        <f>VLOOKUP(Ruimtestaat[[#This Row],[Code]],Locaties[#All],5,FALSE)</f>
        <v>7604 KV</v>
      </c>
      <c r="E275" s="243" t="str">
        <f>VLOOKUP(Ruimtestaat[[#This Row],[Code]],Locaties[#All],6,FALSE)</f>
        <v>Almelo</v>
      </c>
      <c r="F275" s="244"/>
      <c r="G275" s="200" t="s">
        <v>1336</v>
      </c>
      <c r="H275" s="200"/>
      <c r="I275" s="244" t="s">
        <v>1204</v>
      </c>
      <c r="J275" s="200">
        <v>7</v>
      </c>
      <c r="K275" s="243" t="s">
        <v>1040</v>
      </c>
      <c r="L275" s="200" t="s">
        <v>999</v>
      </c>
      <c r="M275" s="213">
        <v>20.7</v>
      </c>
      <c r="N275" s="213"/>
      <c r="O275" s="243" t="str">
        <f>VLOOKUP(Ruimtestaat[[#This Row],[Ruimte code]],Ruimtegroepen[#All],4,FALSE)</f>
        <v>V  (Verkeersruimte)</v>
      </c>
      <c r="P275" s="214"/>
      <c r="Q275" s="215">
        <v>40</v>
      </c>
      <c r="R275" s="215" t="s">
        <v>2</v>
      </c>
      <c r="S275" s="215">
        <f>IF(R275&gt;0,IF(RIGHT(Ruimtestaat[[#This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5" s="215">
        <f>IF(S275&gt;0,VLOOKUP($J275,Ruimtegroepen[],3,FALSE)*VLOOKUP($K275,Vloersoorten[],3,FALSE)*VLOOKUP($R275,Frequenties[],3,FALSE)*VLOOKUP($A275,Locaties[],3,FALSE),0)</f>
        <v>0</v>
      </c>
      <c r="U275" s="215">
        <f>Ruimtestaat[[#This Row],[Uitvoeringen werkdagen]]*Ruimtestaat[[#This Row],[Oppervlak (netto)]]</f>
        <v>4140</v>
      </c>
      <c r="V275" s="259">
        <f>IF(T275&gt;0,Ruimtestaat[[#This Row],[Prest. (m2 /jaar) werkdagen]]/Ruimtestaat[[#This Row],[Norm (m2/uur) werkdagen]],0)</f>
        <v>0</v>
      </c>
      <c r="W275" s="260">
        <f>Ruimtestaat[[#This Row],[uren / jaar werkdagen]]*Tariefsopbouw!$D$38</f>
        <v>0</v>
      </c>
      <c r="X275" s="33"/>
      <c r="Y275" s="33">
        <f>IF(Ruimtestaat[[#This Row],[Frequentie weekend]]&gt;0,VALUE(LEFT(X275,1))*Q275,0)</f>
        <v>0</v>
      </c>
      <c r="Z275" s="33">
        <f>IF($Y275&gt;0,VLOOKUP($J275,Ruimtegroepen[],3,FALSE)*VLOOKUP($K275,Vloersoorten[],3,FALSE)*VLOOKUP($X275,Frequenties[],3,FALSE)*VLOOKUP(#REF!,Locaties[],3,FALSE),0)</f>
        <v>0</v>
      </c>
      <c r="AA275" s="33"/>
      <c r="AB275" s="33"/>
      <c r="AC275" s="33">
        <f>Ruimtestaat[[#This Row],[uren / jaar weekend]]*Tariefsopbouw!$D$40</f>
        <v>0</v>
      </c>
      <c r="AD275" s="88">
        <f>Ruimtestaat[[#This Row],[Prest. (m2 /jaar) weekend]]+Ruimtestaat[[#This Row],[Prest. (m2 /jaar) werkdagen]]</f>
        <v>4140</v>
      </c>
      <c r="AE275" s="88">
        <f>Ruimtestaat[[#This Row],[uren / jaar weekend]]+Ruimtestaat[[#This Row],[uren / jaar werkdagen]]</f>
        <v>0</v>
      </c>
      <c r="AF275" s="89">
        <f>Ruimtestaat[[#This Row],[kosten / jaar weekend]]+Ruimtestaat[[#This Row],[kosten / jaar werkdagen]]</f>
        <v>0</v>
      </c>
    </row>
    <row r="276" spans="1:32" ht="15" customHeight="1">
      <c r="A276" s="200">
        <v>2</v>
      </c>
      <c r="B276" s="21" t="str">
        <f>VLOOKUP(Ruimtestaat[[#This Row],[Code]],Locaties[#All],2,FALSE)</f>
        <v>Stichting Facilitair Beheer Van Renneslaan</v>
      </c>
      <c r="C276" s="243" t="str">
        <f>VLOOKUP(Ruimtestaat[[#This Row],[Code]],Locaties[#All],4,FALSE)</f>
        <v>Catharina van Renneslaan 35</v>
      </c>
      <c r="D276" s="243" t="str">
        <f>VLOOKUP(Ruimtestaat[[#This Row],[Code]],Locaties[#All],5,FALSE)</f>
        <v>7604 KV</v>
      </c>
      <c r="E276" s="243" t="str">
        <f>VLOOKUP(Ruimtestaat[[#This Row],[Code]],Locaties[#All],6,FALSE)</f>
        <v>Almelo</v>
      </c>
      <c r="F276" s="244"/>
      <c r="G276" s="200" t="s">
        <v>1336</v>
      </c>
      <c r="H276" s="200"/>
      <c r="I276" s="244" t="s">
        <v>1205</v>
      </c>
      <c r="J276" s="243">
        <v>5</v>
      </c>
      <c r="K276" s="243" t="s">
        <v>111</v>
      </c>
      <c r="L276" s="200" t="s">
        <v>1340</v>
      </c>
      <c r="M276" s="213">
        <v>17.8</v>
      </c>
      <c r="N276" s="213"/>
      <c r="O276" s="243" t="str">
        <f>VLOOKUP(Ruimtestaat[[#This Row],[Ruimte code]],Ruimtegroepen[#All],4,FALSE)</f>
        <v>S  (Sanitair)</v>
      </c>
      <c r="P276" s="214"/>
      <c r="Q276" s="215">
        <v>40</v>
      </c>
      <c r="R276" s="215" t="s">
        <v>2</v>
      </c>
      <c r="S276" s="215">
        <f>IF(R276&gt;0,IF(RIGHT(Ruimtestaat[[#This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6" s="215">
        <f>IF(S276&gt;0,VLOOKUP($J276,Ruimtegroepen[],3,FALSE)*VLOOKUP($K276,Vloersoorten[],3,FALSE)*VLOOKUP($R276,Frequenties[],3,FALSE)*VLOOKUP($A276,Locaties[],3,FALSE),0)</f>
        <v>0</v>
      </c>
      <c r="U276" s="215">
        <f>Ruimtestaat[[#This Row],[Uitvoeringen werkdagen]]*Ruimtestaat[[#This Row],[Oppervlak (netto)]]</f>
        <v>3560</v>
      </c>
      <c r="V276" s="259">
        <f>IF(T276&gt;0,Ruimtestaat[[#This Row],[Prest. (m2 /jaar) werkdagen]]/Ruimtestaat[[#This Row],[Norm (m2/uur) werkdagen]],0)</f>
        <v>0</v>
      </c>
      <c r="W276" s="260">
        <f>Ruimtestaat[[#This Row],[uren / jaar werkdagen]]*Tariefsopbouw!$D$38</f>
        <v>0</v>
      </c>
      <c r="X276" s="33"/>
      <c r="Y276" s="33">
        <f>IF(Ruimtestaat[[#This Row],[Frequentie weekend]]&gt;0,VALUE(LEFT(X276,1))*Q276,0)</f>
        <v>0</v>
      </c>
      <c r="Z276" s="33">
        <f>IF($Y276&gt;0,VLOOKUP($J276,Ruimtegroepen[],3,FALSE)*VLOOKUP($K276,Vloersoorten[],3,FALSE)*VLOOKUP($X276,Frequenties[],3,FALSE)*VLOOKUP(#REF!,Locaties[],3,FALSE),0)</f>
        <v>0</v>
      </c>
      <c r="AA276" s="33"/>
      <c r="AB276" s="33"/>
      <c r="AC276" s="33">
        <f>Ruimtestaat[[#This Row],[uren / jaar weekend]]*Tariefsopbouw!$D$40</f>
        <v>0</v>
      </c>
      <c r="AD276" s="88">
        <f>Ruimtestaat[[#This Row],[Prest. (m2 /jaar) weekend]]+Ruimtestaat[[#This Row],[Prest. (m2 /jaar) werkdagen]]</f>
        <v>3560</v>
      </c>
      <c r="AE276" s="88">
        <f>Ruimtestaat[[#This Row],[uren / jaar weekend]]+Ruimtestaat[[#This Row],[uren / jaar werkdagen]]</f>
        <v>0</v>
      </c>
      <c r="AF276" s="89">
        <f>Ruimtestaat[[#This Row],[kosten / jaar weekend]]+Ruimtestaat[[#This Row],[kosten / jaar werkdagen]]</f>
        <v>0</v>
      </c>
    </row>
    <row r="277" spans="1:32" ht="15" customHeight="1">
      <c r="A277" s="200">
        <v>2</v>
      </c>
      <c r="B277" s="21" t="str">
        <f>VLOOKUP(Ruimtestaat[[#This Row],[Code]],Locaties[#All],2,FALSE)</f>
        <v>Stichting Facilitair Beheer Van Renneslaan</v>
      </c>
      <c r="C277" s="243" t="str">
        <f>VLOOKUP(Ruimtestaat[[#This Row],[Code]],Locaties[#All],4,FALSE)</f>
        <v>Catharina van Renneslaan 35</v>
      </c>
      <c r="D277" s="243" t="str">
        <f>VLOOKUP(Ruimtestaat[[#This Row],[Code]],Locaties[#All],5,FALSE)</f>
        <v>7604 KV</v>
      </c>
      <c r="E277" s="243" t="str">
        <f>VLOOKUP(Ruimtestaat[[#This Row],[Code]],Locaties[#All],6,FALSE)</f>
        <v>Almelo</v>
      </c>
      <c r="F277" s="244"/>
      <c r="G277" s="200" t="s">
        <v>1336</v>
      </c>
      <c r="H277" s="200"/>
      <c r="I277" s="244" t="s">
        <v>1188</v>
      </c>
      <c r="J277" s="200">
        <v>10</v>
      </c>
      <c r="K277" s="243" t="s">
        <v>111</v>
      </c>
      <c r="L277" s="200" t="s">
        <v>1339</v>
      </c>
      <c r="M277" s="213">
        <v>7</v>
      </c>
      <c r="N277" s="213"/>
      <c r="O277" s="243" t="str">
        <f>VLOOKUP(Ruimtestaat[[#This Row],[Ruimte code]],Ruimtegroepen[#All],4,FALSE)</f>
        <v>V  (Verkeersruimte)</v>
      </c>
      <c r="P277" s="214"/>
      <c r="Q277" s="215">
        <v>40</v>
      </c>
      <c r="R277" s="215" t="s">
        <v>2</v>
      </c>
      <c r="S277" s="215">
        <f>IF(R277&gt;0,IF(RIGHT(Ruimtestaat[[#This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77" s="215">
        <f>IF(S277&gt;0,VLOOKUP($J277,Ruimtegroepen[],3,FALSE)*VLOOKUP($K277,Vloersoorten[],3,FALSE)*VLOOKUP($R277,Frequenties[],3,FALSE)*VLOOKUP($A277,Locaties[],3,FALSE),0)</f>
        <v>0</v>
      </c>
      <c r="U277" s="215">
        <f>Ruimtestaat[[#This Row],[Uitvoeringen werkdagen]]*Ruimtestaat[[#This Row],[Oppervlak (netto)]]</f>
        <v>1400</v>
      </c>
      <c r="V277" s="259">
        <f>IF(T277&gt;0,Ruimtestaat[[#This Row],[Prest. (m2 /jaar) werkdagen]]/Ruimtestaat[[#This Row],[Norm (m2/uur) werkdagen]],0)</f>
        <v>0</v>
      </c>
      <c r="W277" s="260">
        <f>Ruimtestaat[[#This Row],[uren / jaar werkdagen]]*Tariefsopbouw!$D$38</f>
        <v>0</v>
      </c>
      <c r="X277" s="33"/>
      <c r="Y277" s="33">
        <f>IF(Ruimtestaat[[#This Row],[Frequentie weekend]]&gt;0,VALUE(LEFT(X277,1))*Q277,0)</f>
        <v>0</v>
      </c>
      <c r="Z277" s="33">
        <f>IF($Y277&gt;0,VLOOKUP($J277,Ruimtegroepen[],3,FALSE)*VLOOKUP($K277,Vloersoorten[],3,FALSE)*VLOOKUP($X277,Frequenties[],3,FALSE)*VLOOKUP(#REF!,Locaties[],3,FALSE),0)</f>
        <v>0</v>
      </c>
      <c r="AA277" s="33"/>
      <c r="AB277" s="33"/>
      <c r="AC277" s="33">
        <f>Ruimtestaat[[#This Row],[uren / jaar weekend]]*Tariefsopbouw!$D$40</f>
        <v>0</v>
      </c>
      <c r="AD277" s="88">
        <f>Ruimtestaat[[#This Row],[Prest. (m2 /jaar) weekend]]+Ruimtestaat[[#This Row],[Prest. (m2 /jaar) werkdagen]]</f>
        <v>1400</v>
      </c>
      <c r="AE277" s="88">
        <f>Ruimtestaat[[#This Row],[uren / jaar weekend]]+Ruimtestaat[[#This Row],[uren / jaar werkdagen]]</f>
        <v>0</v>
      </c>
      <c r="AF277" s="89">
        <f>Ruimtestaat[[#This Row],[kosten / jaar weekend]]+Ruimtestaat[[#This Row],[kosten / jaar werkdagen]]</f>
        <v>0</v>
      </c>
    </row>
    <row r="278" spans="1:32" ht="15" customHeight="1">
      <c r="A278" s="200">
        <v>2</v>
      </c>
      <c r="B278" s="21" t="str">
        <f>VLOOKUP(Ruimtestaat[[#This Row],[Code]],Locaties[#All],2,FALSE)</f>
        <v>Stichting Facilitair Beheer Van Renneslaan</v>
      </c>
      <c r="C278" s="243" t="str">
        <f>VLOOKUP(Ruimtestaat[[#This Row],[Code]],Locaties[#All],4,FALSE)</f>
        <v>Catharina van Renneslaan 35</v>
      </c>
      <c r="D278" s="243" t="str">
        <f>VLOOKUP(Ruimtestaat[[#This Row],[Code]],Locaties[#All],5,FALSE)</f>
        <v>7604 KV</v>
      </c>
      <c r="E278" s="243" t="str">
        <f>VLOOKUP(Ruimtestaat[[#This Row],[Code]],Locaties[#All],6,FALSE)</f>
        <v>Almelo</v>
      </c>
      <c r="F278" s="244" t="s">
        <v>1342</v>
      </c>
      <c r="G278" s="200" t="s">
        <v>1336</v>
      </c>
      <c r="H278" s="200"/>
      <c r="I278" s="244" t="s">
        <v>1206</v>
      </c>
      <c r="J278" s="200">
        <v>1</v>
      </c>
      <c r="K278" s="243" t="s">
        <v>112</v>
      </c>
      <c r="L278" s="200" t="s">
        <v>1341</v>
      </c>
      <c r="M278" s="213">
        <v>25.1</v>
      </c>
      <c r="N278" s="213"/>
      <c r="O278" s="243" t="str">
        <f>VLOOKUP(Ruimtestaat[[#This Row],[Ruimte code]],Ruimtegroepen[#All],4,FALSE)</f>
        <v>V  (Verkeersruimte)</v>
      </c>
      <c r="P278" s="214"/>
      <c r="Q278" s="215">
        <v>40</v>
      </c>
      <c r="R278" s="215" t="s">
        <v>16</v>
      </c>
      <c r="S278" s="215">
        <f>IF(R278&gt;0,IF(RIGHT(Ruimtestaat[[#This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78" s="215">
        <f>IF(S278&gt;0,VLOOKUP($J278,Ruimtegroepen[],3,FALSE)*VLOOKUP($K278,Vloersoorten[],3,FALSE)*VLOOKUP($R278,Frequenties[],3,FALSE)*VLOOKUP($A278,Locaties[],3,FALSE),0)</f>
        <v>0</v>
      </c>
      <c r="U278" s="215">
        <f>Ruimtestaat[[#This Row],[Uitvoeringen werkdagen]]*Ruimtestaat[[#This Row],[Oppervlak (netto)]]</f>
        <v>301.20000000000005</v>
      </c>
      <c r="V278" s="259">
        <f>IF(T278&gt;0,Ruimtestaat[[#This Row],[Prest. (m2 /jaar) werkdagen]]/Ruimtestaat[[#This Row],[Norm (m2/uur) werkdagen]],0)</f>
        <v>0</v>
      </c>
      <c r="W278" s="260">
        <f>Ruimtestaat[[#This Row],[uren / jaar werkdagen]]*Tariefsopbouw!$D$38</f>
        <v>0</v>
      </c>
      <c r="X278" s="33"/>
      <c r="Y278" s="33">
        <f>IF(Ruimtestaat[[#This Row],[Frequentie weekend]]&gt;0,VALUE(LEFT(X278,1))*Q278,0)</f>
        <v>0</v>
      </c>
      <c r="Z278" s="33">
        <f>IF($Y278&gt;0,VLOOKUP($J278,Ruimtegroepen[],3,FALSE)*VLOOKUP($K278,Vloersoorten[],3,FALSE)*VLOOKUP($X278,Frequenties[],3,FALSE)*VLOOKUP(#REF!,Locaties[],3,FALSE),0)</f>
        <v>0</v>
      </c>
      <c r="AA278" s="33"/>
      <c r="AB278" s="33"/>
      <c r="AC278" s="33">
        <f>Ruimtestaat[[#This Row],[uren / jaar weekend]]*Tariefsopbouw!$D$40</f>
        <v>0</v>
      </c>
      <c r="AD278" s="88">
        <f>Ruimtestaat[[#This Row],[Prest. (m2 /jaar) weekend]]+Ruimtestaat[[#This Row],[Prest. (m2 /jaar) werkdagen]]</f>
        <v>301.20000000000005</v>
      </c>
      <c r="AE278" s="88">
        <f>Ruimtestaat[[#This Row],[uren / jaar weekend]]+Ruimtestaat[[#This Row],[uren / jaar werkdagen]]</f>
        <v>0</v>
      </c>
      <c r="AF278" s="89">
        <f>Ruimtestaat[[#This Row],[kosten / jaar weekend]]+Ruimtestaat[[#This Row],[kosten / jaar werkdagen]]</f>
        <v>0</v>
      </c>
    </row>
    <row r="279" spans="1:32" ht="15" customHeight="1">
      <c r="A279" s="200">
        <v>2</v>
      </c>
      <c r="B279" s="21" t="str">
        <f>VLOOKUP(Ruimtestaat[[#This Row],[Code]],Locaties[#All],2,FALSE)</f>
        <v>Stichting Facilitair Beheer Van Renneslaan</v>
      </c>
      <c r="C279" s="243" t="str">
        <f>VLOOKUP(Ruimtestaat[[#This Row],[Code]],Locaties[#All],4,FALSE)</f>
        <v>Catharina van Renneslaan 35</v>
      </c>
      <c r="D279" s="243" t="str">
        <f>VLOOKUP(Ruimtestaat[[#This Row],[Code]],Locaties[#All],5,FALSE)</f>
        <v>7604 KV</v>
      </c>
      <c r="E279" s="243" t="str">
        <f>VLOOKUP(Ruimtestaat[[#This Row],[Code]],Locaties[#All],6,FALSE)</f>
        <v>Almelo</v>
      </c>
      <c r="F279" s="244" t="s">
        <v>1343</v>
      </c>
      <c r="G279" s="200" t="s">
        <v>1336</v>
      </c>
      <c r="H279" s="200"/>
      <c r="I279" s="244" t="s">
        <v>1207</v>
      </c>
      <c r="J279" s="200">
        <v>1</v>
      </c>
      <c r="K279" s="243" t="s">
        <v>112</v>
      </c>
      <c r="L279" s="200" t="s">
        <v>1341</v>
      </c>
      <c r="M279" s="213">
        <v>25.1</v>
      </c>
      <c r="N279" s="213"/>
      <c r="O279" s="243" t="str">
        <f>VLOOKUP(Ruimtestaat[[#This Row],[Ruimte code]],Ruimtegroepen[#All],4,FALSE)</f>
        <v>V  (Verkeersruimte)</v>
      </c>
      <c r="P279" s="214"/>
      <c r="Q279" s="215">
        <v>40</v>
      </c>
      <c r="R279" s="215" t="s">
        <v>16</v>
      </c>
      <c r="S279" s="215">
        <f>IF(R279&gt;0,IF(RIGHT(Ruimtestaat[[#This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79" s="215">
        <f>IF(S279&gt;0,VLOOKUP($J279,Ruimtegroepen[],3,FALSE)*VLOOKUP($K279,Vloersoorten[],3,FALSE)*VLOOKUP($R279,Frequenties[],3,FALSE)*VLOOKUP($A279,Locaties[],3,FALSE),0)</f>
        <v>0</v>
      </c>
      <c r="U279" s="215">
        <f>Ruimtestaat[[#This Row],[Uitvoeringen werkdagen]]*Ruimtestaat[[#This Row],[Oppervlak (netto)]]</f>
        <v>301.20000000000005</v>
      </c>
      <c r="V279" s="259">
        <f>IF(T279&gt;0,Ruimtestaat[[#This Row],[Prest. (m2 /jaar) werkdagen]]/Ruimtestaat[[#This Row],[Norm (m2/uur) werkdagen]],0)</f>
        <v>0</v>
      </c>
      <c r="W279" s="260">
        <f>Ruimtestaat[[#This Row],[uren / jaar werkdagen]]*Tariefsopbouw!$D$38</f>
        <v>0</v>
      </c>
      <c r="X279" s="33"/>
      <c r="Y279" s="33">
        <f>IF(Ruimtestaat[[#This Row],[Frequentie weekend]]&gt;0,VALUE(LEFT(X279,1))*Q279,0)</f>
        <v>0</v>
      </c>
      <c r="Z279" s="33">
        <f>IF($Y279&gt;0,VLOOKUP($J279,Ruimtegroepen[],3,FALSE)*VLOOKUP($K279,Vloersoorten[],3,FALSE)*VLOOKUP($X279,Frequenties[],3,FALSE)*VLOOKUP(#REF!,Locaties[],3,FALSE),0)</f>
        <v>0</v>
      </c>
      <c r="AA279" s="33"/>
      <c r="AB279" s="33"/>
      <c r="AC279" s="33">
        <f>Ruimtestaat[[#This Row],[uren / jaar weekend]]*Tariefsopbouw!$D$40</f>
        <v>0</v>
      </c>
      <c r="AD279" s="88">
        <f>Ruimtestaat[[#This Row],[Prest. (m2 /jaar) weekend]]+Ruimtestaat[[#This Row],[Prest. (m2 /jaar) werkdagen]]</f>
        <v>301.20000000000005</v>
      </c>
      <c r="AE279" s="88">
        <f>Ruimtestaat[[#This Row],[uren / jaar weekend]]+Ruimtestaat[[#This Row],[uren / jaar werkdagen]]</f>
        <v>0</v>
      </c>
      <c r="AF279" s="89">
        <f>Ruimtestaat[[#This Row],[kosten / jaar weekend]]+Ruimtestaat[[#This Row],[kosten / jaar werkdagen]]</f>
        <v>0</v>
      </c>
    </row>
    <row r="280" spans="1:32" ht="15" customHeight="1">
      <c r="A280" s="200">
        <v>2</v>
      </c>
      <c r="B280" s="21" t="str">
        <f>VLOOKUP(Ruimtestaat[[#This Row],[Code]],Locaties[#All],2,FALSE)</f>
        <v>Stichting Facilitair Beheer Van Renneslaan</v>
      </c>
      <c r="C280" s="243" t="str">
        <f>VLOOKUP(Ruimtestaat[[#This Row],[Code]],Locaties[#All],4,FALSE)</f>
        <v>Catharina van Renneslaan 35</v>
      </c>
      <c r="D280" s="243" t="str">
        <f>VLOOKUP(Ruimtestaat[[#This Row],[Code]],Locaties[#All],5,FALSE)</f>
        <v>7604 KV</v>
      </c>
      <c r="E280" s="243" t="str">
        <f>VLOOKUP(Ruimtestaat[[#This Row],[Code]],Locaties[#All],6,FALSE)</f>
        <v>Almelo</v>
      </c>
      <c r="F280" s="244"/>
      <c r="G280" s="200" t="s">
        <v>1336</v>
      </c>
      <c r="H280" s="200"/>
      <c r="I280" s="244" t="s">
        <v>1208</v>
      </c>
      <c r="J280" s="200">
        <v>6</v>
      </c>
      <c r="K280" s="243" t="s">
        <v>1040</v>
      </c>
      <c r="L280" s="200" t="s">
        <v>999</v>
      </c>
      <c r="M280" s="213">
        <v>97</v>
      </c>
      <c r="N280" s="213"/>
      <c r="O280" s="243" t="str">
        <f>VLOOKUP(Ruimtestaat[[#This Row],[Ruimte code]],Ruimtegroepen[#All],4,FALSE)</f>
        <v>V  (Verkeersruimte)</v>
      </c>
      <c r="P280" s="214"/>
      <c r="Q280" s="215">
        <v>40</v>
      </c>
      <c r="R280" s="215" t="s">
        <v>2</v>
      </c>
      <c r="S280" s="215">
        <f>IF(R280&gt;0,IF(RIGHT(Ruimtestaat[[#This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0" s="215">
        <f>IF(S280&gt;0,VLOOKUP($J280,Ruimtegroepen[],3,FALSE)*VLOOKUP($K280,Vloersoorten[],3,FALSE)*VLOOKUP($R280,Frequenties[],3,FALSE)*VLOOKUP($A280,Locaties[],3,FALSE),0)</f>
        <v>0</v>
      </c>
      <c r="U280" s="215">
        <f>Ruimtestaat[[#This Row],[Uitvoeringen werkdagen]]*Ruimtestaat[[#This Row],[Oppervlak (netto)]]</f>
        <v>19400</v>
      </c>
      <c r="V280" s="259">
        <f>IF(T280&gt;0,Ruimtestaat[[#This Row],[Prest. (m2 /jaar) werkdagen]]/Ruimtestaat[[#This Row],[Norm (m2/uur) werkdagen]],0)</f>
        <v>0</v>
      </c>
      <c r="W280" s="260">
        <f>Ruimtestaat[[#This Row],[uren / jaar werkdagen]]*Tariefsopbouw!$D$38</f>
        <v>0</v>
      </c>
      <c r="X280" s="33"/>
      <c r="Y280" s="33">
        <f>IF(Ruimtestaat[[#This Row],[Frequentie weekend]]&gt;0,VALUE(LEFT(X280,1))*Q280,0)</f>
        <v>0</v>
      </c>
      <c r="Z280" s="33">
        <f>IF($Y280&gt;0,VLOOKUP($J280,Ruimtegroepen[],3,FALSE)*VLOOKUP($K280,Vloersoorten[],3,FALSE)*VLOOKUP($X280,Frequenties[],3,FALSE)*VLOOKUP(#REF!,Locaties[],3,FALSE),0)</f>
        <v>0</v>
      </c>
      <c r="AA280" s="33"/>
      <c r="AB280" s="33"/>
      <c r="AC280" s="33">
        <f>Ruimtestaat[[#This Row],[uren / jaar weekend]]*Tariefsopbouw!$D$40</f>
        <v>0</v>
      </c>
      <c r="AD280" s="88">
        <f>Ruimtestaat[[#This Row],[Prest. (m2 /jaar) weekend]]+Ruimtestaat[[#This Row],[Prest. (m2 /jaar) werkdagen]]</f>
        <v>19400</v>
      </c>
      <c r="AE280" s="88">
        <f>Ruimtestaat[[#This Row],[uren / jaar weekend]]+Ruimtestaat[[#This Row],[uren / jaar werkdagen]]</f>
        <v>0</v>
      </c>
      <c r="AF280" s="89">
        <f>Ruimtestaat[[#This Row],[kosten / jaar weekend]]+Ruimtestaat[[#This Row],[kosten / jaar werkdagen]]</f>
        <v>0</v>
      </c>
    </row>
    <row r="281" spans="1:32" ht="15" customHeight="1">
      <c r="A281" s="200">
        <v>2</v>
      </c>
      <c r="B281" s="21" t="str">
        <f>VLOOKUP(Ruimtestaat[[#This Row],[Code]],Locaties[#All],2,FALSE)</f>
        <v>Stichting Facilitair Beheer Van Renneslaan</v>
      </c>
      <c r="C281" s="243" t="str">
        <f>VLOOKUP(Ruimtestaat[[#This Row],[Code]],Locaties[#All],4,FALSE)</f>
        <v>Catharina van Renneslaan 35</v>
      </c>
      <c r="D281" s="243" t="str">
        <f>VLOOKUP(Ruimtestaat[[#This Row],[Code]],Locaties[#All],5,FALSE)</f>
        <v>7604 KV</v>
      </c>
      <c r="E281" s="243" t="str">
        <f>VLOOKUP(Ruimtestaat[[#This Row],[Code]],Locaties[#All],6,FALSE)</f>
        <v>Almelo</v>
      </c>
      <c r="F281" s="244" t="s">
        <v>1342</v>
      </c>
      <c r="G281" s="200" t="s">
        <v>1336</v>
      </c>
      <c r="H281" s="200"/>
      <c r="I281" s="244" t="s">
        <v>1209</v>
      </c>
      <c r="J281" s="200">
        <v>1</v>
      </c>
      <c r="K281" s="243" t="s">
        <v>1040</v>
      </c>
      <c r="L281" s="200" t="s">
        <v>999</v>
      </c>
      <c r="M281" s="213">
        <v>5.4</v>
      </c>
      <c r="N281" s="213"/>
      <c r="O281" s="243" t="str">
        <f>VLOOKUP(Ruimtestaat[[#This Row],[Ruimte code]],Ruimtegroepen[#All],4,FALSE)</f>
        <v>V  (Verkeersruimte)</v>
      </c>
      <c r="P281" s="214"/>
      <c r="Q281" s="215">
        <v>40</v>
      </c>
      <c r="R281" s="215" t="s">
        <v>16</v>
      </c>
      <c r="S281" s="215">
        <f>IF(R281&gt;0,IF(RIGHT(Ruimtestaat[[#This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81" s="215">
        <f>IF(S281&gt;0,VLOOKUP($J281,Ruimtegroepen[],3,FALSE)*VLOOKUP($K281,Vloersoorten[],3,FALSE)*VLOOKUP($R281,Frequenties[],3,FALSE)*VLOOKUP($A281,Locaties[],3,FALSE),0)</f>
        <v>0</v>
      </c>
      <c r="U281" s="215">
        <f>Ruimtestaat[[#This Row],[Uitvoeringen werkdagen]]*Ruimtestaat[[#This Row],[Oppervlak (netto)]]</f>
        <v>64.800000000000011</v>
      </c>
      <c r="V281" s="259">
        <f>IF(T281&gt;0,Ruimtestaat[[#This Row],[Prest. (m2 /jaar) werkdagen]]/Ruimtestaat[[#This Row],[Norm (m2/uur) werkdagen]],0)</f>
        <v>0</v>
      </c>
      <c r="W281" s="260">
        <f>Ruimtestaat[[#This Row],[uren / jaar werkdagen]]*Tariefsopbouw!$D$38</f>
        <v>0</v>
      </c>
      <c r="X281" s="33"/>
      <c r="Y281" s="33">
        <f>IF(Ruimtestaat[[#This Row],[Frequentie weekend]]&gt;0,VALUE(LEFT(X281,1))*Q281,0)</f>
        <v>0</v>
      </c>
      <c r="Z281" s="33">
        <f>IF($Y281&gt;0,VLOOKUP($J281,Ruimtegroepen[],3,FALSE)*VLOOKUP($K281,Vloersoorten[],3,FALSE)*VLOOKUP($X281,Frequenties[],3,FALSE)*VLOOKUP(#REF!,Locaties[],3,FALSE),0)</f>
        <v>0</v>
      </c>
      <c r="AA281" s="33"/>
      <c r="AB281" s="33"/>
      <c r="AC281" s="33">
        <f>Ruimtestaat[[#This Row],[uren / jaar weekend]]*Tariefsopbouw!$D$40</f>
        <v>0</v>
      </c>
      <c r="AD281" s="88">
        <f>Ruimtestaat[[#This Row],[Prest. (m2 /jaar) weekend]]+Ruimtestaat[[#This Row],[Prest. (m2 /jaar) werkdagen]]</f>
        <v>64.800000000000011</v>
      </c>
      <c r="AE281" s="88">
        <f>Ruimtestaat[[#This Row],[uren / jaar weekend]]+Ruimtestaat[[#This Row],[uren / jaar werkdagen]]</f>
        <v>0</v>
      </c>
      <c r="AF281" s="89">
        <f>Ruimtestaat[[#This Row],[kosten / jaar weekend]]+Ruimtestaat[[#This Row],[kosten / jaar werkdagen]]</f>
        <v>0</v>
      </c>
    </row>
    <row r="282" spans="1:32" ht="15" customHeight="1">
      <c r="A282" s="200">
        <v>2</v>
      </c>
      <c r="B282" s="21" t="str">
        <f>VLOOKUP(Ruimtestaat[[#This Row],[Code]],Locaties[#All],2,FALSE)</f>
        <v>Stichting Facilitair Beheer Van Renneslaan</v>
      </c>
      <c r="C282" s="243" t="str">
        <f>VLOOKUP(Ruimtestaat[[#This Row],[Code]],Locaties[#All],4,FALSE)</f>
        <v>Catharina van Renneslaan 35</v>
      </c>
      <c r="D282" s="243" t="str">
        <f>VLOOKUP(Ruimtestaat[[#This Row],[Code]],Locaties[#All],5,FALSE)</f>
        <v>7604 KV</v>
      </c>
      <c r="E282" s="243" t="str">
        <f>VLOOKUP(Ruimtestaat[[#This Row],[Code]],Locaties[#All],6,FALSE)</f>
        <v>Almelo</v>
      </c>
      <c r="F282" s="244" t="s">
        <v>1343</v>
      </c>
      <c r="G282" s="200" t="s">
        <v>1336</v>
      </c>
      <c r="H282" s="200"/>
      <c r="I282" s="244" t="s">
        <v>1210</v>
      </c>
      <c r="J282" s="200">
        <v>1</v>
      </c>
      <c r="K282" s="243" t="s">
        <v>112</v>
      </c>
      <c r="L282" s="200" t="s">
        <v>1341</v>
      </c>
      <c r="M282" s="213">
        <v>4.2</v>
      </c>
      <c r="N282" s="213"/>
      <c r="O282" s="243" t="str">
        <f>VLOOKUP(Ruimtestaat[[#This Row],[Ruimte code]],Ruimtegroepen[#All],4,FALSE)</f>
        <v>V  (Verkeersruimte)</v>
      </c>
      <c r="P282" s="214"/>
      <c r="Q282" s="215">
        <v>40</v>
      </c>
      <c r="R282" s="215" t="s">
        <v>16</v>
      </c>
      <c r="S282" s="215">
        <f>IF(R282&gt;0,IF(RIGHT(Ruimtestaat[[#This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282" s="215">
        <f>IF(S282&gt;0,VLOOKUP($J282,Ruimtegroepen[],3,FALSE)*VLOOKUP($K282,Vloersoorten[],3,FALSE)*VLOOKUP($R282,Frequenties[],3,FALSE)*VLOOKUP($A282,Locaties[],3,FALSE),0)</f>
        <v>0</v>
      </c>
      <c r="U282" s="215">
        <f>Ruimtestaat[[#This Row],[Uitvoeringen werkdagen]]*Ruimtestaat[[#This Row],[Oppervlak (netto)]]</f>
        <v>50.400000000000006</v>
      </c>
      <c r="V282" s="259">
        <f>IF(T282&gt;0,Ruimtestaat[[#This Row],[Prest. (m2 /jaar) werkdagen]]/Ruimtestaat[[#This Row],[Norm (m2/uur) werkdagen]],0)</f>
        <v>0</v>
      </c>
      <c r="W282" s="260">
        <f>Ruimtestaat[[#This Row],[uren / jaar werkdagen]]*Tariefsopbouw!$D$38</f>
        <v>0</v>
      </c>
      <c r="X282" s="33"/>
      <c r="Y282" s="33">
        <f>IF(Ruimtestaat[[#This Row],[Frequentie weekend]]&gt;0,VALUE(LEFT(X282,1))*Q282,0)</f>
        <v>0</v>
      </c>
      <c r="Z282" s="33">
        <f>IF($Y282&gt;0,VLOOKUP($J282,Ruimtegroepen[],3,FALSE)*VLOOKUP($K282,Vloersoorten[],3,FALSE)*VLOOKUP($X282,Frequenties[],3,FALSE)*VLOOKUP(#REF!,Locaties[],3,FALSE),0)</f>
        <v>0</v>
      </c>
      <c r="AA282" s="33"/>
      <c r="AB282" s="33"/>
      <c r="AC282" s="33">
        <f>Ruimtestaat[[#This Row],[uren / jaar weekend]]*Tariefsopbouw!$D$40</f>
        <v>0</v>
      </c>
      <c r="AD282" s="88">
        <f>Ruimtestaat[[#This Row],[Prest. (m2 /jaar) weekend]]+Ruimtestaat[[#This Row],[Prest. (m2 /jaar) werkdagen]]</f>
        <v>50.400000000000006</v>
      </c>
      <c r="AE282" s="88">
        <f>Ruimtestaat[[#This Row],[uren / jaar weekend]]+Ruimtestaat[[#This Row],[uren / jaar werkdagen]]</f>
        <v>0</v>
      </c>
      <c r="AF282" s="89">
        <f>Ruimtestaat[[#This Row],[kosten / jaar weekend]]+Ruimtestaat[[#This Row],[kosten / jaar werkdagen]]</f>
        <v>0</v>
      </c>
    </row>
    <row r="283" spans="1:32" ht="15" customHeight="1">
      <c r="A283" s="200">
        <v>2</v>
      </c>
      <c r="B283" s="21" t="str">
        <f>VLOOKUP(Ruimtestaat[[#This Row],[Code]],Locaties[#All],2,FALSE)</f>
        <v>Stichting Facilitair Beheer Van Renneslaan</v>
      </c>
      <c r="C283" s="243" t="str">
        <f>VLOOKUP(Ruimtestaat[[#This Row],[Code]],Locaties[#All],4,FALSE)</f>
        <v>Catharina van Renneslaan 35</v>
      </c>
      <c r="D283" s="243" t="str">
        <f>VLOOKUP(Ruimtestaat[[#This Row],[Code]],Locaties[#All],5,FALSE)</f>
        <v>7604 KV</v>
      </c>
      <c r="E283" s="243" t="str">
        <f>VLOOKUP(Ruimtestaat[[#This Row],[Code]],Locaties[#All],6,FALSE)</f>
        <v>Almelo</v>
      </c>
      <c r="F283" s="244"/>
      <c r="G283" s="200" t="s">
        <v>1336</v>
      </c>
      <c r="H283" s="200"/>
      <c r="I283" s="244" t="s">
        <v>1211</v>
      </c>
      <c r="J283" s="243">
        <v>4</v>
      </c>
      <c r="K283" s="243" t="s">
        <v>1040</v>
      </c>
      <c r="L283" s="200" t="s">
        <v>999</v>
      </c>
      <c r="M283" s="213">
        <v>33.9</v>
      </c>
      <c r="N283" s="213"/>
      <c r="O283" s="243" t="str">
        <f>VLOOKUP(Ruimtestaat[[#This Row],[Ruimte code]],Ruimtegroepen[#All],4,FALSE)</f>
        <v>B  (Bureauruimte)</v>
      </c>
      <c r="P283" s="214"/>
      <c r="Q283" s="215">
        <v>40</v>
      </c>
      <c r="R283" s="215" t="s">
        <v>2</v>
      </c>
      <c r="S283" s="215">
        <f>IF(R283&gt;0,IF(RIGHT(Ruimtestaat[[#This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83" s="215">
        <f>IF(S283&gt;0,VLOOKUP($J283,Ruimtegroepen[],3,FALSE)*VLOOKUP($K283,Vloersoorten[],3,FALSE)*VLOOKUP($R283,Frequenties[],3,FALSE)*VLOOKUP($A283,Locaties[],3,FALSE),0)</f>
        <v>0</v>
      </c>
      <c r="U283" s="215">
        <f>Ruimtestaat[[#This Row],[Uitvoeringen werkdagen]]*Ruimtestaat[[#This Row],[Oppervlak (netto)]]</f>
        <v>6780</v>
      </c>
      <c r="V283" s="259">
        <f>IF(T283&gt;0,Ruimtestaat[[#This Row],[Prest. (m2 /jaar) werkdagen]]/Ruimtestaat[[#This Row],[Norm (m2/uur) werkdagen]],0)</f>
        <v>0</v>
      </c>
      <c r="W283" s="260">
        <f>Ruimtestaat[[#This Row],[uren / jaar werkdagen]]*Tariefsopbouw!$D$38</f>
        <v>0</v>
      </c>
      <c r="X283" s="33"/>
      <c r="Y283" s="33">
        <f>IF(Ruimtestaat[[#This Row],[Frequentie weekend]]&gt;0,VALUE(LEFT(X283,1))*Q283,0)</f>
        <v>0</v>
      </c>
      <c r="Z283" s="33">
        <f>IF($Y283&gt;0,VLOOKUP($J283,Ruimtegroepen[],3,FALSE)*VLOOKUP($K283,Vloersoorten[],3,FALSE)*VLOOKUP($X283,Frequenties[],3,FALSE)*VLOOKUP(#REF!,Locaties[],3,FALSE),0)</f>
        <v>0</v>
      </c>
      <c r="AA283" s="33"/>
      <c r="AB283" s="33"/>
      <c r="AC283" s="33">
        <f>Ruimtestaat[[#This Row],[uren / jaar weekend]]*Tariefsopbouw!$D$40</f>
        <v>0</v>
      </c>
      <c r="AD283" s="88">
        <f>Ruimtestaat[[#This Row],[Prest. (m2 /jaar) weekend]]+Ruimtestaat[[#This Row],[Prest. (m2 /jaar) werkdagen]]</f>
        <v>6780</v>
      </c>
      <c r="AE283" s="88">
        <f>Ruimtestaat[[#This Row],[uren / jaar weekend]]+Ruimtestaat[[#This Row],[uren / jaar werkdagen]]</f>
        <v>0</v>
      </c>
      <c r="AF283" s="89">
        <f>Ruimtestaat[[#This Row],[kosten / jaar weekend]]+Ruimtestaat[[#This Row],[kosten / jaar werkdagen]]</f>
        <v>0</v>
      </c>
    </row>
    <row r="284" spans="1:32" ht="15" customHeight="1">
      <c r="A284" s="200">
        <v>2</v>
      </c>
      <c r="B284" s="21" t="str">
        <f>VLOOKUP(Ruimtestaat[[#This Row],[Code]],Locaties[#All],2,FALSE)</f>
        <v>Stichting Facilitair Beheer Van Renneslaan</v>
      </c>
      <c r="C284" s="243" t="str">
        <f>VLOOKUP(Ruimtestaat[[#This Row],[Code]],Locaties[#All],4,FALSE)</f>
        <v>Catharina van Renneslaan 35</v>
      </c>
      <c r="D284" s="243" t="str">
        <f>VLOOKUP(Ruimtestaat[[#This Row],[Code]],Locaties[#All],5,FALSE)</f>
        <v>7604 KV</v>
      </c>
      <c r="E284" s="243" t="str">
        <f>VLOOKUP(Ruimtestaat[[#This Row],[Code]],Locaties[#All],6,FALSE)</f>
        <v>Almelo</v>
      </c>
      <c r="F284" s="244" t="s">
        <v>1343</v>
      </c>
      <c r="G284" s="200" t="s">
        <v>1336</v>
      </c>
      <c r="H284" s="200"/>
      <c r="I284" s="244" t="s">
        <v>1212</v>
      </c>
      <c r="J284" s="243">
        <v>2</v>
      </c>
      <c r="K284" s="243" t="s">
        <v>1040</v>
      </c>
      <c r="L284" s="200" t="s">
        <v>999</v>
      </c>
      <c r="M284" s="213">
        <v>24.1</v>
      </c>
      <c r="N284" s="213"/>
      <c r="O284" s="243" t="str">
        <f>VLOOKUP(Ruimtestaat[[#This Row],[Ruimte code]],Ruimtegroepen[#All],4,FALSE)</f>
        <v>B  (Bureauruimte)</v>
      </c>
      <c r="P284" s="214"/>
      <c r="Q284" s="215">
        <v>40</v>
      </c>
      <c r="R284" s="215" t="s">
        <v>18</v>
      </c>
      <c r="S284" s="215">
        <f>IF(R284&gt;0,IF(RIGHT(Ruimtestaat[[#This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4" s="215">
        <f>IF(S284&gt;0,VLOOKUP($J284,Ruimtegroepen[],3,FALSE)*VLOOKUP($K284,Vloersoorten[],3,FALSE)*VLOOKUP($R284,Frequenties[],3,FALSE)*VLOOKUP($A284,Locaties[],3,FALSE),0)</f>
        <v>0</v>
      </c>
      <c r="U284" s="215">
        <f>Ruimtestaat[[#This Row],[Uitvoeringen werkdagen]]*Ruimtestaat[[#This Row],[Oppervlak (netto)]]</f>
        <v>2892</v>
      </c>
      <c r="V284" s="259">
        <f>IF(T284&gt;0,Ruimtestaat[[#This Row],[Prest. (m2 /jaar) werkdagen]]/Ruimtestaat[[#This Row],[Norm (m2/uur) werkdagen]],0)</f>
        <v>0</v>
      </c>
      <c r="W284" s="260">
        <f>Ruimtestaat[[#This Row],[uren / jaar werkdagen]]*Tariefsopbouw!$D$38</f>
        <v>0</v>
      </c>
      <c r="X284" s="33"/>
      <c r="Y284" s="33">
        <f>IF(Ruimtestaat[[#This Row],[Frequentie weekend]]&gt;0,VALUE(LEFT(X284,1))*Q284,0)</f>
        <v>0</v>
      </c>
      <c r="Z284" s="33">
        <f>IF($Y284&gt;0,VLOOKUP($J284,Ruimtegroepen[],3,FALSE)*VLOOKUP($K284,Vloersoorten[],3,FALSE)*VLOOKUP($X284,Frequenties[],3,FALSE)*VLOOKUP(#REF!,Locaties[],3,FALSE),0)</f>
        <v>0</v>
      </c>
      <c r="AA284" s="33"/>
      <c r="AB284" s="33"/>
      <c r="AC284" s="33">
        <f>Ruimtestaat[[#This Row],[uren / jaar weekend]]*Tariefsopbouw!$D$40</f>
        <v>0</v>
      </c>
      <c r="AD284" s="88">
        <f>Ruimtestaat[[#This Row],[Prest. (m2 /jaar) weekend]]+Ruimtestaat[[#This Row],[Prest. (m2 /jaar) werkdagen]]</f>
        <v>2892</v>
      </c>
      <c r="AE284" s="88">
        <f>Ruimtestaat[[#This Row],[uren / jaar weekend]]+Ruimtestaat[[#This Row],[uren / jaar werkdagen]]</f>
        <v>0</v>
      </c>
      <c r="AF284" s="89">
        <f>Ruimtestaat[[#This Row],[kosten / jaar weekend]]+Ruimtestaat[[#This Row],[kosten / jaar werkdagen]]</f>
        <v>0</v>
      </c>
    </row>
    <row r="285" spans="1:32" ht="15" customHeight="1">
      <c r="A285" s="200">
        <v>2</v>
      </c>
      <c r="B285" s="21" t="str">
        <f>VLOOKUP(Ruimtestaat[[#This Row],[Code]],Locaties[#All],2,FALSE)</f>
        <v>Stichting Facilitair Beheer Van Renneslaan</v>
      </c>
      <c r="C285" s="243" t="str">
        <f>VLOOKUP(Ruimtestaat[[#This Row],[Code]],Locaties[#All],4,FALSE)</f>
        <v>Catharina van Renneslaan 35</v>
      </c>
      <c r="D285" s="243" t="str">
        <f>VLOOKUP(Ruimtestaat[[#This Row],[Code]],Locaties[#All],5,FALSE)</f>
        <v>7604 KV</v>
      </c>
      <c r="E285" s="243" t="str">
        <f>VLOOKUP(Ruimtestaat[[#This Row],[Code]],Locaties[#All],6,FALSE)</f>
        <v>Almelo</v>
      </c>
      <c r="F285" s="244" t="s">
        <v>1343</v>
      </c>
      <c r="G285" s="200" t="s">
        <v>1336</v>
      </c>
      <c r="H285" s="200"/>
      <c r="I285" s="244" t="s">
        <v>1213</v>
      </c>
      <c r="J285" s="200">
        <v>2</v>
      </c>
      <c r="K285" s="243" t="s">
        <v>1040</v>
      </c>
      <c r="L285" s="200" t="s">
        <v>999</v>
      </c>
      <c r="M285" s="213">
        <v>14.8</v>
      </c>
      <c r="N285" s="213"/>
      <c r="O285" s="243" t="str">
        <f>VLOOKUP(Ruimtestaat[[#This Row],[Ruimte code]],Ruimtegroepen[#All],4,FALSE)</f>
        <v>B  (Bureauruimte)</v>
      </c>
      <c r="P285" s="214"/>
      <c r="Q285" s="215">
        <v>40</v>
      </c>
      <c r="R285" s="215" t="s">
        <v>18</v>
      </c>
      <c r="S285" s="215">
        <f>IF(R285&gt;0,IF(RIGHT(Ruimtestaat[[#This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5" s="215">
        <f>IF(S285&gt;0,VLOOKUP($J285,Ruimtegroepen[],3,FALSE)*VLOOKUP($K285,Vloersoorten[],3,FALSE)*VLOOKUP($R285,Frequenties[],3,FALSE)*VLOOKUP($A285,Locaties[],3,FALSE),0)</f>
        <v>0</v>
      </c>
      <c r="U285" s="215">
        <f>Ruimtestaat[[#This Row],[Uitvoeringen werkdagen]]*Ruimtestaat[[#This Row],[Oppervlak (netto)]]</f>
        <v>1776</v>
      </c>
      <c r="V285" s="259">
        <f>IF(T285&gt;0,Ruimtestaat[[#This Row],[Prest. (m2 /jaar) werkdagen]]/Ruimtestaat[[#This Row],[Norm (m2/uur) werkdagen]],0)</f>
        <v>0</v>
      </c>
      <c r="W285" s="260">
        <f>Ruimtestaat[[#This Row],[uren / jaar werkdagen]]*Tariefsopbouw!$D$38</f>
        <v>0</v>
      </c>
      <c r="X285" s="33"/>
      <c r="Y285" s="33">
        <f>IF(Ruimtestaat[[#This Row],[Frequentie weekend]]&gt;0,VALUE(LEFT(X285,1))*Q285,0)</f>
        <v>0</v>
      </c>
      <c r="Z285" s="33">
        <f>IF($Y285&gt;0,VLOOKUP($J285,Ruimtegroepen[],3,FALSE)*VLOOKUP($K285,Vloersoorten[],3,FALSE)*VLOOKUP($X285,Frequenties[],3,FALSE)*VLOOKUP(#REF!,Locaties[],3,FALSE),0)</f>
        <v>0</v>
      </c>
      <c r="AA285" s="33"/>
      <c r="AB285" s="33"/>
      <c r="AC285" s="33">
        <f>Ruimtestaat[[#This Row],[uren / jaar weekend]]*Tariefsopbouw!$D$40</f>
        <v>0</v>
      </c>
      <c r="AD285" s="88">
        <f>Ruimtestaat[[#This Row],[Prest. (m2 /jaar) weekend]]+Ruimtestaat[[#This Row],[Prest. (m2 /jaar) werkdagen]]</f>
        <v>1776</v>
      </c>
      <c r="AE285" s="88">
        <f>Ruimtestaat[[#This Row],[uren / jaar weekend]]+Ruimtestaat[[#This Row],[uren / jaar werkdagen]]</f>
        <v>0</v>
      </c>
      <c r="AF285" s="89">
        <f>Ruimtestaat[[#This Row],[kosten / jaar weekend]]+Ruimtestaat[[#This Row],[kosten / jaar werkdagen]]</f>
        <v>0</v>
      </c>
    </row>
    <row r="286" spans="1:32" ht="15" customHeight="1">
      <c r="A286" s="200">
        <v>2</v>
      </c>
      <c r="B286" s="21" t="str">
        <f>VLOOKUP(Ruimtestaat[[#This Row],[Code]],Locaties[#All],2,FALSE)</f>
        <v>Stichting Facilitair Beheer Van Renneslaan</v>
      </c>
      <c r="C286" s="243" t="str">
        <f>VLOOKUP(Ruimtestaat[[#This Row],[Code]],Locaties[#All],4,FALSE)</f>
        <v>Catharina van Renneslaan 35</v>
      </c>
      <c r="D286" s="243" t="str">
        <f>VLOOKUP(Ruimtestaat[[#This Row],[Code]],Locaties[#All],5,FALSE)</f>
        <v>7604 KV</v>
      </c>
      <c r="E286" s="243" t="str">
        <f>VLOOKUP(Ruimtestaat[[#This Row],[Code]],Locaties[#All],6,FALSE)</f>
        <v>Almelo</v>
      </c>
      <c r="F286" s="244" t="s">
        <v>1343</v>
      </c>
      <c r="G286" s="200" t="s">
        <v>1336</v>
      </c>
      <c r="H286" s="215"/>
      <c r="I286" s="258" t="s">
        <v>1214</v>
      </c>
      <c r="J286" s="200">
        <v>2</v>
      </c>
      <c r="K286" s="243" t="s">
        <v>1040</v>
      </c>
      <c r="L286" s="200" t="s">
        <v>999</v>
      </c>
      <c r="M286" s="213">
        <v>14.8</v>
      </c>
      <c r="N286" s="213"/>
      <c r="O286" s="243" t="str">
        <f>VLOOKUP(Ruimtestaat[[#This Row],[Ruimte code]],Ruimtegroepen[#All],4,FALSE)</f>
        <v>B  (Bureauruimte)</v>
      </c>
      <c r="P286" s="214"/>
      <c r="Q286" s="215">
        <v>40</v>
      </c>
      <c r="R286" s="215" t="s">
        <v>18</v>
      </c>
      <c r="S286" s="215">
        <f>IF(R286&gt;0,IF(RIGHT(Ruimtestaat[[#This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6" s="215">
        <f>IF(S286&gt;0,VLOOKUP($J286,Ruimtegroepen[],3,FALSE)*VLOOKUP($K286,Vloersoorten[],3,FALSE)*VLOOKUP($R286,Frequenties[],3,FALSE)*VLOOKUP($A286,Locaties[],3,FALSE),0)</f>
        <v>0</v>
      </c>
      <c r="U286" s="215">
        <f>Ruimtestaat[[#This Row],[Uitvoeringen werkdagen]]*Ruimtestaat[[#This Row],[Oppervlak (netto)]]</f>
        <v>1776</v>
      </c>
      <c r="V286" s="259">
        <f>IF(T286&gt;0,Ruimtestaat[[#This Row],[Prest. (m2 /jaar) werkdagen]]/Ruimtestaat[[#This Row],[Norm (m2/uur) werkdagen]],0)</f>
        <v>0</v>
      </c>
      <c r="W286" s="260">
        <f>Ruimtestaat[[#This Row],[uren / jaar werkdagen]]*Tariefsopbouw!$D$38</f>
        <v>0</v>
      </c>
      <c r="X286" s="33"/>
      <c r="Y286" s="33">
        <f>IF(Ruimtestaat[[#This Row],[Frequentie weekend]]&gt;0,VALUE(LEFT(X286,1))*Q286,0)</f>
        <v>0</v>
      </c>
      <c r="Z286" s="33">
        <f>IF($Y286&gt;0,VLOOKUP($J286,Ruimtegroepen[],3,FALSE)*VLOOKUP($K286,Vloersoorten[],3,FALSE)*VLOOKUP($X286,Frequenties[],3,FALSE)*VLOOKUP(#REF!,Locaties[],3,FALSE),0)</f>
        <v>0</v>
      </c>
      <c r="AA286" s="33"/>
      <c r="AB286" s="33"/>
      <c r="AC286" s="33">
        <f>Ruimtestaat[[#This Row],[uren / jaar weekend]]*Tariefsopbouw!$D$40</f>
        <v>0</v>
      </c>
      <c r="AD286" s="88">
        <f>Ruimtestaat[[#This Row],[Prest. (m2 /jaar) weekend]]+Ruimtestaat[[#This Row],[Prest. (m2 /jaar) werkdagen]]</f>
        <v>1776</v>
      </c>
      <c r="AE286" s="88">
        <f>Ruimtestaat[[#This Row],[uren / jaar weekend]]+Ruimtestaat[[#This Row],[uren / jaar werkdagen]]</f>
        <v>0</v>
      </c>
      <c r="AF286" s="89">
        <f>Ruimtestaat[[#This Row],[kosten / jaar weekend]]+Ruimtestaat[[#This Row],[kosten / jaar werkdagen]]</f>
        <v>0</v>
      </c>
    </row>
    <row r="287" spans="1:32" ht="15" customHeight="1">
      <c r="A287" s="200">
        <v>2</v>
      </c>
      <c r="B287" s="21" t="str">
        <f>VLOOKUP(Ruimtestaat[[#This Row],[Code]],Locaties[#All],2,FALSE)</f>
        <v>Stichting Facilitair Beheer Van Renneslaan</v>
      </c>
      <c r="C287" s="243" t="str">
        <f>VLOOKUP(Ruimtestaat[[#This Row],[Code]],Locaties[#All],4,FALSE)</f>
        <v>Catharina van Renneslaan 35</v>
      </c>
      <c r="D287" s="243" t="str">
        <f>VLOOKUP(Ruimtestaat[[#This Row],[Code]],Locaties[#All],5,FALSE)</f>
        <v>7604 KV</v>
      </c>
      <c r="E287" s="243" t="str">
        <f>VLOOKUP(Ruimtestaat[[#This Row],[Code]],Locaties[#All],6,FALSE)</f>
        <v>Almelo</v>
      </c>
      <c r="F287" s="244" t="s">
        <v>1343</v>
      </c>
      <c r="G287" s="200" t="s">
        <v>1336</v>
      </c>
      <c r="H287" s="215"/>
      <c r="I287" s="258" t="s">
        <v>1215</v>
      </c>
      <c r="J287" s="200">
        <v>2</v>
      </c>
      <c r="K287" s="243" t="s">
        <v>1040</v>
      </c>
      <c r="L287" s="200" t="s">
        <v>999</v>
      </c>
      <c r="M287" s="213">
        <v>20.6</v>
      </c>
      <c r="N287" s="213"/>
      <c r="O287" s="243" t="str">
        <f>VLOOKUP(Ruimtestaat[[#This Row],[Ruimte code]],Ruimtegroepen[#All],4,FALSE)</f>
        <v>B  (Bureauruimte)</v>
      </c>
      <c r="P287" s="214"/>
      <c r="Q287" s="215">
        <v>40</v>
      </c>
      <c r="R287" s="215" t="s">
        <v>18</v>
      </c>
      <c r="S287" s="215">
        <f>IF(R287&gt;0,IF(RIGHT(Ruimtestaat[[#This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7" s="215">
        <f>IF(S287&gt;0,VLOOKUP($J287,Ruimtegroepen[],3,FALSE)*VLOOKUP($K287,Vloersoorten[],3,FALSE)*VLOOKUP($R287,Frequenties[],3,FALSE)*VLOOKUP($A287,Locaties[],3,FALSE),0)</f>
        <v>0</v>
      </c>
      <c r="U287" s="215">
        <f>Ruimtestaat[[#This Row],[Uitvoeringen werkdagen]]*Ruimtestaat[[#This Row],[Oppervlak (netto)]]</f>
        <v>2472</v>
      </c>
      <c r="V287" s="259">
        <f>IF(T287&gt;0,Ruimtestaat[[#This Row],[Prest. (m2 /jaar) werkdagen]]/Ruimtestaat[[#This Row],[Norm (m2/uur) werkdagen]],0)</f>
        <v>0</v>
      </c>
      <c r="W287" s="260">
        <f>Ruimtestaat[[#This Row],[uren / jaar werkdagen]]*Tariefsopbouw!$D$38</f>
        <v>0</v>
      </c>
      <c r="X287" s="33"/>
      <c r="Y287" s="33">
        <f>IF(Ruimtestaat[[#This Row],[Frequentie weekend]]&gt;0,VALUE(LEFT(X287,1))*Q287,0)</f>
        <v>0</v>
      </c>
      <c r="Z287" s="33">
        <f>IF($Y287&gt;0,VLOOKUP($J287,Ruimtegroepen[],3,FALSE)*VLOOKUP($K287,Vloersoorten[],3,FALSE)*VLOOKUP($X287,Frequenties[],3,FALSE)*VLOOKUP(#REF!,Locaties[],3,FALSE),0)</f>
        <v>0</v>
      </c>
      <c r="AA287" s="33"/>
      <c r="AB287" s="33"/>
      <c r="AC287" s="33">
        <f>Ruimtestaat[[#This Row],[uren / jaar weekend]]*Tariefsopbouw!$D$40</f>
        <v>0</v>
      </c>
      <c r="AD287" s="88">
        <f>Ruimtestaat[[#This Row],[Prest. (m2 /jaar) weekend]]+Ruimtestaat[[#This Row],[Prest. (m2 /jaar) werkdagen]]</f>
        <v>2472</v>
      </c>
      <c r="AE287" s="88">
        <f>Ruimtestaat[[#This Row],[uren / jaar weekend]]+Ruimtestaat[[#This Row],[uren / jaar werkdagen]]</f>
        <v>0</v>
      </c>
      <c r="AF287" s="89">
        <f>Ruimtestaat[[#This Row],[kosten / jaar weekend]]+Ruimtestaat[[#This Row],[kosten / jaar werkdagen]]</f>
        <v>0</v>
      </c>
    </row>
    <row r="288" spans="1:32" ht="15" customHeight="1">
      <c r="A288" s="200">
        <v>2</v>
      </c>
      <c r="B288" s="21" t="str">
        <f>VLOOKUP(Ruimtestaat[[#This Row],[Code]],Locaties[#All],2,FALSE)</f>
        <v>Stichting Facilitair Beheer Van Renneslaan</v>
      </c>
      <c r="C288" s="243" t="str">
        <f>VLOOKUP(Ruimtestaat[[#This Row],[Code]],Locaties[#All],4,FALSE)</f>
        <v>Catharina van Renneslaan 35</v>
      </c>
      <c r="D288" s="243" t="str">
        <f>VLOOKUP(Ruimtestaat[[#This Row],[Code]],Locaties[#All],5,FALSE)</f>
        <v>7604 KV</v>
      </c>
      <c r="E288" s="243" t="str">
        <f>VLOOKUP(Ruimtestaat[[#This Row],[Code]],Locaties[#All],6,FALSE)</f>
        <v>Almelo</v>
      </c>
      <c r="F288" s="244" t="s">
        <v>1342</v>
      </c>
      <c r="G288" s="200" t="s">
        <v>1336</v>
      </c>
      <c r="H288" s="200"/>
      <c r="I288" s="244" t="s">
        <v>1216</v>
      </c>
      <c r="J288" s="243">
        <v>2</v>
      </c>
      <c r="K288" s="243" t="s">
        <v>1040</v>
      </c>
      <c r="L288" s="200" t="s">
        <v>999</v>
      </c>
      <c r="M288" s="213">
        <v>20.6</v>
      </c>
      <c r="N288" s="213"/>
      <c r="O288" s="243" t="str">
        <f>VLOOKUP(Ruimtestaat[[#This Row],[Ruimte code]],Ruimtegroepen[#All],4,FALSE)</f>
        <v>B  (Bureauruimte)</v>
      </c>
      <c r="P288" s="214"/>
      <c r="Q288" s="215">
        <v>40</v>
      </c>
      <c r="R288" s="215" t="s">
        <v>18</v>
      </c>
      <c r="S288" s="215">
        <f>IF(R288&gt;0,IF(RIGHT(Ruimtestaat[[#This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8" s="215">
        <f>IF(S288&gt;0,VLOOKUP($J288,Ruimtegroepen[],3,FALSE)*VLOOKUP($K288,Vloersoorten[],3,FALSE)*VLOOKUP($R288,Frequenties[],3,FALSE)*VLOOKUP($A288,Locaties[],3,FALSE),0)</f>
        <v>0</v>
      </c>
      <c r="U288" s="215">
        <f>Ruimtestaat[[#This Row],[Uitvoeringen werkdagen]]*Ruimtestaat[[#This Row],[Oppervlak (netto)]]</f>
        <v>2472</v>
      </c>
      <c r="V288" s="259">
        <f>IF(T288&gt;0,Ruimtestaat[[#This Row],[Prest. (m2 /jaar) werkdagen]]/Ruimtestaat[[#This Row],[Norm (m2/uur) werkdagen]],0)</f>
        <v>0</v>
      </c>
      <c r="W288" s="260">
        <f>Ruimtestaat[[#This Row],[uren / jaar werkdagen]]*Tariefsopbouw!$D$38</f>
        <v>0</v>
      </c>
      <c r="X288" s="33"/>
      <c r="Y288" s="33">
        <f>IF(Ruimtestaat[[#This Row],[Frequentie weekend]]&gt;0,VALUE(LEFT(X288,1))*Q288,0)</f>
        <v>0</v>
      </c>
      <c r="Z288" s="33">
        <f>IF($Y288&gt;0,VLOOKUP($J288,Ruimtegroepen[],3,FALSE)*VLOOKUP($K288,Vloersoorten[],3,FALSE)*VLOOKUP($X288,Frequenties[],3,FALSE)*VLOOKUP(#REF!,Locaties[],3,FALSE),0)</f>
        <v>0</v>
      </c>
      <c r="AA288" s="33"/>
      <c r="AB288" s="33"/>
      <c r="AC288" s="33">
        <f>Ruimtestaat[[#This Row],[uren / jaar weekend]]*Tariefsopbouw!$D$40</f>
        <v>0</v>
      </c>
      <c r="AD288" s="88">
        <f>Ruimtestaat[[#This Row],[Prest. (m2 /jaar) weekend]]+Ruimtestaat[[#This Row],[Prest. (m2 /jaar) werkdagen]]</f>
        <v>2472</v>
      </c>
      <c r="AE288" s="88">
        <f>Ruimtestaat[[#This Row],[uren / jaar weekend]]+Ruimtestaat[[#This Row],[uren / jaar werkdagen]]</f>
        <v>0</v>
      </c>
      <c r="AF288" s="89">
        <f>Ruimtestaat[[#This Row],[kosten / jaar weekend]]+Ruimtestaat[[#This Row],[kosten / jaar werkdagen]]</f>
        <v>0</v>
      </c>
    </row>
    <row r="289" spans="1:218" ht="15" customHeight="1">
      <c r="A289" s="200">
        <v>2</v>
      </c>
      <c r="B289" s="21" t="str">
        <f>VLOOKUP(Ruimtestaat[[#This Row],[Code]],Locaties[#All],2,FALSE)</f>
        <v>Stichting Facilitair Beheer Van Renneslaan</v>
      </c>
      <c r="C289" s="243" t="str">
        <f>VLOOKUP(Ruimtestaat[[#This Row],[Code]],Locaties[#All],4,FALSE)</f>
        <v>Catharina van Renneslaan 35</v>
      </c>
      <c r="D289" s="243" t="str">
        <f>VLOOKUP(Ruimtestaat[[#This Row],[Code]],Locaties[#All],5,FALSE)</f>
        <v>7604 KV</v>
      </c>
      <c r="E289" s="243" t="str">
        <f>VLOOKUP(Ruimtestaat[[#This Row],[Code]],Locaties[#All],6,FALSE)</f>
        <v>Almelo</v>
      </c>
      <c r="F289" s="244" t="s">
        <v>1342</v>
      </c>
      <c r="G289" s="200" t="s">
        <v>1336</v>
      </c>
      <c r="H289" s="200"/>
      <c r="I289" s="244" t="s">
        <v>1217</v>
      </c>
      <c r="J289" s="263">
        <v>2</v>
      </c>
      <c r="K289" s="243" t="s">
        <v>1040</v>
      </c>
      <c r="L289" s="200" t="s">
        <v>999</v>
      </c>
      <c r="M289" s="213">
        <v>20.6</v>
      </c>
      <c r="N289" s="213"/>
      <c r="O289" s="243" t="str">
        <f>VLOOKUP(Ruimtestaat[[#This Row],[Ruimte code]],Ruimtegroepen[#All],4,FALSE)</f>
        <v>B  (Bureauruimte)</v>
      </c>
      <c r="P289" s="214"/>
      <c r="Q289" s="215">
        <v>40</v>
      </c>
      <c r="R289" s="215" t="s">
        <v>18</v>
      </c>
      <c r="S289" s="215">
        <f>IF(R289&gt;0,IF(RIGHT(Ruimtestaat[[#This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89" s="215">
        <f>IF(S289&gt;0,VLOOKUP($J289,Ruimtegroepen[],3,FALSE)*VLOOKUP($K289,Vloersoorten[],3,FALSE)*VLOOKUP($R289,Frequenties[],3,FALSE)*VLOOKUP($A289,Locaties[],3,FALSE),0)</f>
        <v>0</v>
      </c>
      <c r="U289" s="215">
        <f>Ruimtestaat[[#This Row],[Uitvoeringen werkdagen]]*Ruimtestaat[[#This Row],[Oppervlak (netto)]]</f>
        <v>2472</v>
      </c>
      <c r="V289" s="259">
        <f>IF(T289&gt;0,Ruimtestaat[[#This Row],[Prest. (m2 /jaar) werkdagen]]/Ruimtestaat[[#This Row],[Norm (m2/uur) werkdagen]],0)</f>
        <v>0</v>
      </c>
      <c r="W289" s="260">
        <f>Ruimtestaat[[#This Row],[uren / jaar werkdagen]]*Tariefsopbouw!$D$38</f>
        <v>0</v>
      </c>
      <c r="X289" s="33"/>
      <c r="Y289" s="33">
        <f>IF(Ruimtestaat[[#This Row],[Frequentie weekend]]&gt;0,VALUE(LEFT(X289,1))*Q289,0)</f>
        <v>0</v>
      </c>
      <c r="Z289" s="33">
        <f>IF($Y289&gt;0,VLOOKUP($J289,Ruimtegroepen[],3,FALSE)*VLOOKUP($K289,Vloersoorten[],3,FALSE)*VLOOKUP($X289,Frequenties[],3,FALSE)*VLOOKUP(#REF!,Locaties[],3,FALSE),0)</f>
        <v>0</v>
      </c>
      <c r="AA289" s="33"/>
      <c r="AB289" s="33"/>
      <c r="AC289" s="33">
        <f>Ruimtestaat[[#This Row],[uren / jaar weekend]]*Tariefsopbouw!$D$40</f>
        <v>0</v>
      </c>
      <c r="AD289" s="88">
        <f>Ruimtestaat[[#This Row],[Prest. (m2 /jaar) weekend]]+Ruimtestaat[[#This Row],[Prest. (m2 /jaar) werkdagen]]</f>
        <v>2472</v>
      </c>
      <c r="AE289" s="88">
        <f>Ruimtestaat[[#This Row],[uren / jaar weekend]]+Ruimtestaat[[#This Row],[uren / jaar werkdagen]]</f>
        <v>0</v>
      </c>
      <c r="AF289" s="89">
        <f>Ruimtestaat[[#This Row],[kosten / jaar weekend]]+Ruimtestaat[[#This Row],[kosten / jaar werkdagen]]</f>
        <v>0</v>
      </c>
    </row>
    <row r="290" spans="1:218" ht="15" customHeight="1">
      <c r="A290" s="200">
        <v>2</v>
      </c>
      <c r="B290" s="21" t="str">
        <f>VLOOKUP(Ruimtestaat[[#This Row],[Code]],Locaties[#All],2,FALSE)</f>
        <v>Stichting Facilitair Beheer Van Renneslaan</v>
      </c>
      <c r="C290" s="243" t="str">
        <f>VLOOKUP(Ruimtestaat[[#This Row],[Code]],Locaties[#All],4,FALSE)</f>
        <v>Catharina van Renneslaan 35</v>
      </c>
      <c r="D290" s="243" t="str">
        <f>VLOOKUP(Ruimtestaat[[#This Row],[Code]],Locaties[#All],5,FALSE)</f>
        <v>7604 KV</v>
      </c>
      <c r="E290" s="243" t="str">
        <f>VLOOKUP(Ruimtestaat[[#This Row],[Code]],Locaties[#All],6,FALSE)</f>
        <v>Almelo</v>
      </c>
      <c r="F290" s="244"/>
      <c r="G290" s="200" t="s">
        <v>1336</v>
      </c>
      <c r="H290" s="200"/>
      <c r="I290" s="244" t="s">
        <v>1218</v>
      </c>
      <c r="J290" s="200">
        <v>2</v>
      </c>
      <c r="K290" s="243" t="s">
        <v>1040</v>
      </c>
      <c r="L290" s="200" t="s">
        <v>999</v>
      </c>
      <c r="M290" s="213">
        <v>21</v>
      </c>
      <c r="N290" s="213"/>
      <c r="O290" s="243" t="str">
        <f>VLOOKUP(Ruimtestaat[[#This Row],[Ruimte code]],Ruimtegroepen[#All],4,FALSE)</f>
        <v>B  (Bureauruimte)</v>
      </c>
      <c r="P290" s="214"/>
      <c r="Q290" s="215">
        <v>40</v>
      </c>
      <c r="R290" s="215" t="s">
        <v>18</v>
      </c>
      <c r="S290" s="215">
        <f>IF(R290&gt;0,IF(RIGHT(Ruimtestaat[[#This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0" s="215">
        <f>IF(S290&gt;0,VLOOKUP($J290,Ruimtegroepen[],3,FALSE)*VLOOKUP($K290,Vloersoorten[],3,FALSE)*VLOOKUP($R290,Frequenties[],3,FALSE)*VLOOKUP($A290,Locaties[],3,FALSE),0)</f>
        <v>0</v>
      </c>
      <c r="U290" s="215">
        <f>Ruimtestaat[[#This Row],[Uitvoeringen werkdagen]]*Ruimtestaat[[#This Row],[Oppervlak (netto)]]</f>
        <v>2520</v>
      </c>
      <c r="V290" s="259">
        <f>IF(T290&gt;0,Ruimtestaat[[#This Row],[Prest. (m2 /jaar) werkdagen]]/Ruimtestaat[[#This Row],[Norm (m2/uur) werkdagen]],0)</f>
        <v>0</v>
      </c>
      <c r="W290" s="260">
        <f>Ruimtestaat[[#This Row],[uren / jaar werkdagen]]*Tariefsopbouw!$D$38</f>
        <v>0</v>
      </c>
      <c r="X290" s="33"/>
      <c r="Y290" s="33">
        <f>IF(Ruimtestaat[[#This Row],[Frequentie weekend]]&gt;0,VALUE(LEFT(X290,1))*Q290,0)</f>
        <v>0</v>
      </c>
      <c r="Z290" s="33">
        <f>IF($Y290&gt;0,VLOOKUP($J290,Ruimtegroepen[],3,FALSE)*VLOOKUP($K290,Vloersoorten[],3,FALSE)*VLOOKUP($X290,Frequenties[],3,FALSE)*VLOOKUP(#REF!,Locaties[],3,FALSE),0)</f>
        <v>0</v>
      </c>
      <c r="AA290" s="33"/>
      <c r="AB290" s="33"/>
      <c r="AC290" s="33">
        <f>Ruimtestaat[[#This Row],[uren / jaar weekend]]*Tariefsopbouw!$D$40</f>
        <v>0</v>
      </c>
      <c r="AD290" s="88">
        <f>Ruimtestaat[[#This Row],[Prest. (m2 /jaar) weekend]]+Ruimtestaat[[#This Row],[Prest. (m2 /jaar) werkdagen]]</f>
        <v>2520</v>
      </c>
      <c r="AE290" s="88">
        <f>Ruimtestaat[[#This Row],[uren / jaar weekend]]+Ruimtestaat[[#This Row],[uren / jaar werkdagen]]</f>
        <v>0</v>
      </c>
      <c r="AF290" s="89">
        <f>Ruimtestaat[[#This Row],[kosten / jaar weekend]]+Ruimtestaat[[#This Row],[kosten / jaar werkdagen]]</f>
        <v>0</v>
      </c>
    </row>
    <row r="291" spans="1:218" ht="15" customHeight="1">
      <c r="A291" s="200">
        <v>2</v>
      </c>
      <c r="B291" s="21" t="str">
        <f>VLOOKUP(Ruimtestaat[[#This Row],[Code]],Locaties[#All],2,FALSE)</f>
        <v>Stichting Facilitair Beheer Van Renneslaan</v>
      </c>
      <c r="C291" s="243" t="str">
        <f>VLOOKUP(Ruimtestaat[[#This Row],[Code]],Locaties[#All],4,FALSE)</f>
        <v>Catharina van Renneslaan 35</v>
      </c>
      <c r="D291" s="243" t="str">
        <f>VLOOKUP(Ruimtestaat[[#This Row],[Code]],Locaties[#All],5,FALSE)</f>
        <v>7604 KV</v>
      </c>
      <c r="E291" s="243" t="str">
        <f>VLOOKUP(Ruimtestaat[[#This Row],[Code]],Locaties[#All],6,FALSE)</f>
        <v>Almelo</v>
      </c>
      <c r="F291" s="244" t="s">
        <v>1342</v>
      </c>
      <c r="G291" s="200" t="s">
        <v>1336</v>
      </c>
      <c r="H291" s="200"/>
      <c r="I291" s="244" t="s">
        <v>1219</v>
      </c>
      <c r="J291" s="200">
        <v>2</v>
      </c>
      <c r="K291" s="243" t="s">
        <v>1040</v>
      </c>
      <c r="L291" s="200" t="s">
        <v>999</v>
      </c>
      <c r="M291" s="213">
        <v>39.700000000000003</v>
      </c>
      <c r="N291" s="213"/>
      <c r="O291" s="243" t="str">
        <f>VLOOKUP(Ruimtestaat[[#This Row],[Ruimte code]],Ruimtegroepen[#All],4,FALSE)</f>
        <v>B  (Bureauruimte)</v>
      </c>
      <c r="P291" s="214"/>
      <c r="Q291" s="215">
        <v>40</v>
      </c>
      <c r="R291" s="215" t="s">
        <v>18</v>
      </c>
      <c r="S291" s="215">
        <f>IF(R291&gt;0,IF(RIGHT(Ruimtestaat[[#This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1" s="215">
        <f>IF(S291&gt;0,VLOOKUP($J291,Ruimtegroepen[],3,FALSE)*VLOOKUP($K291,Vloersoorten[],3,FALSE)*VLOOKUP($R291,Frequenties[],3,FALSE)*VLOOKUP($A291,Locaties[],3,FALSE),0)</f>
        <v>0</v>
      </c>
      <c r="U291" s="215">
        <f>Ruimtestaat[[#This Row],[Uitvoeringen werkdagen]]*Ruimtestaat[[#This Row],[Oppervlak (netto)]]</f>
        <v>4764</v>
      </c>
      <c r="V291" s="259">
        <f>IF(T291&gt;0,Ruimtestaat[[#This Row],[Prest. (m2 /jaar) werkdagen]]/Ruimtestaat[[#This Row],[Norm (m2/uur) werkdagen]],0)</f>
        <v>0</v>
      </c>
      <c r="W291" s="260">
        <f>Ruimtestaat[[#This Row],[uren / jaar werkdagen]]*Tariefsopbouw!$D$38</f>
        <v>0</v>
      </c>
      <c r="X291" s="33"/>
      <c r="Y291" s="33">
        <f>IF(Ruimtestaat[[#This Row],[Frequentie weekend]]&gt;0,VALUE(LEFT(X291,1))*Q291,0)</f>
        <v>0</v>
      </c>
      <c r="Z291" s="33">
        <f>IF($Y291&gt;0,VLOOKUP($J291,Ruimtegroepen[],3,FALSE)*VLOOKUP($K291,Vloersoorten[],3,FALSE)*VLOOKUP($X291,Frequenties[],3,FALSE)*VLOOKUP(#REF!,Locaties[],3,FALSE),0)</f>
        <v>0</v>
      </c>
      <c r="AA291" s="33"/>
      <c r="AB291" s="33"/>
      <c r="AC291" s="33">
        <f>Ruimtestaat[[#This Row],[uren / jaar weekend]]*Tariefsopbouw!$D$40</f>
        <v>0</v>
      </c>
      <c r="AD291" s="88">
        <f>Ruimtestaat[[#This Row],[Prest. (m2 /jaar) weekend]]+Ruimtestaat[[#This Row],[Prest. (m2 /jaar) werkdagen]]</f>
        <v>4764</v>
      </c>
      <c r="AE291" s="88">
        <f>Ruimtestaat[[#This Row],[uren / jaar weekend]]+Ruimtestaat[[#This Row],[uren / jaar werkdagen]]</f>
        <v>0</v>
      </c>
      <c r="AF291" s="89">
        <f>Ruimtestaat[[#This Row],[kosten / jaar weekend]]+Ruimtestaat[[#This Row],[kosten / jaar werkdagen]]</f>
        <v>0</v>
      </c>
    </row>
    <row r="292" spans="1:218" ht="15" customHeight="1">
      <c r="A292" s="200">
        <v>2</v>
      </c>
      <c r="B292" s="21" t="str">
        <f>VLOOKUP(Ruimtestaat[[#This Row],[Code]],Locaties[#All],2,FALSE)</f>
        <v>Stichting Facilitair Beheer Van Renneslaan</v>
      </c>
      <c r="C292" s="243" t="str">
        <f>VLOOKUP(Ruimtestaat[[#This Row],[Code]],Locaties[#All],4,FALSE)</f>
        <v>Catharina van Renneslaan 35</v>
      </c>
      <c r="D292" s="243" t="str">
        <f>VLOOKUP(Ruimtestaat[[#This Row],[Code]],Locaties[#All],5,FALSE)</f>
        <v>7604 KV</v>
      </c>
      <c r="E292" s="243" t="str">
        <f>VLOOKUP(Ruimtestaat[[#This Row],[Code]],Locaties[#All],6,FALSE)</f>
        <v>Almelo</v>
      </c>
      <c r="F292" s="244"/>
      <c r="G292" s="200" t="s">
        <v>1336</v>
      </c>
      <c r="H292" s="200"/>
      <c r="I292" s="244" t="s">
        <v>1220</v>
      </c>
      <c r="J292" s="200">
        <v>2</v>
      </c>
      <c r="K292" s="243" t="s">
        <v>1040</v>
      </c>
      <c r="L292" s="200" t="s">
        <v>999</v>
      </c>
      <c r="M292" s="213">
        <v>21.7</v>
      </c>
      <c r="N292" s="213"/>
      <c r="O292" s="243" t="str">
        <f>VLOOKUP(Ruimtestaat[[#This Row],[Ruimte code]],Ruimtegroepen[#All],4,FALSE)</f>
        <v>B  (Bureauruimte)</v>
      </c>
      <c r="P292" s="214"/>
      <c r="Q292" s="215">
        <v>40</v>
      </c>
      <c r="R292" s="215" t="s">
        <v>18</v>
      </c>
      <c r="S292" s="215">
        <f>IF(R292&gt;0,IF(RIGHT(Ruimtestaat[[#This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2" s="215">
        <f>IF(S292&gt;0,VLOOKUP($J292,Ruimtegroepen[],3,FALSE)*VLOOKUP($K292,Vloersoorten[],3,FALSE)*VLOOKUP($R292,Frequenties[],3,FALSE)*VLOOKUP($A292,Locaties[],3,FALSE),0)</f>
        <v>0</v>
      </c>
      <c r="U292" s="215">
        <f>Ruimtestaat[[#This Row],[Uitvoeringen werkdagen]]*Ruimtestaat[[#This Row],[Oppervlak (netto)]]</f>
        <v>2604</v>
      </c>
      <c r="V292" s="259">
        <f>IF(T292&gt;0,Ruimtestaat[[#This Row],[Prest. (m2 /jaar) werkdagen]]/Ruimtestaat[[#This Row],[Norm (m2/uur) werkdagen]],0)</f>
        <v>0</v>
      </c>
      <c r="W292" s="260">
        <f>Ruimtestaat[[#This Row],[uren / jaar werkdagen]]*Tariefsopbouw!$D$38</f>
        <v>0</v>
      </c>
      <c r="X292" s="33"/>
      <c r="Y292" s="33">
        <f>IF(Ruimtestaat[[#This Row],[Frequentie weekend]]&gt;0,VALUE(LEFT(X292,1))*Q292,0)</f>
        <v>0</v>
      </c>
      <c r="Z292" s="33">
        <f>IF($Y292&gt;0,VLOOKUP($J292,Ruimtegroepen[],3,FALSE)*VLOOKUP($K292,Vloersoorten[],3,FALSE)*VLOOKUP($X292,Frequenties[],3,FALSE)*VLOOKUP(#REF!,Locaties[],3,FALSE),0)</f>
        <v>0</v>
      </c>
      <c r="AA292" s="33"/>
      <c r="AB292" s="33"/>
      <c r="AC292" s="33">
        <f>Ruimtestaat[[#This Row],[uren / jaar weekend]]*Tariefsopbouw!$D$40</f>
        <v>0</v>
      </c>
      <c r="AD292" s="88">
        <f>Ruimtestaat[[#This Row],[Prest. (m2 /jaar) weekend]]+Ruimtestaat[[#This Row],[Prest. (m2 /jaar) werkdagen]]</f>
        <v>2604</v>
      </c>
      <c r="AE292" s="88">
        <f>Ruimtestaat[[#This Row],[uren / jaar weekend]]+Ruimtestaat[[#This Row],[uren / jaar werkdagen]]</f>
        <v>0</v>
      </c>
      <c r="AF292" s="89">
        <f>Ruimtestaat[[#This Row],[kosten / jaar weekend]]+Ruimtestaat[[#This Row],[kosten / jaar werkdagen]]</f>
        <v>0</v>
      </c>
    </row>
    <row r="293" spans="1:218" ht="15" customHeight="1">
      <c r="A293" s="200">
        <v>2</v>
      </c>
      <c r="B293" s="21" t="str">
        <f>VLOOKUP(Ruimtestaat[[#This Row],[Code]],Locaties[#All],2,FALSE)</f>
        <v>Stichting Facilitair Beheer Van Renneslaan</v>
      </c>
      <c r="C293" s="243" t="str">
        <f>VLOOKUP(Ruimtestaat[[#This Row],[Code]],Locaties[#All],4,FALSE)</f>
        <v>Catharina van Renneslaan 35</v>
      </c>
      <c r="D293" s="243" t="str">
        <f>VLOOKUP(Ruimtestaat[[#This Row],[Code]],Locaties[#All],5,FALSE)</f>
        <v>7604 KV</v>
      </c>
      <c r="E293" s="243" t="str">
        <f>VLOOKUP(Ruimtestaat[[#This Row],[Code]],Locaties[#All],6,FALSE)</f>
        <v>Almelo</v>
      </c>
      <c r="F293" s="244"/>
      <c r="G293" s="200" t="s">
        <v>1337</v>
      </c>
      <c r="H293" s="200"/>
      <c r="I293" s="244" t="s">
        <v>1221</v>
      </c>
      <c r="J293" s="200">
        <v>6</v>
      </c>
      <c r="K293" s="243" t="s">
        <v>112</v>
      </c>
      <c r="L293" s="200" t="s">
        <v>1341</v>
      </c>
      <c r="M293" s="213">
        <v>32.6</v>
      </c>
      <c r="N293" s="213"/>
      <c r="O293" s="243" t="str">
        <f>VLOOKUP(Ruimtestaat[[#This Row],[Ruimte code]],Ruimtegroepen[#All],4,FALSE)</f>
        <v>V  (Verkeersruimte)</v>
      </c>
      <c r="P293" s="214"/>
      <c r="Q293" s="215">
        <v>40</v>
      </c>
      <c r="R293" s="215" t="s">
        <v>2</v>
      </c>
      <c r="S293" s="215">
        <f>IF(R293&gt;0,IF(RIGHT(Ruimtestaat[[#This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3" s="215">
        <f>IF(S293&gt;0,VLOOKUP($J293,Ruimtegroepen[],3,FALSE)*VLOOKUP($K293,Vloersoorten[],3,FALSE)*VLOOKUP($R293,Frequenties[],3,FALSE)*VLOOKUP($A293,Locaties[],3,FALSE),0)</f>
        <v>0</v>
      </c>
      <c r="U293" s="215">
        <f>Ruimtestaat[[#This Row],[Uitvoeringen werkdagen]]*Ruimtestaat[[#This Row],[Oppervlak (netto)]]</f>
        <v>6520</v>
      </c>
      <c r="V293" s="259">
        <f>IF(T293&gt;0,Ruimtestaat[[#This Row],[Prest. (m2 /jaar) werkdagen]]/Ruimtestaat[[#This Row],[Norm (m2/uur) werkdagen]],0)</f>
        <v>0</v>
      </c>
      <c r="W293" s="260">
        <f>Ruimtestaat[[#This Row],[uren / jaar werkdagen]]*Tariefsopbouw!$D$38</f>
        <v>0</v>
      </c>
      <c r="X293" s="33"/>
      <c r="Y293" s="33">
        <f>IF(Ruimtestaat[[#This Row],[Frequentie weekend]]&gt;0,VALUE(LEFT(X293,1))*Q293,0)</f>
        <v>0</v>
      </c>
      <c r="Z293" s="33">
        <f>IF($Y293&gt;0,VLOOKUP($J293,Ruimtegroepen[],3,FALSE)*VLOOKUP($K293,Vloersoorten[],3,FALSE)*VLOOKUP($X293,Frequenties[],3,FALSE)*VLOOKUP(#REF!,Locaties[],3,FALSE),0)</f>
        <v>0</v>
      </c>
      <c r="AA293" s="33"/>
      <c r="AB293" s="33"/>
      <c r="AC293" s="33">
        <f>Ruimtestaat[[#This Row],[uren / jaar weekend]]*Tariefsopbouw!$D$40</f>
        <v>0</v>
      </c>
      <c r="AD293" s="88">
        <f>Ruimtestaat[[#This Row],[Prest. (m2 /jaar) weekend]]+Ruimtestaat[[#This Row],[Prest. (m2 /jaar) werkdagen]]</f>
        <v>6520</v>
      </c>
      <c r="AE293" s="88">
        <f>Ruimtestaat[[#This Row],[uren / jaar weekend]]+Ruimtestaat[[#This Row],[uren / jaar werkdagen]]</f>
        <v>0</v>
      </c>
      <c r="AF293" s="89">
        <f>Ruimtestaat[[#This Row],[kosten / jaar weekend]]+Ruimtestaat[[#This Row],[kosten / jaar werkdagen]]</f>
        <v>0</v>
      </c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  <c r="BM293" s="4"/>
      <c r="BN293" s="4"/>
      <c r="BO293" s="4"/>
      <c r="BP293" s="4"/>
      <c r="BQ293" s="4"/>
      <c r="BR293" s="4"/>
      <c r="BS293" s="4"/>
      <c r="BT293" s="4"/>
      <c r="BU293" s="4"/>
      <c r="BV293" s="4"/>
      <c r="BW293" s="4"/>
      <c r="BX293" s="4"/>
      <c r="BY293" s="4"/>
      <c r="BZ293" s="4"/>
      <c r="CA293" s="4"/>
      <c r="CB293" s="4"/>
      <c r="CC293" s="4"/>
      <c r="CD293" s="4"/>
      <c r="CE293" s="4"/>
      <c r="CF293" s="4"/>
      <c r="CG293" s="4"/>
      <c r="CH293" s="4"/>
      <c r="CI293" s="4"/>
      <c r="CJ293" s="4"/>
      <c r="CK293" s="4"/>
      <c r="CL293" s="4"/>
      <c r="CM293" s="4"/>
      <c r="CN293" s="4"/>
      <c r="CO293" s="4"/>
      <c r="CP293" s="4"/>
      <c r="CQ293" s="4"/>
      <c r="CR293" s="4"/>
      <c r="CS293" s="4"/>
      <c r="CT293" s="4"/>
      <c r="CU293" s="4"/>
      <c r="CV293" s="4"/>
      <c r="CW293" s="4"/>
      <c r="CX293" s="4"/>
      <c r="CY293" s="4"/>
      <c r="CZ293" s="4"/>
      <c r="DA293" s="4"/>
      <c r="DB293" s="4"/>
      <c r="DC293" s="4"/>
      <c r="DD293" s="4"/>
      <c r="DE293" s="4"/>
      <c r="DF293" s="4"/>
      <c r="DG293" s="4"/>
      <c r="DH293" s="4"/>
      <c r="DI293" s="4"/>
      <c r="DJ293" s="4"/>
      <c r="DK293" s="4"/>
      <c r="DL293" s="4"/>
      <c r="DM293" s="4"/>
      <c r="DN293" s="4"/>
      <c r="DO293" s="4"/>
      <c r="DP293" s="4"/>
      <c r="DQ293" s="4"/>
      <c r="DR293" s="4"/>
      <c r="DS293" s="4"/>
      <c r="DT293" s="4"/>
      <c r="DU293" s="4"/>
      <c r="DV293" s="4"/>
      <c r="DW293" s="4"/>
      <c r="DX293" s="4"/>
      <c r="DY293" s="4"/>
      <c r="DZ293" s="4"/>
      <c r="EA293" s="4"/>
      <c r="EB293" s="4"/>
      <c r="EC293" s="4"/>
      <c r="ED293" s="4"/>
      <c r="EE293" s="4"/>
      <c r="EF293" s="4"/>
      <c r="EG293" s="4"/>
      <c r="EH293" s="4"/>
      <c r="EI293" s="4"/>
      <c r="EJ293" s="4"/>
      <c r="EK293" s="4"/>
      <c r="EL293" s="4"/>
      <c r="EM293" s="4"/>
      <c r="EN293" s="4"/>
      <c r="EO293" s="4"/>
      <c r="EP293" s="4"/>
      <c r="EQ293" s="4"/>
      <c r="ER293" s="4"/>
      <c r="ES293" s="4"/>
      <c r="ET293" s="4"/>
      <c r="EU293" s="4"/>
      <c r="EV293" s="4"/>
      <c r="EW293" s="4"/>
      <c r="EX293" s="4"/>
      <c r="EY293" s="4"/>
      <c r="EZ293" s="4"/>
      <c r="FA293" s="4"/>
      <c r="FB293" s="4"/>
      <c r="FC293" s="4"/>
      <c r="FD293" s="4"/>
      <c r="FE293" s="4"/>
      <c r="FF293" s="4"/>
      <c r="FG293" s="4"/>
      <c r="FH293" s="4"/>
      <c r="FI293" s="4"/>
      <c r="FJ293" s="4"/>
      <c r="FK293" s="4"/>
      <c r="FL293" s="4"/>
      <c r="FM293" s="4"/>
      <c r="FN293" s="4"/>
      <c r="FO293" s="4"/>
      <c r="FP293" s="4"/>
      <c r="FQ293" s="4"/>
      <c r="FR293" s="4"/>
      <c r="FS293" s="4"/>
      <c r="FT293" s="4"/>
      <c r="FU293" s="4"/>
      <c r="FV293" s="4"/>
      <c r="FW293" s="4"/>
      <c r="FX293" s="4"/>
      <c r="FY293" s="4"/>
      <c r="FZ293" s="4"/>
      <c r="GA293" s="4"/>
      <c r="GB293" s="4"/>
      <c r="GC293" s="4"/>
      <c r="GD293" s="4"/>
      <c r="GE293" s="4"/>
      <c r="GF293" s="4"/>
      <c r="GG293" s="4"/>
      <c r="GH293" s="4"/>
      <c r="GI293" s="4"/>
      <c r="GJ293" s="4"/>
      <c r="GK293" s="4"/>
      <c r="GL293" s="4"/>
      <c r="GM293" s="4"/>
      <c r="GN293" s="4"/>
      <c r="GO293" s="4"/>
      <c r="GP293" s="4"/>
      <c r="GQ293" s="4"/>
      <c r="GR293" s="4"/>
      <c r="GS293" s="4"/>
      <c r="GT293" s="4"/>
      <c r="GU293" s="4"/>
      <c r="GV293" s="4"/>
      <c r="GW293" s="4"/>
      <c r="GX293" s="4"/>
      <c r="GY293" s="4"/>
      <c r="GZ293" s="4"/>
      <c r="HA293" s="4"/>
      <c r="HB293" s="4"/>
      <c r="HC293" s="4"/>
      <c r="HD293" s="4"/>
      <c r="HE293" s="4"/>
      <c r="HF293" s="4"/>
      <c r="HG293" s="4"/>
      <c r="HH293" s="4"/>
      <c r="HI293" s="4"/>
      <c r="HJ293" s="4"/>
    </row>
    <row r="294" spans="1:218" ht="15" customHeight="1">
      <c r="A294" s="200">
        <v>2</v>
      </c>
      <c r="B294" s="21" t="str">
        <f>VLOOKUP(Ruimtestaat[[#This Row],[Code]],Locaties[#All],2,FALSE)</f>
        <v>Stichting Facilitair Beheer Van Renneslaan</v>
      </c>
      <c r="C294" s="243" t="str">
        <f>VLOOKUP(Ruimtestaat[[#This Row],[Code]],Locaties[#All],4,FALSE)</f>
        <v>Catharina van Renneslaan 35</v>
      </c>
      <c r="D294" s="243" t="str">
        <f>VLOOKUP(Ruimtestaat[[#This Row],[Code]],Locaties[#All],5,FALSE)</f>
        <v>7604 KV</v>
      </c>
      <c r="E294" s="243" t="str">
        <f>VLOOKUP(Ruimtestaat[[#This Row],[Code]],Locaties[#All],6,FALSE)</f>
        <v>Almelo</v>
      </c>
      <c r="F294" s="244"/>
      <c r="G294" s="200" t="s">
        <v>1337</v>
      </c>
      <c r="H294" s="200"/>
      <c r="I294" s="244" t="s">
        <v>1222</v>
      </c>
      <c r="J294" s="200">
        <v>6</v>
      </c>
      <c r="K294" s="243" t="s">
        <v>112</v>
      </c>
      <c r="L294" s="200" t="s">
        <v>1341</v>
      </c>
      <c r="M294" s="213">
        <v>142</v>
      </c>
      <c r="N294" s="213"/>
      <c r="O294" s="243" t="str">
        <f>VLOOKUP(Ruimtestaat[[#This Row],[Ruimte code]],Ruimtegroepen[#All],4,FALSE)</f>
        <v>V  (Verkeersruimte)</v>
      </c>
      <c r="P294" s="214"/>
      <c r="Q294" s="215">
        <v>40</v>
      </c>
      <c r="R294" s="215" t="s">
        <v>2</v>
      </c>
      <c r="S294" s="215">
        <f>IF(R294&gt;0,IF(RIGHT(Ruimtestaat[[#This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294" s="215">
        <f>IF(S294&gt;0,VLOOKUP($J294,Ruimtegroepen[],3,FALSE)*VLOOKUP($K294,Vloersoorten[],3,FALSE)*VLOOKUP($R294,Frequenties[],3,FALSE)*VLOOKUP($A294,Locaties[],3,FALSE),0)</f>
        <v>0</v>
      </c>
      <c r="U294" s="215">
        <f>Ruimtestaat[[#This Row],[Uitvoeringen werkdagen]]*Ruimtestaat[[#This Row],[Oppervlak (netto)]]</f>
        <v>28400</v>
      </c>
      <c r="V294" s="259">
        <f>IF(T294&gt;0,Ruimtestaat[[#This Row],[Prest. (m2 /jaar) werkdagen]]/Ruimtestaat[[#This Row],[Norm (m2/uur) werkdagen]],0)</f>
        <v>0</v>
      </c>
      <c r="W294" s="260">
        <f>Ruimtestaat[[#This Row],[uren / jaar werkdagen]]*Tariefsopbouw!$D$38</f>
        <v>0</v>
      </c>
      <c r="X294" s="33"/>
      <c r="Y294" s="33">
        <f>IF(Ruimtestaat[[#This Row],[Frequentie weekend]]&gt;0,VALUE(LEFT(X294,1))*Q294,0)</f>
        <v>0</v>
      </c>
      <c r="Z294" s="33">
        <f>IF($Y294&gt;0,VLOOKUP($J294,Ruimtegroepen[],3,FALSE)*VLOOKUP($K294,Vloersoorten[],3,FALSE)*VLOOKUP($X294,Frequenties[],3,FALSE)*VLOOKUP(#REF!,Locaties[],3,FALSE),0)</f>
        <v>0</v>
      </c>
      <c r="AA294" s="33"/>
      <c r="AB294" s="33"/>
      <c r="AC294" s="33">
        <f>Ruimtestaat[[#This Row],[uren / jaar weekend]]*Tariefsopbouw!$D$40</f>
        <v>0</v>
      </c>
      <c r="AD294" s="88">
        <f>Ruimtestaat[[#This Row],[Prest. (m2 /jaar) weekend]]+Ruimtestaat[[#This Row],[Prest. (m2 /jaar) werkdagen]]</f>
        <v>28400</v>
      </c>
      <c r="AE294" s="88">
        <f>Ruimtestaat[[#This Row],[uren / jaar weekend]]+Ruimtestaat[[#This Row],[uren / jaar werkdagen]]</f>
        <v>0</v>
      </c>
      <c r="AF294" s="89">
        <f>Ruimtestaat[[#This Row],[kosten / jaar weekend]]+Ruimtestaat[[#This Row],[kosten / jaar werkdagen]]</f>
        <v>0</v>
      </c>
    </row>
    <row r="295" spans="1:218" ht="15" customHeight="1">
      <c r="A295" s="200">
        <v>2</v>
      </c>
      <c r="B295" s="21" t="str">
        <f>VLOOKUP(Ruimtestaat[[#This Row],[Code]],Locaties[#All],2,FALSE)</f>
        <v>Stichting Facilitair Beheer Van Renneslaan</v>
      </c>
      <c r="C295" s="243" t="str">
        <f>VLOOKUP(Ruimtestaat[[#This Row],[Code]],Locaties[#All],4,FALSE)</f>
        <v>Catharina van Renneslaan 35</v>
      </c>
      <c r="D295" s="243" t="str">
        <f>VLOOKUP(Ruimtestaat[[#This Row],[Code]],Locaties[#All],5,FALSE)</f>
        <v>7604 KV</v>
      </c>
      <c r="E295" s="243" t="str">
        <f>VLOOKUP(Ruimtestaat[[#This Row],[Code]],Locaties[#All],6,FALSE)</f>
        <v>Almelo</v>
      </c>
      <c r="F295" s="244" t="s">
        <v>1343</v>
      </c>
      <c r="G295" s="200" t="s">
        <v>1337</v>
      </c>
      <c r="H295" s="200"/>
      <c r="I295" s="244" t="s">
        <v>1223</v>
      </c>
      <c r="J295" s="200">
        <v>2</v>
      </c>
      <c r="K295" s="243" t="s">
        <v>1040</v>
      </c>
      <c r="L295" s="200" t="s">
        <v>999</v>
      </c>
      <c r="M295" s="213">
        <v>59.2</v>
      </c>
      <c r="N295" s="213"/>
      <c r="O295" s="243" t="str">
        <f>VLOOKUP(Ruimtestaat[[#This Row],[Ruimte code]],Ruimtegroepen[#All],4,FALSE)</f>
        <v>B  (Bureauruimte)</v>
      </c>
      <c r="P295" s="214"/>
      <c r="Q295" s="215">
        <v>40</v>
      </c>
      <c r="R295" s="215" t="s">
        <v>18</v>
      </c>
      <c r="S295" s="215">
        <f>IF(R295&gt;0,IF(RIGHT(Ruimtestaat[[#This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5" s="215">
        <f>IF(S295&gt;0,VLOOKUP($J295,Ruimtegroepen[],3,FALSE)*VLOOKUP($K295,Vloersoorten[],3,FALSE)*VLOOKUP($R295,Frequenties[],3,FALSE)*VLOOKUP($A295,Locaties[],3,FALSE),0)</f>
        <v>0</v>
      </c>
      <c r="U295" s="215">
        <f>Ruimtestaat[[#This Row],[Uitvoeringen werkdagen]]*Ruimtestaat[[#This Row],[Oppervlak (netto)]]</f>
        <v>7104</v>
      </c>
      <c r="V295" s="259">
        <f>IF(T295&gt;0,Ruimtestaat[[#This Row],[Prest. (m2 /jaar) werkdagen]]/Ruimtestaat[[#This Row],[Norm (m2/uur) werkdagen]],0)</f>
        <v>0</v>
      </c>
      <c r="W295" s="260">
        <f>Ruimtestaat[[#This Row],[uren / jaar werkdagen]]*Tariefsopbouw!$D$38</f>
        <v>0</v>
      </c>
      <c r="X295" s="33"/>
      <c r="Y295" s="33">
        <f>IF(Ruimtestaat[[#This Row],[Frequentie weekend]]&gt;0,VALUE(LEFT(X295,1))*Q295,0)</f>
        <v>0</v>
      </c>
      <c r="Z295" s="33">
        <f>IF($Y295&gt;0,VLOOKUP($J295,Ruimtegroepen[],3,FALSE)*VLOOKUP($K295,Vloersoorten[],3,FALSE)*VLOOKUP($X295,Frequenties[],3,FALSE)*VLOOKUP(#REF!,Locaties[],3,FALSE),0)</f>
        <v>0</v>
      </c>
      <c r="AA295" s="33"/>
      <c r="AB295" s="33"/>
      <c r="AC295" s="33">
        <f>Ruimtestaat[[#This Row],[uren / jaar weekend]]*Tariefsopbouw!$D$40</f>
        <v>0</v>
      </c>
      <c r="AD295" s="88">
        <f>Ruimtestaat[[#This Row],[Prest. (m2 /jaar) weekend]]+Ruimtestaat[[#This Row],[Prest. (m2 /jaar) werkdagen]]</f>
        <v>7104</v>
      </c>
      <c r="AE295" s="88">
        <f>Ruimtestaat[[#This Row],[uren / jaar weekend]]+Ruimtestaat[[#This Row],[uren / jaar werkdagen]]</f>
        <v>0</v>
      </c>
      <c r="AF295" s="89">
        <f>Ruimtestaat[[#This Row],[kosten / jaar weekend]]+Ruimtestaat[[#This Row],[kosten / jaar werkdagen]]</f>
        <v>0</v>
      </c>
    </row>
    <row r="296" spans="1:218" ht="15" customHeight="1">
      <c r="A296" s="200">
        <v>2</v>
      </c>
      <c r="B296" s="21" t="str">
        <f>VLOOKUP(Ruimtestaat[[#This Row],[Code]],Locaties[#All],2,FALSE)</f>
        <v>Stichting Facilitair Beheer Van Renneslaan</v>
      </c>
      <c r="C296" s="243" t="str">
        <f>VLOOKUP(Ruimtestaat[[#This Row],[Code]],Locaties[#All],4,FALSE)</f>
        <v>Catharina van Renneslaan 35</v>
      </c>
      <c r="D296" s="243" t="str">
        <f>VLOOKUP(Ruimtestaat[[#This Row],[Code]],Locaties[#All],5,FALSE)</f>
        <v>7604 KV</v>
      </c>
      <c r="E296" s="243" t="str">
        <f>VLOOKUP(Ruimtestaat[[#This Row],[Code]],Locaties[#All],6,FALSE)</f>
        <v>Almelo</v>
      </c>
      <c r="F296" s="244"/>
      <c r="G296" s="200" t="s">
        <v>1337</v>
      </c>
      <c r="H296" s="200"/>
      <c r="I296" s="244" t="s">
        <v>1224</v>
      </c>
      <c r="J296" s="200">
        <v>2</v>
      </c>
      <c r="K296" s="243" t="s">
        <v>112</v>
      </c>
      <c r="L296" s="200" t="s">
        <v>1341</v>
      </c>
      <c r="M296" s="213">
        <v>126</v>
      </c>
      <c r="N296" s="213"/>
      <c r="O296" s="243" t="str">
        <f>VLOOKUP(Ruimtestaat[[#This Row],[Ruimte code]],Ruimtegroepen[#All],4,FALSE)</f>
        <v>B  (Bureauruimte)</v>
      </c>
      <c r="P296" s="214"/>
      <c r="Q296" s="215">
        <v>40</v>
      </c>
      <c r="R296" s="215" t="s">
        <v>18</v>
      </c>
      <c r="S296" s="215">
        <f>IF(R296&gt;0,IF(RIGHT(Ruimtestaat[[#This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6" s="215">
        <f>IF(S296&gt;0,VLOOKUP($J296,Ruimtegroepen[],3,FALSE)*VLOOKUP($K296,Vloersoorten[],3,FALSE)*VLOOKUP($R296,Frequenties[],3,FALSE)*VLOOKUP($A296,Locaties[],3,FALSE),0)</f>
        <v>0</v>
      </c>
      <c r="U296" s="215">
        <f>Ruimtestaat[[#This Row],[Uitvoeringen werkdagen]]*Ruimtestaat[[#This Row],[Oppervlak (netto)]]</f>
        <v>15120</v>
      </c>
      <c r="V296" s="259">
        <f>IF(T296&gt;0,Ruimtestaat[[#This Row],[Prest. (m2 /jaar) werkdagen]]/Ruimtestaat[[#This Row],[Norm (m2/uur) werkdagen]],0)</f>
        <v>0</v>
      </c>
      <c r="W296" s="260">
        <f>Ruimtestaat[[#This Row],[uren / jaar werkdagen]]*Tariefsopbouw!$D$38</f>
        <v>0</v>
      </c>
      <c r="X296" s="33"/>
      <c r="Y296" s="33">
        <f>IF(Ruimtestaat[[#This Row],[Frequentie weekend]]&gt;0,VALUE(LEFT(X296,1))*Q296,0)</f>
        <v>0</v>
      </c>
      <c r="Z296" s="33">
        <f>IF($Y296&gt;0,VLOOKUP($J296,Ruimtegroepen[],3,FALSE)*VLOOKUP($K296,Vloersoorten[],3,FALSE)*VLOOKUP($X296,Frequenties[],3,FALSE)*VLOOKUP(#REF!,Locaties[],3,FALSE),0)</f>
        <v>0</v>
      </c>
      <c r="AA296" s="33"/>
      <c r="AB296" s="33"/>
      <c r="AC296" s="33">
        <f>Ruimtestaat[[#This Row],[uren / jaar weekend]]*Tariefsopbouw!$D$40</f>
        <v>0</v>
      </c>
      <c r="AD296" s="88">
        <f>Ruimtestaat[[#This Row],[Prest. (m2 /jaar) weekend]]+Ruimtestaat[[#This Row],[Prest. (m2 /jaar) werkdagen]]</f>
        <v>15120</v>
      </c>
      <c r="AE296" s="88">
        <f>Ruimtestaat[[#This Row],[uren / jaar weekend]]+Ruimtestaat[[#This Row],[uren / jaar werkdagen]]</f>
        <v>0</v>
      </c>
      <c r="AF296" s="89">
        <f>Ruimtestaat[[#This Row],[kosten / jaar weekend]]+Ruimtestaat[[#This Row],[kosten / jaar werkdagen]]</f>
        <v>0</v>
      </c>
    </row>
    <row r="297" spans="1:218" ht="15" customHeight="1">
      <c r="A297" s="200">
        <v>2</v>
      </c>
      <c r="B297" s="21" t="str">
        <f>VLOOKUP(Ruimtestaat[[#This Row],[Code]],Locaties[#All],2,FALSE)</f>
        <v>Stichting Facilitair Beheer Van Renneslaan</v>
      </c>
      <c r="C297" s="243" t="str">
        <f>VLOOKUP(Ruimtestaat[[#This Row],[Code]],Locaties[#All],4,FALSE)</f>
        <v>Catharina van Renneslaan 35</v>
      </c>
      <c r="D297" s="243" t="str">
        <f>VLOOKUP(Ruimtestaat[[#This Row],[Code]],Locaties[#All],5,FALSE)</f>
        <v>7604 KV</v>
      </c>
      <c r="E297" s="243" t="str">
        <f>VLOOKUP(Ruimtestaat[[#This Row],[Code]],Locaties[#All],6,FALSE)</f>
        <v>Almelo</v>
      </c>
      <c r="F297" s="244"/>
      <c r="G297" s="200" t="s">
        <v>1337</v>
      </c>
      <c r="H297" s="200"/>
      <c r="I297" s="244" t="s">
        <v>1225</v>
      </c>
      <c r="J297" s="263">
        <v>2</v>
      </c>
      <c r="K297" s="243" t="s">
        <v>1040</v>
      </c>
      <c r="L297" s="200" t="s">
        <v>999</v>
      </c>
      <c r="M297" s="213">
        <v>34.5</v>
      </c>
      <c r="N297" s="213"/>
      <c r="O297" s="243" t="str">
        <f>VLOOKUP(Ruimtestaat[[#This Row],[Ruimte code]],Ruimtegroepen[#All],4,FALSE)</f>
        <v>B  (Bureauruimte)</v>
      </c>
      <c r="P297" s="214"/>
      <c r="Q297" s="215">
        <v>40</v>
      </c>
      <c r="R297" s="215" t="s">
        <v>18</v>
      </c>
      <c r="S297" s="215">
        <f>IF(R297&gt;0,IF(RIGHT(Ruimtestaat[[#This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7" s="215">
        <f>IF(S297&gt;0,VLOOKUP($J297,Ruimtegroepen[],3,FALSE)*VLOOKUP($K297,Vloersoorten[],3,FALSE)*VLOOKUP($R297,Frequenties[],3,FALSE)*VLOOKUP($A297,Locaties[],3,FALSE),0)</f>
        <v>0</v>
      </c>
      <c r="U297" s="215">
        <f>Ruimtestaat[[#This Row],[Uitvoeringen werkdagen]]*Ruimtestaat[[#This Row],[Oppervlak (netto)]]</f>
        <v>4140</v>
      </c>
      <c r="V297" s="259">
        <f>IF(T297&gt;0,Ruimtestaat[[#This Row],[Prest. (m2 /jaar) werkdagen]]/Ruimtestaat[[#This Row],[Norm (m2/uur) werkdagen]],0)</f>
        <v>0</v>
      </c>
      <c r="W297" s="260">
        <f>Ruimtestaat[[#This Row],[uren / jaar werkdagen]]*Tariefsopbouw!$D$38</f>
        <v>0</v>
      </c>
      <c r="X297" s="33"/>
      <c r="Y297" s="33">
        <f>IF(Ruimtestaat[[#This Row],[Frequentie weekend]]&gt;0,VALUE(LEFT(X297,1))*Q297,0)</f>
        <v>0</v>
      </c>
      <c r="Z297" s="33">
        <f>IF($Y297&gt;0,VLOOKUP($J297,Ruimtegroepen[],3,FALSE)*VLOOKUP($K297,Vloersoorten[],3,FALSE)*VLOOKUP($X297,Frequenties[],3,FALSE)*VLOOKUP(#REF!,Locaties[],3,FALSE),0)</f>
        <v>0</v>
      </c>
      <c r="AA297" s="33"/>
      <c r="AB297" s="33"/>
      <c r="AC297" s="33">
        <f>Ruimtestaat[[#This Row],[uren / jaar weekend]]*Tariefsopbouw!$D$40</f>
        <v>0</v>
      </c>
      <c r="AD297" s="88">
        <f>Ruimtestaat[[#This Row],[Prest. (m2 /jaar) weekend]]+Ruimtestaat[[#This Row],[Prest. (m2 /jaar) werkdagen]]</f>
        <v>4140</v>
      </c>
      <c r="AE297" s="88">
        <f>Ruimtestaat[[#This Row],[uren / jaar weekend]]+Ruimtestaat[[#This Row],[uren / jaar werkdagen]]</f>
        <v>0</v>
      </c>
      <c r="AF297" s="89">
        <f>Ruimtestaat[[#This Row],[kosten / jaar weekend]]+Ruimtestaat[[#This Row],[kosten / jaar werkdagen]]</f>
        <v>0</v>
      </c>
    </row>
    <row r="298" spans="1:218" ht="15" customHeight="1">
      <c r="A298" s="200">
        <v>2</v>
      </c>
      <c r="B298" s="21" t="str">
        <f>VLOOKUP(Ruimtestaat[[#This Row],[Code]],Locaties[#All],2,FALSE)</f>
        <v>Stichting Facilitair Beheer Van Renneslaan</v>
      </c>
      <c r="C298" s="243" t="str">
        <f>VLOOKUP(Ruimtestaat[[#This Row],[Code]],Locaties[#All],4,FALSE)</f>
        <v>Catharina van Renneslaan 35</v>
      </c>
      <c r="D298" s="243" t="str">
        <f>VLOOKUP(Ruimtestaat[[#This Row],[Code]],Locaties[#All],5,FALSE)</f>
        <v>7604 KV</v>
      </c>
      <c r="E298" s="243" t="str">
        <f>VLOOKUP(Ruimtestaat[[#This Row],[Code]],Locaties[#All],6,FALSE)</f>
        <v>Almelo</v>
      </c>
      <c r="F298" s="244"/>
      <c r="G298" s="200" t="s">
        <v>1337</v>
      </c>
      <c r="H298" s="200"/>
      <c r="I298" s="244" t="s">
        <v>1226</v>
      </c>
      <c r="J298" s="263">
        <v>2</v>
      </c>
      <c r="K298" s="243" t="s">
        <v>1040</v>
      </c>
      <c r="L298" s="200" t="s">
        <v>999</v>
      </c>
      <c r="M298" s="213">
        <v>47</v>
      </c>
      <c r="N298" s="213"/>
      <c r="O298" s="243" t="str">
        <f>VLOOKUP(Ruimtestaat[[#This Row],[Ruimte code]],Ruimtegroepen[#All],4,FALSE)</f>
        <v>B  (Bureauruimte)</v>
      </c>
      <c r="P298" s="214"/>
      <c r="Q298" s="215">
        <v>40</v>
      </c>
      <c r="R298" s="215" t="s">
        <v>18</v>
      </c>
      <c r="S298" s="215">
        <f>IF(R298&gt;0,IF(RIGHT(Ruimtestaat[[#This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8" s="215">
        <f>IF(S298&gt;0,VLOOKUP($J298,Ruimtegroepen[],3,FALSE)*VLOOKUP($K298,Vloersoorten[],3,FALSE)*VLOOKUP($R298,Frequenties[],3,FALSE)*VLOOKUP($A298,Locaties[],3,FALSE),0)</f>
        <v>0</v>
      </c>
      <c r="U298" s="215">
        <f>Ruimtestaat[[#This Row],[Uitvoeringen werkdagen]]*Ruimtestaat[[#This Row],[Oppervlak (netto)]]</f>
        <v>5640</v>
      </c>
      <c r="V298" s="259">
        <f>IF(T298&gt;0,Ruimtestaat[[#This Row],[Prest. (m2 /jaar) werkdagen]]/Ruimtestaat[[#This Row],[Norm (m2/uur) werkdagen]],0)</f>
        <v>0</v>
      </c>
      <c r="W298" s="260">
        <f>Ruimtestaat[[#This Row],[uren / jaar werkdagen]]*Tariefsopbouw!$D$38</f>
        <v>0</v>
      </c>
      <c r="X298" s="33"/>
      <c r="Y298" s="33">
        <f>IF(Ruimtestaat[[#This Row],[Frequentie weekend]]&gt;0,VALUE(LEFT(X298,1))*Q298,0)</f>
        <v>0</v>
      </c>
      <c r="Z298" s="33">
        <f>IF($Y298&gt;0,VLOOKUP($J298,Ruimtegroepen[],3,FALSE)*VLOOKUP($K298,Vloersoorten[],3,FALSE)*VLOOKUP($X298,Frequenties[],3,FALSE)*VLOOKUP(#REF!,Locaties[],3,FALSE),0)</f>
        <v>0</v>
      </c>
      <c r="AA298" s="33"/>
      <c r="AB298" s="33"/>
      <c r="AC298" s="33">
        <f>Ruimtestaat[[#This Row],[uren / jaar weekend]]*Tariefsopbouw!$D$40</f>
        <v>0</v>
      </c>
      <c r="AD298" s="88">
        <f>Ruimtestaat[[#This Row],[Prest. (m2 /jaar) weekend]]+Ruimtestaat[[#This Row],[Prest. (m2 /jaar) werkdagen]]</f>
        <v>5640</v>
      </c>
      <c r="AE298" s="88">
        <f>Ruimtestaat[[#This Row],[uren / jaar weekend]]+Ruimtestaat[[#This Row],[uren / jaar werkdagen]]</f>
        <v>0</v>
      </c>
      <c r="AF298" s="89">
        <f>Ruimtestaat[[#This Row],[kosten / jaar weekend]]+Ruimtestaat[[#This Row],[kosten / jaar werkdagen]]</f>
        <v>0</v>
      </c>
    </row>
    <row r="299" spans="1:218" ht="15" customHeight="1">
      <c r="A299" s="200">
        <v>2</v>
      </c>
      <c r="B299" s="21" t="str">
        <f>VLOOKUP(Ruimtestaat[[#This Row],[Code]],Locaties[#All],2,FALSE)</f>
        <v>Stichting Facilitair Beheer Van Renneslaan</v>
      </c>
      <c r="C299" s="243" t="str">
        <f>VLOOKUP(Ruimtestaat[[#This Row],[Code]],Locaties[#All],4,FALSE)</f>
        <v>Catharina van Renneslaan 35</v>
      </c>
      <c r="D299" s="243" t="str">
        <f>VLOOKUP(Ruimtestaat[[#This Row],[Code]],Locaties[#All],5,FALSE)</f>
        <v>7604 KV</v>
      </c>
      <c r="E299" s="243" t="str">
        <f>VLOOKUP(Ruimtestaat[[#This Row],[Code]],Locaties[#All],6,FALSE)</f>
        <v>Almelo</v>
      </c>
      <c r="F299" s="244"/>
      <c r="G299" s="200" t="s">
        <v>1337</v>
      </c>
      <c r="H299" s="200"/>
      <c r="I299" s="244" t="s">
        <v>1227</v>
      </c>
      <c r="J299" s="200">
        <v>2</v>
      </c>
      <c r="K299" s="243" t="s">
        <v>112</v>
      </c>
      <c r="L299" s="200" t="s">
        <v>1341</v>
      </c>
      <c r="M299" s="213">
        <v>26.9</v>
      </c>
      <c r="N299" s="213"/>
      <c r="O299" s="243" t="str">
        <f>VLOOKUP(Ruimtestaat[[#This Row],[Ruimte code]],Ruimtegroepen[#All],4,FALSE)</f>
        <v>B  (Bureauruimte)</v>
      </c>
      <c r="P299" s="214"/>
      <c r="Q299" s="215">
        <v>40</v>
      </c>
      <c r="R299" s="215" t="s">
        <v>18</v>
      </c>
      <c r="S299" s="215">
        <f>IF(R299&gt;0,IF(RIGHT(Ruimtestaat[[#This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299" s="215">
        <f>IF(S299&gt;0,VLOOKUP($J299,Ruimtegroepen[],3,FALSE)*VLOOKUP($K299,Vloersoorten[],3,FALSE)*VLOOKUP($R299,Frequenties[],3,FALSE)*VLOOKUP($A299,Locaties[],3,FALSE),0)</f>
        <v>0</v>
      </c>
      <c r="U299" s="215">
        <f>Ruimtestaat[[#This Row],[Uitvoeringen werkdagen]]*Ruimtestaat[[#This Row],[Oppervlak (netto)]]</f>
        <v>3228</v>
      </c>
      <c r="V299" s="259">
        <f>IF(T299&gt;0,Ruimtestaat[[#This Row],[Prest. (m2 /jaar) werkdagen]]/Ruimtestaat[[#This Row],[Norm (m2/uur) werkdagen]],0)</f>
        <v>0</v>
      </c>
      <c r="W299" s="260">
        <f>Ruimtestaat[[#This Row],[uren / jaar werkdagen]]*Tariefsopbouw!$D$38</f>
        <v>0</v>
      </c>
      <c r="X299" s="33"/>
      <c r="Y299" s="33">
        <f>IF(Ruimtestaat[[#This Row],[Frequentie weekend]]&gt;0,VALUE(LEFT(X299,1))*Q299,0)</f>
        <v>0</v>
      </c>
      <c r="Z299" s="33">
        <f>IF($Y299&gt;0,VLOOKUP($J299,Ruimtegroepen[],3,FALSE)*VLOOKUP($K299,Vloersoorten[],3,FALSE)*VLOOKUP($X299,Frequenties[],3,FALSE)*VLOOKUP(#REF!,Locaties[],3,FALSE),0)</f>
        <v>0</v>
      </c>
      <c r="AA299" s="33"/>
      <c r="AB299" s="33"/>
      <c r="AC299" s="33">
        <f>Ruimtestaat[[#This Row],[uren / jaar weekend]]*Tariefsopbouw!$D$40</f>
        <v>0</v>
      </c>
      <c r="AD299" s="88">
        <f>Ruimtestaat[[#This Row],[Prest. (m2 /jaar) weekend]]+Ruimtestaat[[#This Row],[Prest. (m2 /jaar) werkdagen]]</f>
        <v>3228</v>
      </c>
      <c r="AE299" s="88">
        <f>Ruimtestaat[[#This Row],[uren / jaar weekend]]+Ruimtestaat[[#This Row],[uren / jaar werkdagen]]</f>
        <v>0</v>
      </c>
      <c r="AF299" s="89">
        <f>Ruimtestaat[[#This Row],[kosten / jaar weekend]]+Ruimtestaat[[#This Row],[kosten / jaar werkdagen]]</f>
        <v>0</v>
      </c>
    </row>
    <row r="300" spans="1:218" ht="15" customHeight="1">
      <c r="A300" s="200">
        <v>2</v>
      </c>
      <c r="B300" s="21" t="str">
        <f>VLOOKUP(Ruimtestaat[[#This Row],[Code]],Locaties[#All],2,FALSE)</f>
        <v>Stichting Facilitair Beheer Van Renneslaan</v>
      </c>
      <c r="C300" s="243" t="str">
        <f>VLOOKUP(Ruimtestaat[[#This Row],[Code]],Locaties[#All],4,FALSE)</f>
        <v>Catharina van Renneslaan 35</v>
      </c>
      <c r="D300" s="243" t="str">
        <f>VLOOKUP(Ruimtestaat[[#This Row],[Code]],Locaties[#All],5,FALSE)</f>
        <v>7604 KV</v>
      </c>
      <c r="E300" s="243" t="str">
        <f>VLOOKUP(Ruimtestaat[[#This Row],[Code]],Locaties[#All],6,FALSE)</f>
        <v>Almelo</v>
      </c>
      <c r="F300" s="244"/>
      <c r="G300" s="200" t="s">
        <v>1337</v>
      </c>
      <c r="H300" s="200"/>
      <c r="I300" s="244" t="s">
        <v>1228</v>
      </c>
      <c r="J300" s="200">
        <v>11</v>
      </c>
      <c r="K300" s="243" t="s">
        <v>112</v>
      </c>
      <c r="L300" s="200" t="s">
        <v>1341</v>
      </c>
      <c r="M300" s="213">
        <v>26.9</v>
      </c>
      <c r="N300" s="213"/>
      <c r="O300" s="243" t="str">
        <f>VLOOKUP(Ruimtestaat[[#This Row],[Ruimte code]],Ruimtegroepen[#All],4,FALSE)</f>
        <v>L  (Lesruimte)</v>
      </c>
      <c r="P300" s="214"/>
      <c r="Q300" s="215">
        <v>40</v>
      </c>
      <c r="R300" s="215" t="s">
        <v>2</v>
      </c>
      <c r="S300" s="215">
        <f>IF(R300&gt;0,IF(RIGHT(Ruimtestaat[[#This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0" s="215">
        <f>IF(S300&gt;0,VLOOKUP($J300,Ruimtegroepen[],3,FALSE)*VLOOKUP($K300,Vloersoorten[],3,FALSE)*VLOOKUP($R300,Frequenties[],3,FALSE)*VLOOKUP($A300,Locaties[],3,FALSE),0)</f>
        <v>0</v>
      </c>
      <c r="U300" s="215">
        <f>Ruimtestaat[[#This Row],[Uitvoeringen werkdagen]]*Ruimtestaat[[#This Row],[Oppervlak (netto)]]</f>
        <v>5380</v>
      </c>
      <c r="V300" s="259">
        <f>IF(T300&gt;0,Ruimtestaat[[#This Row],[Prest. (m2 /jaar) werkdagen]]/Ruimtestaat[[#This Row],[Norm (m2/uur) werkdagen]],0)</f>
        <v>0</v>
      </c>
      <c r="W300" s="260">
        <f>Ruimtestaat[[#This Row],[uren / jaar werkdagen]]*Tariefsopbouw!$D$38</f>
        <v>0</v>
      </c>
      <c r="X300" s="33"/>
      <c r="Y300" s="33">
        <f>IF(Ruimtestaat[[#This Row],[Frequentie weekend]]&gt;0,VALUE(LEFT(X300,1))*Q300,0)</f>
        <v>0</v>
      </c>
      <c r="Z300" s="33">
        <f>IF($Y300&gt;0,VLOOKUP($J300,Ruimtegroepen[],3,FALSE)*VLOOKUP($K300,Vloersoorten[],3,FALSE)*VLOOKUP($X300,Frequenties[],3,FALSE)*VLOOKUP(#REF!,Locaties[],3,FALSE),0)</f>
        <v>0</v>
      </c>
      <c r="AA300" s="33"/>
      <c r="AB300" s="33"/>
      <c r="AC300" s="33">
        <f>Ruimtestaat[[#This Row],[uren / jaar weekend]]*Tariefsopbouw!$D$40</f>
        <v>0</v>
      </c>
      <c r="AD300" s="88">
        <f>Ruimtestaat[[#This Row],[Prest. (m2 /jaar) weekend]]+Ruimtestaat[[#This Row],[Prest. (m2 /jaar) werkdagen]]</f>
        <v>5380</v>
      </c>
      <c r="AE300" s="88">
        <f>Ruimtestaat[[#This Row],[uren / jaar weekend]]+Ruimtestaat[[#This Row],[uren / jaar werkdagen]]</f>
        <v>0</v>
      </c>
      <c r="AF300" s="89">
        <f>Ruimtestaat[[#This Row],[kosten / jaar weekend]]+Ruimtestaat[[#This Row],[kosten / jaar werkdagen]]</f>
        <v>0</v>
      </c>
    </row>
    <row r="301" spans="1:218" ht="15" customHeight="1">
      <c r="A301" s="200">
        <v>2</v>
      </c>
      <c r="B301" s="21" t="str">
        <f>VLOOKUP(Ruimtestaat[[#This Row],[Code]],Locaties[#All],2,FALSE)</f>
        <v>Stichting Facilitair Beheer Van Renneslaan</v>
      </c>
      <c r="C301" s="243" t="str">
        <f>VLOOKUP(Ruimtestaat[[#This Row],[Code]],Locaties[#All],4,FALSE)</f>
        <v>Catharina van Renneslaan 35</v>
      </c>
      <c r="D301" s="243" t="str">
        <f>VLOOKUP(Ruimtestaat[[#This Row],[Code]],Locaties[#All],5,FALSE)</f>
        <v>7604 KV</v>
      </c>
      <c r="E301" s="243" t="str">
        <f>VLOOKUP(Ruimtestaat[[#This Row],[Code]],Locaties[#All],6,FALSE)</f>
        <v>Almelo</v>
      </c>
      <c r="F301" s="244"/>
      <c r="G301" s="200" t="s">
        <v>1337</v>
      </c>
      <c r="H301" s="200"/>
      <c r="I301" s="244" t="s">
        <v>1229</v>
      </c>
      <c r="J301" s="200">
        <v>11</v>
      </c>
      <c r="K301" s="243" t="s">
        <v>112</v>
      </c>
      <c r="L301" s="200" t="s">
        <v>1341</v>
      </c>
      <c r="M301" s="213">
        <v>89.4</v>
      </c>
      <c r="N301" s="213"/>
      <c r="O301" s="243" t="str">
        <f>VLOOKUP(Ruimtestaat[[#This Row],[Ruimte code]],Ruimtegroepen[#All],4,FALSE)</f>
        <v>L  (Lesruimte)</v>
      </c>
      <c r="P301" s="214"/>
      <c r="Q301" s="215">
        <v>40</v>
      </c>
      <c r="R301" s="215" t="s">
        <v>2</v>
      </c>
      <c r="S301" s="215">
        <f>IF(R301&gt;0,IF(RIGHT(Ruimtestaat[[#This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1" s="215">
        <f>IF(S301&gt;0,VLOOKUP($J301,Ruimtegroepen[],3,FALSE)*VLOOKUP($K301,Vloersoorten[],3,FALSE)*VLOOKUP($R301,Frequenties[],3,FALSE)*VLOOKUP($A301,Locaties[],3,FALSE),0)</f>
        <v>0</v>
      </c>
      <c r="U301" s="215">
        <f>Ruimtestaat[[#This Row],[Uitvoeringen werkdagen]]*Ruimtestaat[[#This Row],[Oppervlak (netto)]]</f>
        <v>17880</v>
      </c>
      <c r="V301" s="259">
        <f>IF(T301&gt;0,Ruimtestaat[[#This Row],[Prest. (m2 /jaar) werkdagen]]/Ruimtestaat[[#This Row],[Norm (m2/uur) werkdagen]],0)</f>
        <v>0</v>
      </c>
      <c r="W301" s="260">
        <f>Ruimtestaat[[#This Row],[uren / jaar werkdagen]]*Tariefsopbouw!$D$38</f>
        <v>0</v>
      </c>
      <c r="X301" s="33"/>
      <c r="Y301" s="33">
        <f>IF(Ruimtestaat[[#This Row],[Frequentie weekend]]&gt;0,VALUE(LEFT(X301,1))*Q301,0)</f>
        <v>0</v>
      </c>
      <c r="Z301" s="33">
        <f>IF($Y301&gt;0,VLOOKUP($J301,Ruimtegroepen[],3,FALSE)*VLOOKUP($K301,Vloersoorten[],3,FALSE)*VLOOKUP($X301,Frequenties[],3,FALSE)*VLOOKUP(#REF!,Locaties[],3,FALSE),0)</f>
        <v>0</v>
      </c>
      <c r="AA301" s="33"/>
      <c r="AB301" s="33"/>
      <c r="AC301" s="33">
        <f>Ruimtestaat[[#This Row],[uren / jaar weekend]]*Tariefsopbouw!$D$40</f>
        <v>0</v>
      </c>
      <c r="AD301" s="88">
        <f>Ruimtestaat[[#This Row],[Prest. (m2 /jaar) weekend]]+Ruimtestaat[[#This Row],[Prest. (m2 /jaar) werkdagen]]</f>
        <v>17880</v>
      </c>
      <c r="AE301" s="88">
        <f>Ruimtestaat[[#This Row],[uren / jaar weekend]]+Ruimtestaat[[#This Row],[uren / jaar werkdagen]]</f>
        <v>0</v>
      </c>
      <c r="AF301" s="89">
        <f>Ruimtestaat[[#This Row],[kosten / jaar weekend]]+Ruimtestaat[[#This Row],[kosten / jaar werkdagen]]</f>
        <v>0</v>
      </c>
    </row>
    <row r="302" spans="1:218" ht="15" customHeight="1">
      <c r="A302" s="200">
        <v>2</v>
      </c>
      <c r="B302" s="21" t="str">
        <f>VLOOKUP(Ruimtestaat[[#This Row],[Code]],Locaties[#All],2,FALSE)</f>
        <v>Stichting Facilitair Beheer Van Renneslaan</v>
      </c>
      <c r="C302" s="243" t="str">
        <f>VLOOKUP(Ruimtestaat[[#This Row],[Code]],Locaties[#All],4,FALSE)</f>
        <v>Catharina van Renneslaan 35</v>
      </c>
      <c r="D302" s="243" t="str">
        <f>VLOOKUP(Ruimtestaat[[#This Row],[Code]],Locaties[#All],5,FALSE)</f>
        <v>7604 KV</v>
      </c>
      <c r="E302" s="243" t="str">
        <f>VLOOKUP(Ruimtestaat[[#This Row],[Code]],Locaties[#All],6,FALSE)</f>
        <v>Almelo</v>
      </c>
      <c r="F302" s="244"/>
      <c r="G302" s="200" t="s">
        <v>1337</v>
      </c>
      <c r="H302" s="200"/>
      <c r="I302" s="244" t="s">
        <v>1230</v>
      </c>
      <c r="J302" s="200">
        <v>9</v>
      </c>
      <c r="K302" s="243" t="s">
        <v>1040</v>
      </c>
      <c r="L302" s="200" t="s">
        <v>999</v>
      </c>
      <c r="M302" s="213">
        <v>36.6</v>
      </c>
      <c r="N302" s="213"/>
      <c r="O302" s="243" t="str">
        <f>VLOOKUP(Ruimtestaat[[#This Row],[Ruimte code]],Ruimtegroepen[#All],4,FALSE)</f>
        <v>V  (Verkeersruimte)</v>
      </c>
      <c r="P302" s="214"/>
      <c r="Q302" s="215">
        <v>40</v>
      </c>
      <c r="R302" s="215" t="s">
        <v>2</v>
      </c>
      <c r="S302" s="215">
        <f>IF(R302&gt;0,IF(RIGHT(Ruimtestaat[[#This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2" s="215">
        <f>IF(S302&gt;0,VLOOKUP($J302,Ruimtegroepen[],3,FALSE)*VLOOKUP($K302,Vloersoorten[],3,FALSE)*VLOOKUP($R302,Frequenties[],3,FALSE)*VLOOKUP($A302,Locaties[],3,FALSE),0)</f>
        <v>0</v>
      </c>
      <c r="U302" s="215">
        <f>Ruimtestaat[[#This Row],[Uitvoeringen werkdagen]]*Ruimtestaat[[#This Row],[Oppervlak (netto)]]</f>
        <v>7320</v>
      </c>
      <c r="V302" s="259">
        <f>IF(T302&gt;0,Ruimtestaat[[#This Row],[Prest. (m2 /jaar) werkdagen]]/Ruimtestaat[[#This Row],[Norm (m2/uur) werkdagen]],0)</f>
        <v>0</v>
      </c>
      <c r="W302" s="260">
        <f>Ruimtestaat[[#This Row],[uren / jaar werkdagen]]*Tariefsopbouw!$D$38</f>
        <v>0</v>
      </c>
      <c r="X302" s="33"/>
      <c r="Y302" s="33">
        <f>IF(Ruimtestaat[[#This Row],[Frequentie weekend]]&gt;0,VALUE(LEFT(X302,1))*Q302,0)</f>
        <v>0</v>
      </c>
      <c r="Z302" s="33">
        <f>IF($Y302&gt;0,VLOOKUP($J302,Ruimtegroepen[],3,FALSE)*VLOOKUP($K302,Vloersoorten[],3,FALSE)*VLOOKUP($X302,Frequenties[],3,FALSE)*VLOOKUP(#REF!,Locaties[],3,FALSE),0)</f>
        <v>0</v>
      </c>
      <c r="AA302" s="33"/>
      <c r="AB302" s="33"/>
      <c r="AC302" s="33">
        <f>Ruimtestaat[[#This Row],[uren / jaar weekend]]*Tariefsopbouw!$D$40</f>
        <v>0</v>
      </c>
      <c r="AD302" s="88">
        <f>Ruimtestaat[[#This Row],[Prest. (m2 /jaar) weekend]]+Ruimtestaat[[#This Row],[Prest. (m2 /jaar) werkdagen]]</f>
        <v>7320</v>
      </c>
      <c r="AE302" s="88">
        <f>Ruimtestaat[[#This Row],[uren / jaar weekend]]+Ruimtestaat[[#This Row],[uren / jaar werkdagen]]</f>
        <v>0</v>
      </c>
      <c r="AF302" s="89">
        <f>Ruimtestaat[[#This Row],[kosten / jaar weekend]]+Ruimtestaat[[#This Row],[kosten / jaar werkdagen]]</f>
        <v>0</v>
      </c>
    </row>
    <row r="303" spans="1:218" ht="15" customHeight="1">
      <c r="A303" s="200">
        <v>2</v>
      </c>
      <c r="B303" s="21" t="str">
        <f>VLOOKUP(Ruimtestaat[[#This Row],[Code]],Locaties[#All],2,FALSE)</f>
        <v>Stichting Facilitair Beheer Van Renneslaan</v>
      </c>
      <c r="C303" s="243" t="str">
        <f>VLOOKUP(Ruimtestaat[[#This Row],[Code]],Locaties[#All],4,FALSE)</f>
        <v>Catharina van Renneslaan 35</v>
      </c>
      <c r="D303" s="243" t="str">
        <f>VLOOKUP(Ruimtestaat[[#This Row],[Code]],Locaties[#All],5,FALSE)</f>
        <v>7604 KV</v>
      </c>
      <c r="E303" s="243" t="str">
        <f>VLOOKUP(Ruimtestaat[[#This Row],[Code]],Locaties[#All],6,FALSE)</f>
        <v>Almelo</v>
      </c>
      <c r="F303" s="244"/>
      <c r="G303" s="200" t="s">
        <v>1337</v>
      </c>
      <c r="H303" s="200"/>
      <c r="I303" s="244" t="s">
        <v>1231</v>
      </c>
      <c r="J303" s="243">
        <v>5</v>
      </c>
      <c r="K303" s="243" t="s">
        <v>111</v>
      </c>
      <c r="L303" s="200" t="s">
        <v>1340</v>
      </c>
      <c r="M303" s="213">
        <v>31</v>
      </c>
      <c r="N303" s="213"/>
      <c r="O303" s="243" t="str">
        <f>VLOOKUP(Ruimtestaat[[#This Row],[Ruimte code]],Ruimtegroepen[#All],4,FALSE)</f>
        <v>S  (Sanitair)</v>
      </c>
      <c r="P303" s="214"/>
      <c r="Q303" s="215">
        <v>40</v>
      </c>
      <c r="R303" s="215" t="s">
        <v>2</v>
      </c>
      <c r="S303" s="215">
        <f>IF(R303&gt;0,IF(RIGHT(Ruimtestaat[[#This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3" s="215">
        <f>IF(S303&gt;0,VLOOKUP($J303,Ruimtegroepen[],3,FALSE)*VLOOKUP($K303,Vloersoorten[],3,FALSE)*VLOOKUP($R303,Frequenties[],3,FALSE)*VLOOKUP($A303,Locaties[],3,FALSE),0)</f>
        <v>0</v>
      </c>
      <c r="U303" s="215">
        <f>Ruimtestaat[[#This Row],[Uitvoeringen werkdagen]]*Ruimtestaat[[#This Row],[Oppervlak (netto)]]</f>
        <v>6200</v>
      </c>
      <c r="V303" s="259">
        <f>IF(T303&gt;0,Ruimtestaat[[#This Row],[Prest. (m2 /jaar) werkdagen]]/Ruimtestaat[[#This Row],[Norm (m2/uur) werkdagen]],0)</f>
        <v>0</v>
      </c>
      <c r="W303" s="260">
        <f>Ruimtestaat[[#This Row],[uren / jaar werkdagen]]*Tariefsopbouw!$D$38</f>
        <v>0</v>
      </c>
      <c r="X303" s="33"/>
      <c r="Y303" s="33">
        <f>IF(Ruimtestaat[[#This Row],[Frequentie weekend]]&gt;0,VALUE(LEFT(X303,1))*Q303,0)</f>
        <v>0</v>
      </c>
      <c r="Z303" s="33">
        <f>IF($Y303&gt;0,VLOOKUP($J303,Ruimtegroepen[],3,FALSE)*VLOOKUP($K303,Vloersoorten[],3,FALSE)*VLOOKUP($X303,Frequenties[],3,FALSE)*VLOOKUP(#REF!,Locaties[],3,FALSE),0)</f>
        <v>0</v>
      </c>
      <c r="AA303" s="33"/>
      <c r="AB303" s="33"/>
      <c r="AC303" s="33">
        <f>Ruimtestaat[[#This Row],[uren / jaar weekend]]*Tariefsopbouw!$D$40</f>
        <v>0</v>
      </c>
      <c r="AD303" s="88">
        <f>Ruimtestaat[[#This Row],[Prest. (m2 /jaar) weekend]]+Ruimtestaat[[#This Row],[Prest. (m2 /jaar) werkdagen]]</f>
        <v>6200</v>
      </c>
      <c r="AE303" s="88">
        <f>Ruimtestaat[[#This Row],[uren / jaar weekend]]+Ruimtestaat[[#This Row],[uren / jaar werkdagen]]</f>
        <v>0</v>
      </c>
      <c r="AF303" s="89">
        <f>Ruimtestaat[[#This Row],[kosten / jaar weekend]]+Ruimtestaat[[#This Row],[kosten / jaar werkdagen]]</f>
        <v>0</v>
      </c>
    </row>
    <row r="304" spans="1:218" ht="15" customHeight="1">
      <c r="A304" s="200">
        <v>2</v>
      </c>
      <c r="B304" s="21" t="str">
        <f>VLOOKUP(Ruimtestaat[[#This Row],[Code]],Locaties[#All],2,FALSE)</f>
        <v>Stichting Facilitair Beheer Van Renneslaan</v>
      </c>
      <c r="C304" s="243" t="str">
        <f>VLOOKUP(Ruimtestaat[[#This Row],[Code]],Locaties[#All],4,FALSE)</f>
        <v>Catharina van Renneslaan 35</v>
      </c>
      <c r="D304" s="243" t="str">
        <f>VLOOKUP(Ruimtestaat[[#This Row],[Code]],Locaties[#All],5,FALSE)</f>
        <v>7604 KV</v>
      </c>
      <c r="E304" s="243" t="str">
        <f>VLOOKUP(Ruimtestaat[[#This Row],[Code]],Locaties[#All],6,FALSE)</f>
        <v>Almelo</v>
      </c>
      <c r="F304" s="244"/>
      <c r="G304" s="200" t="s">
        <v>1337</v>
      </c>
      <c r="H304" s="200"/>
      <c r="I304" s="244" t="s">
        <v>1232</v>
      </c>
      <c r="J304" s="200">
        <v>10</v>
      </c>
      <c r="K304" s="243" t="s">
        <v>111</v>
      </c>
      <c r="L304" s="200" t="s">
        <v>1339</v>
      </c>
      <c r="M304" s="213">
        <v>7.5</v>
      </c>
      <c r="N304" s="213"/>
      <c r="O304" s="243" t="str">
        <f>VLOOKUP(Ruimtestaat[[#This Row],[Ruimte code]],Ruimtegroepen[#All],4,FALSE)</f>
        <v>V  (Verkeersruimte)</v>
      </c>
      <c r="P304" s="214"/>
      <c r="Q304" s="215">
        <v>40</v>
      </c>
      <c r="R304" s="215" t="s">
        <v>2</v>
      </c>
      <c r="S304" s="215">
        <f>IF(R304&gt;0,IF(RIGHT(Ruimtestaat[[#This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4" s="215">
        <f>IF(S304&gt;0,VLOOKUP($J304,Ruimtegroepen[],3,FALSE)*VLOOKUP($K304,Vloersoorten[],3,FALSE)*VLOOKUP($R304,Frequenties[],3,FALSE)*VLOOKUP($A304,Locaties[],3,FALSE),0)</f>
        <v>0</v>
      </c>
      <c r="U304" s="215">
        <f>Ruimtestaat[[#This Row],[Uitvoeringen werkdagen]]*Ruimtestaat[[#This Row],[Oppervlak (netto)]]</f>
        <v>1500</v>
      </c>
      <c r="V304" s="259">
        <f>IF(T304&gt;0,Ruimtestaat[[#This Row],[Prest. (m2 /jaar) werkdagen]]/Ruimtestaat[[#This Row],[Norm (m2/uur) werkdagen]],0)</f>
        <v>0</v>
      </c>
      <c r="W304" s="260">
        <f>Ruimtestaat[[#This Row],[uren / jaar werkdagen]]*Tariefsopbouw!$D$38</f>
        <v>0</v>
      </c>
      <c r="X304" s="33"/>
      <c r="Y304" s="33">
        <f>IF(Ruimtestaat[[#This Row],[Frequentie weekend]]&gt;0,VALUE(LEFT(X304,1))*Q304,0)</f>
        <v>0</v>
      </c>
      <c r="Z304" s="33">
        <f>IF($Y304&gt;0,VLOOKUP($J304,Ruimtegroepen[],3,FALSE)*VLOOKUP($K304,Vloersoorten[],3,FALSE)*VLOOKUP($X304,Frequenties[],3,FALSE)*VLOOKUP(#REF!,Locaties[],3,FALSE),0)</f>
        <v>0</v>
      </c>
      <c r="AA304" s="33"/>
      <c r="AB304" s="33"/>
      <c r="AC304" s="33">
        <f>Ruimtestaat[[#This Row],[uren / jaar weekend]]*Tariefsopbouw!$D$40</f>
        <v>0</v>
      </c>
      <c r="AD304" s="88">
        <f>Ruimtestaat[[#This Row],[Prest. (m2 /jaar) weekend]]+Ruimtestaat[[#This Row],[Prest. (m2 /jaar) werkdagen]]</f>
        <v>1500</v>
      </c>
      <c r="AE304" s="88">
        <f>Ruimtestaat[[#This Row],[uren / jaar weekend]]+Ruimtestaat[[#This Row],[uren / jaar werkdagen]]</f>
        <v>0</v>
      </c>
      <c r="AF304" s="89">
        <f>Ruimtestaat[[#This Row],[kosten / jaar weekend]]+Ruimtestaat[[#This Row],[kosten / jaar werkdagen]]</f>
        <v>0</v>
      </c>
    </row>
    <row r="305" spans="1:32" ht="15" customHeight="1">
      <c r="A305" s="200">
        <v>2</v>
      </c>
      <c r="B305" s="21" t="str">
        <f>VLOOKUP(Ruimtestaat[[#This Row],[Code]],Locaties[#All],2,FALSE)</f>
        <v>Stichting Facilitair Beheer Van Renneslaan</v>
      </c>
      <c r="C305" s="243" t="str">
        <f>VLOOKUP(Ruimtestaat[[#This Row],[Code]],Locaties[#All],4,FALSE)</f>
        <v>Catharina van Renneslaan 35</v>
      </c>
      <c r="D305" s="243" t="str">
        <f>VLOOKUP(Ruimtestaat[[#This Row],[Code]],Locaties[#All],5,FALSE)</f>
        <v>7604 KV</v>
      </c>
      <c r="E305" s="243" t="str">
        <f>VLOOKUP(Ruimtestaat[[#This Row],[Code]],Locaties[#All],6,FALSE)</f>
        <v>Almelo</v>
      </c>
      <c r="F305" s="244" t="s">
        <v>1342</v>
      </c>
      <c r="G305" s="200" t="s">
        <v>1337</v>
      </c>
      <c r="H305" s="200"/>
      <c r="I305" s="244" t="s">
        <v>1233</v>
      </c>
      <c r="J305" s="200">
        <v>16</v>
      </c>
      <c r="K305" s="243" t="s">
        <v>1040</v>
      </c>
      <c r="L305" s="200" t="s">
        <v>999</v>
      </c>
      <c r="M305" s="213">
        <v>260.2</v>
      </c>
      <c r="N305" s="213"/>
      <c r="O305" s="243" t="str">
        <f>VLOOKUP(Ruimtestaat[[#This Row],[Ruimte code]],Ruimtegroepen[#All],4,FALSE)</f>
        <v>L  (Lesruimte)</v>
      </c>
      <c r="P305" s="214"/>
      <c r="Q305" s="215">
        <v>40</v>
      </c>
      <c r="R305" s="215" t="s">
        <v>2</v>
      </c>
      <c r="S305" s="215">
        <f>IF(R305&gt;0,IF(RIGHT(Ruimtestaat[[#This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5" s="215">
        <f>IF(S305&gt;0,VLOOKUP($J305,Ruimtegroepen[],3,FALSE)*VLOOKUP($K305,Vloersoorten[],3,FALSE)*VLOOKUP($R305,Frequenties[],3,FALSE)*VLOOKUP($A305,Locaties[],3,FALSE),0)</f>
        <v>0</v>
      </c>
      <c r="U305" s="215">
        <f>Ruimtestaat[[#This Row],[Uitvoeringen werkdagen]]*Ruimtestaat[[#This Row],[Oppervlak (netto)]]</f>
        <v>52040</v>
      </c>
      <c r="V305" s="259">
        <f>IF(T305&gt;0,Ruimtestaat[[#This Row],[Prest. (m2 /jaar) werkdagen]]/Ruimtestaat[[#This Row],[Norm (m2/uur) werkdagen]],0)</f>
        <v>0</v>
      </c>
      <c r="W305" s="260">
        <f>Ruimtestaat[[#This Row],[uren / jaar werkdagen]]*Tariefsopbouw!$D$38</f>
        <v>0</v>
      </c>
      <c r="X305" s="33"/>
      <c r="Y305" s="33">
        <f>IF(Ruimtestaat[[#This Row],[Frequentie weekend]]&gt;0,VALUE(LEFT(X305,1))*Q305,0)</f>
        <v>0</v>
      </c>
      <c r="Z305" s="33">
        <f>IF($Y305&gt;0,VLOOKUP($J305,Ruimtegroepen[],3,FALSE)*VLOOKUP($K305,Vloersoorten[],3,FALSE)*VLOOKUP($X305,Frequenties[],3,FALSE)*VLOOKUP(#REF!,Locaties[],3,FALSE),0)</f>
        <v>0</v>
      </c>
      <c r="AA305" s="33"/>
      <c r="AB305" s="33"/>
      <c r="AC305" s="33">
        <f>Ruimtestaat[[#This Row],[uren / jaar weekend]]*Tariefsopbouw!$D$40</f>
        <v>0</v>
      </c>
      <c r="AD305" s="88">
        <f>Ruimtestaat[[#This Row],[Prest. (m2 /jaar) weekend]]+Ruimtestaat[[#This Row],[Prest. (m2 /jaar) werkdagen]]</f>
        <v>52040</v>
      </c>
      <c r="AE305" s="88">
        <f>Ruimtestaat[[#This Row],[uren / jaar weekend]]+Ruimtestaat[[#This Row],[uren / jaar werkdagen]]</f>
        <v>0</v>
      </c>
      <c r="AF305" s="89">
        <f>Ruimtestaat[[#This Row],[kosten / jaar weekend]]+Ruimtestaat[[#This Row],[kosten / jaar werkdagen]]</f>
        <v>0</v>
      </c>
    </row>
    <row r="306" spans="1:32" ht="15" customHeight="1">
      <c r="A306" s="200">
        <v>2</v>
      </c>
      <c r="B306" s="21" t="str">
        <f>VLOOKUP(Ruimtestaat[[#This Row],[Code]],Locaties[#All],2,FALSE)</f>
        <v>Stichting Facilitair Beheer Van Renneslaan</v>
      </c>
      <c r="C306" s="243" t="str">
        <f>VLOOKUP(Ruimtestaat[[#This Row],[Code]],Locaties[#All],4,FALSE)</f>
        <v>Catharina van Renneslaan 35</v>
      </c>
      <c r="D306" s="243" t="str">
        <f>VLOOKUP(Ruimtestaat[[#This Row],[Code]],Locaties[#All],5,FALSE)</f>
        <v>7604 KV</v>
      </c>
      <c r="E306" s="243" t="str">
        <f>VLOOKUP(Ruimtestaat[[#This Row],[Code]],Locaties[#All],6,FALSE)</f>
        <v>Almelo</v>
      </c>
      <c r="F306" s="244" t="s">
        <v>1342</v>
      </c>
      <c r="G306" s="200" t="s">
        <v>1337</v>
      </c>
      <c r="H306" s="200"/>
      <c r="I306" s="244" t="s">
        <v>1234</v>
      </c>
      <c r="J306" s="200">
        <v>2</v>
      </c>
      <c r="K306" s="243" t="s">
        <v>1040</v>
      </c>
      <c r="L306" s="200" t="s">
        <v>999</v>
      </c>
      <c r="M306" s="213">
        <v>21.2</v>
      </c>
      <c r="N306" s="213"/>
      <c r="O306" s="243" t="str">
        <f>VLOOKUP(Ruimtestaat[[#This Row],[Ruimte code]],Ruimtegroepen[#All],4,FALSE)</f>
        <v>B  (Bureauruimte)</v>
      </c>
      <c r="P306" s="214"/>
      <c r="Q306" s="215">
        <v>40</v>
      </c>
      <c r="R306" s="215" t="s">
        <v>18</v>
      </c>
      <c r="S306" s="215">
        <f>IF(R306&gt;0,IF(RIGHT(Ruimtestaat[[#This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06" s="215">
        <f>IF(S306&gt;0,VLOOKUP($J306,Ruimtegroepen[],3,FALSE)*VLOOKUP($K306,Vloersoorten[],3,FALSE)*VLOOKUP($R306,Frequenties[],3,FALSE)*VLOOKUP($A306,Locaties[],3,FALSE),0)</f>
        <v>0</v>
      </c>
      <c r="U306" s="215">
        <f>Ruimtestaat[[#This Row],[Uitvoeringen werkdagen]]*Ruimtestaat[[#This Row],[Oppervlak (netto)]]</f>
        <v>2544</v>
      </c>
      <c r="V306" s="259">
        <f>IF(T306&gt;0,Ruimtestaat[[#This Row],[Prest. (m2 /jaar) werkdagen]]/Ruimtestaat[[#This Row],[Norm (m2/uur) werkdagen]],0)</f>
        <v>0</v>
      </c>
      <c r="W306" s="260">
        <f>Ruimtestaat[[#This Row],[uren / jaar werkdagen]]*Tariefsopbouw!$D$38</f>
        <v>0</v>
      </c>
      <c r="X306" s="33"/>
      <c r="Y306" s="33">
        <f>IF(Ruimtestaat[[#This Row],[Frequentie weekend]]&gt;0,VALUE(LEFT(X306,1))*Q306,0)</f>
        <v>0</v>
      </c>
      <c r="Z306" s="33">
        <f>IF($Y306&gt;0,VLOOKUP($J306,Ruimtegroepen[],3,FALSE)*VLOOKUP($K306,Vloersoorten[],3,FALSE)*VLOOKUP($X306,Frequenties[],3,FALSE)*VLOOKUP(#REF!,Locaties[],3,FALSE),0)</f>
        <v>0</v>
      </c>
      <c r="AA306" s="33"/>
      <c r="AB306" s="33"/>
      <c r="AC306" s="33">
        <f>Ruimtestaat[[#This Row],[uren / jaar weekend]]*Tariefsopbouw!$D$40</f>
        <v>0</v>
      </c>
      <c r="AD306" s="88">
        <f>Ruimtestaat[[#This Row],[Prest. (m2 /jaar) weekend]]+Ruimtestaat[[#This Row],[Prest. (m2 /jaar) werkdagen]]</f>
        <v>2544</v>
      </c>
      <c r="AE306" s="88">
        <f>Ruimtestaat[[#This Row],[uren / jaar weekend]]+Ruimtestaat[[#This Row],[uren / jaar werkdagen]]</f>
        <v>0</v>
      </c>
      <c r="AF306" s="89">
        <f>Ruimtestaat[[#This Row],[kosten / jaar weekend]]+Ruimtestaat[[#This Row],[kosten / jaar werkdagen]]</f>
        <v>0</v>
      </c>
    </row>
    <row r="307" spans="1:32" ht="15" customHeight="1">
      <c r="A307" s="200">
        <v>2</v>
      </c>
      <c r="B307" s="21" t="str">
        <f>VLOOKUP(Ruimtestaat[[#This Row],[Code]],Locaties[#All],2,FALSE)</f>
        <v>Stichting Facilitair Beheer Van Renneslaan</v>
      </c>
      <c r="C307" s="243" t="str">
        <f>VLOOKUP(Ruimtestaat[[#This Row],[Code]],Locaties[#All],4,FALSE)</f>
        <v>Catharina van Renneslaan 35</v>
      </c>
      <c r="D307" s="243" t="str">
        <f>VLOOKUP(Ruimtestaat[[#This Row],[Code]],Locaties[#All],5,FALSE)</f>
        <v>7604 KV</v>
      </c>
      <c r="E307" s="243" t="str">
        <f>VLOOKUP(Ruimtestaat[[#This Row],[Code]],Locaties[#All],6,FALSE)</f>
        <v>Almelo</v>
      </c>
      <c r="F307" s="244" t="s">
        <v>1342</v>
      </c>
      <c r="G307" s="200" t="s">
        <v>1337</v>
      </c>
      <c r="H307" s="200"/>
      <c r="I307" s="244" t="s">
        <v>1235</v>
      </c>
      <c r="J307" s="200">
        <v>2</v>
      </c>
      <c r="K307" s="243" t="s">
        <v>1040</v>
      </c>
      <c r="L307" s="200" t="s">
        <v>999</v>
      </c>
      <c r="M307" s="213">
        <v>12.3</v>
      </c>
      <c r="N307" s="213"/>
      <c r="O307" s="243" t="str">
        <f>VLOOKUP(Ruimtestaat[[#This Row],[Ruimte code]],Ruimtegroepen[#All],4,FALSE)</f>
        <v>B  (Bureauruimte)</v>
      </c>
      <c r="P307" s="214"/>
      <c r="Q307" s="215">
        <v>40</v>
      </c>
      <c r="R307" s="215" t="s">
        <v>18</v>
      </c>
      <c r="S307" s="215">
        <f>IF(R307&gt;0,IF(RIGHT(Ruimtestaat[[#This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07" s="215">
        <f>IF(S307&gt;0,VLOOKUP($J307,Ruimtegroepen[],3,FALSE)*VLOOKUP($K307,Vloersoorten[],3,FALSE)*VLOOKUP($R307,Frequenties[],3,FALSE)*VLOOKUP($A307,Locaties[],3,FALSE),0)</f>
        <v>0</v>
      </c>
      <c r="U307" s="215">
        <f>Ruimtestaat[[#This Row],[Uitvoeringen werkdagen]]*Ruimtestaat[[#This Row],[Oppervlak (netto)]]</f>
        <v>1476</v>
      </c>
      <c r="V307" s="259">
        <f>IF(T307&gt;0,Ruimtestaat[[#This Row],[Prest. (m2 /jaar) werkdagen]]/Ruimtestaat[[#This Row],[Norm (m2/uur) werkdagen]],0)</f>
        <v>0</v>
      </c>
      <c r="W307" s="260">
        <f>Ruimtestaat[[#This Row],[uren / jaar werkdagen]]*Tariefsopbouw!$D$38</f>
        <v>0</v>
      </c>
      <c r="X307" s="33"/>
      <c r="Y307" s="33">
        <f>IF(Ruimtestaat[[#This Row],[Frequentie weekend]]&gt;0,VALUE(LEFT(X307,1))*Q307,0)</f>
        <v>0</v>
      </c>
      <c r="Z307" s="33">
        <f>IF($Y307&gt;0,VLOOKUP($J307,Ruimtegroepen[],3,FALSE)*VLOOKUP($K307,Vloersoorten[],3,FALSE)*VLOOKUP($X307,Frequenties[],3,FALSE)*VLOOKUP(#REF!,Locaties[],3,FALSE),0)</f>
        <v>0</v>
      </c>
      <c r="AA307" s="33"/>
      <c r="AB307" s="33"/>
      <c r="AC307" s="33">
        <f>Ruimtestaat[[#This Row],[uren / jaar weekend]]*Tariefsopbouw!$D$40</f>
        <v>0</v>
      </c>
      <c r="AD307" s="88">
        <f>Ruimtestaat[[#This Row],[Prest. (m2 /jaar) weekend]]+Ruimtestaat[[#This Row],[Prest. (m2 /jaar) werkdagen]]</f>
        <v>1476</v>
      </c>
      <c r="AE307" s="88">
        <f>Ruimtestaat[[#This Row],[uren / jaar weekend]]+Ruimtestaat[[#This Row],[uren / jaar werkdagen]]</f>
        <v>0</v>
      </c>
      <c r="AF307" s="89">
        <f>Ruimtestaat[[#This Row],[kosten / jaar weekend]]+Ruimtestaat[[#This Row],[kosten / jaar werkdagen]]</f>
        <v>0</v>
      </c>
    </row>
    <row r="308" spans="1:32" ht="15" customHeight="1">
      <c r="A308" s="200">
        <v>2</v>
      </c>
      <c r="B308" s="21" t="str">
        <f>VLOOKUP(Ruimtestaat[[#This Row],[Code]],Locaties[#All],2,FALSE)</f>
        <v>Stichting Facilitair Beheer Van Renneslaan</v>
      </c>
      <c r="C308" s="243" t="str">
        <f>VLOOKUP(Ruimtestaat[[#This Row],[Code]],Locaties[#All],4,FALSE)</f>
        <v>Catharina van Renneslaan 35</v>
      </c>
      <c r="D308" s="243" t="str">
        <f>VLOOKUP(Ruimtestaat[[#This Row],[Code]],Locaties[#All],5,FALSE)</f>
        <v>7604 KV</v>
      </c>
      <c r="E308" s="243" t="str">
        <f>VLOOKUP(Ruimtestaat[[#This Row],[Code]],Locaties[#All],6,FALSE)</f>
        <v>Almelo</v>
      </c>
      <c r="F308" s="244"/>
      <c r="G308" s="200" t="s">
        <v>1337</v>
      </c>
      <c r="H308" s="200"/>
      <c r="I308" s="244" t="s">
        <v>1188</v>
      </c>
      <c r="J308" s="200">
        <v>10</v>
      </c>
      <c r="K308" s="243" t="s">
        <v>111</v>
      </c>
      <c r="L308" s="200" t="s">
        <v>1339</v>
      </c>
      <c r="M308" s="213">
        <v>7.5</v>
      </c>
      <c r="N308" s="213"/>
      <c r="O308" s="243" t="str">
        <f>VLOOKUP(Ruimtestaat[[#This Row],[Ruimte code]],Ruimtegroepen[#All],4,FALSE)</f>
        <v>V  (Verkeersruimte)</v>
      </c>
      <c r="P308" s="214"/>
      <c r="Q308" s="215">
        <v>40</v>
      </c>
      <c r="R308" s="215" t="s">
        <v>2</v>
      </c>
      <c r="S308" s="215">
        <f>IF(R308&gt;0,IF(RIGHT(Ruimtestaat[[#This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8" s="215">
        <f>IF(S308&gt;0,VLOOKUP($J308,Ruimtegroepen[],3,FALSE)*VLOOKUP($K308,Vloersoorten[],3,FALSE)*VLOOKUP($R308,Frequenties[],3,FALSE)*VLOOKUP($A308,Locaties[],3,FALSE),0)</f>
        <v>0</v>
      </c>
      <c r="U308" s="215">
        <f>Ruimtestaat[[#This Row],[Uitvoeringen werkdagen]]*Ruimtestaat[[#This Row],[Oppervlak (netto)]]</f>
        <v>1500</v>
      </c>
      <c r="V308" s="259">
        <f>IF(T308&gt;0,Ruimtestaat[[#This Row],[Prest. (m2 /jaar) werkdagen]]/Ruimtestaat[[#This Row],[Norm (m2/uur) werkdagen]],0)</f>
        <v>0</v>
      </c>
      <c r="W308" s="260">
        <f>Ruimtestaat[[#This Row],[uren / jaar werkdagen]]*Tariefsopbouw!$D$38</f>
        <v>0</v>
      </c>
      <c r="X308" s="33"/>
      <c r="Y308" s="33">
        <f>IF(Ruimtestaat[[#This Row],[Frequentie weekend]]&gt;0,VALUE(LEFT(X308,1))*Q308,0)</f>
        <v>0</v>
      </c>
      <c r="Z308" s="33">
        <f>IF($Y308&gt;0,VLOOKUP($J308,Ruimtegroepen[],3,FALSE)*VLOOKUP($K308,Vloersoorten[],3,FALSE)*VLOOKUP($X308,Frequenties[],3,FALSE)*VLOOKUP(#REF!,Locaties[],3,FALSE),0)</f>
        <v>0</v>
      </c>
      <c r="AA308" s="33"/>
      <c r="AB308" s="33"/>
      <c r="AC308" s="33">
        <f>Ruimtestaat[[#This Row],[uren / jaar weekend]]*Tariefsopbouw!$D$40</f>
        <v>0</v>
      </c>
      <c r="AD308" s="88">
        <f>Ruimtestaat[[#This Row],[Prest. (m2 /jaar) weekend]]+Ruimtestaat[[#This Row],[Prest. (m2 /jaar) werkdagen]]</f>
        <v>1500</v>
      </c>
      <c r="AE308" s="88">
        <f>Ruimtestaat[[#This Row],[uren / jaar weekend]]+Ruimtestaat[[#This Row],[uren / jaar werkdagen]]</f>
        <v>0</v>
      </c>
      <c r="AF308" s="89">
        <f>Ruimtestaat[[#This Row],[kosten / jaar weekend]]+Ruimtestaat[[#This Row],[kosten / jaar werkdagen]]</f>
        <v>0</v>
      </c>
    </row>
    <row r="309" spans="1:32" ht="15" customHeight="1">
      <c r="A309" s="200">
        <v>2</v>
      </c>
      <c r="B309" s="21" t="str">
        <f>VLOOKUP(Ruimtestaat[[#This Row],[Code]],Locaties[#All],2,FALSE)</f>
        <v>Stichting Facilitair Beheer Van Renneslaan</v>
      </c>
      <c r="C309" s="243" t="str">
        <f>VLOOKUP(Ruimtestaat[[#This Row],[Code]],Locaties[#All],4,FALSE)</f>
        <v>Catharina van Renneslaan 35</v>
      </c>
      <c r="D309" s="243" t="str">
        <f>VLOOKUP(Ruimtestaat[[#This Row],[Code]],Locaties[#All],5,FALSE)</f>
        <v>7604 KV</v>
      </c>
      <c r="E309" s="243" t="str">
        <f>VLOOKUP(Ruimtestaat[[#This Row],[Code]],Locaties[#All],6,FALSE)</f>
        <v>Almelo</v>
      </c>
      <c r="F309" s="244" t="s">
        <v>1342</v>
      </c>
      <c r="G309" s="200" t="s">
        <v>1337</v>
      </c>
      <c r="H309" s="200"/>
      <c r="I309" s="244" t="s">
        <v>1236</v>
      </c>
      <c r="J309" s="200">
        <v>16</v>
      </c>
      <c r="K309" s="243" t="s">
        <v>1040</v>
      </c>
      <c r="L309" s="200" t="s">
        <v>999</v>
      </c>
      <c r="M309" s="213">
        <v>60.1</v>
      </c>
      <c r="N309" s="213"/>
      <c r="O309" s="243" t="str">
        <f>VLOOKUP(Ruimtestaat[[#This Row],[Ruimte code]],Ruimtegroepen[#All],4,FALSE)</f>
        <v>L  (Lesruimte)</v>
      </c>
      <c r="P309" s="214"/>
      <c r="Q309" s="215">
        <v>40</v>
      </c>
      <c r="R309" s="215" t="s">
        <v>2</v>
      </c>
      <c r="S309" s="215">
        <f>IF(R309&gt;0,IF(RIGHT(Ruimtestaat[[#This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09" s="215">
        <f>IF(S309&gt;0,VLOOKUP($J309,Ruimtegroepen[],3,FALSE)*VLOOKUP($K309,Vloersoorten[],3,FALSE)*VLOOKUP($R309,Frequenties[],3,FALSE)*VLOOKUP($A309,Locaties[],3,FALSE),0)</f>
        <v>0</v>
      </c>
      <c r="U309" s="215">
        <f>Ruimtestaat[[#This Row],[Uitvoeringen werkdagen]]*Ruimtestaat[[#This Row],[Oppervlak (netto)]]</f>
        <v>12020</v>
      </c>
      <c r="V309" s="259">
        <f>IF(T309&gt;0,Ruimtestaat[[#This Row],[Prest. (m2 /jaar) werkdagen]]/Ruimtestaat[[#This Row],[Norm (m2/uur) werkdagen]],0)</f>
        <v>0</v>
      </c>
      <c r="W309" s="260">
        <f>Ruimtestaat[[#This Row],[uren / jaar werkdagen]]*Tariefsopbouw!$D$38</f>
        <v>0</v>
      </c>
      <c r="X309" s="33"/>
      <c r="Y309" s="33">
        <f>IF(Ruimtestaat[[#This Row],[Frequentie weekend]]&gt;0,VALUE(LEFT(X309,1))*Q309,0)</f>
        <v>0</v>
      </c>
      <c r="Z309" s="33">
        <f>IF($Y309&gt;0,VLOOKUP($J309,Ruimtegroepen[],3,FALSE)*VLOOKUP($K309,Vloersoorten[],3,FALSE)*VLOOKUP($X309,Frequenties[],3,FALSE)*VLOOKUP(#REF!,Locaties[],3,FALSE),0)</f>
        <v>0</v>
      </c>
      <c r="AA309" s="33"/>
      <c r="AB309" s="33"/>
      <c r="AC309" s="33">
        <f>Ruimtestaat[[#This Row],[uren / jaar weekend]]*Tariefsopbouw!$D$40</f>
        <v>0</v>
      </c>
      <c r="AD309" s="88">
        <f>Ruimtestaat[[#This Row],[Prest. (m2 /jaar) weekend]]+Ruimtestaat[[#This Row],[Prest. (m2 /jaar) werkdagen]]</f>
        <v>12020</v>
      </c>
      <c r="AE309" s="88">
        <f>Ruimtestaat[[#This Row],[uren / jaar weekend]]+Ruimtestaat[[#This Row],[uren / jaar werkdagen]]</f>
        <v>0</v>
      </c>
      <c r="AF309" s="89">
        <f>Ruimtestaat[[#This Row],[kosten / jaar weekend]]+Ruimtestaat[[#This Row],[kosten / jaar werkdagen]]</f>
        <v>0</v>
      </c>
    </row>
    <row r="310" spans="1:32" ht="15" customHeight="1">
      <c r="A310" s="200">
        <v>2</v>
      </c>
      <c r="B310" s="21" t="str">
        <f>VLOOKUP(Ruimtestaat[[#This Row],[Code]],Locaties[#All],2,FALSE)</f>
        <v>Stichting Facilitair Beheer Van Renneslaan</v>
      </c>
      <c r="C310" s="243" t="str">
        <f>VLOOKUP(Ruimtestaat[[#This Row],[Code]],Locaties[#All],4,FALSE)</f>
        <v>Catharina van Renneslaan 35</v>
      </c>
      <c r="D310" s="243" t="str">
        <f>VLOOKUP(Ruimtestaat[[#This Row],[Code]],Locaties[#All],5,FALSE)</f>
        <v>7604 KV</v>
      </c>
      <c r="E310" s="243" t="str">
        <f>VLOOKUP(Ruimtestaat[[#This Row],[Code]],Locaties[#All],6,FALSE)</f>
        <v>Almelo</v>
      </c>
      <c r="F310" s="244"/>
      <c r="G310" s="200" t="s">
        <v>1337</v>
      </c>
      <c r="H310" s="200"/>
      <c r="I310" s="244" t="s">
        <v>1237</v>
      </c>
      <c r="J310" s="200">
        <v>1</v>
      </c>
      <c r="K310" s="243" t="s">
        <v>112</v>
      </c>
      <c r="L310" s="200" t="s">
        <v>1341</v>
      </c>
      <c r="M310" s="213">
        <v>18.5</v>
      </c>
      <c r="N310" s="213"/>
      <c r="O310" s="243" t="str">
        <f>VLOOKUP(Ruimtestaat[[#This Row],[Ruimte code]],Ruimtegroepen[#All],4,FALSE)</f>
        <v>V  (Verkeersruimte)</v>
      </c>
      <c r="P310" s="214"/>
      <c r="Q310" s="215">
        <v>40</v>
      </c>
      <c r="R310" s="215" t="s">
        <v>16</v>
      </c>
      <c r="S310" s="215">
        <f>IF(R310&gt;0,IF(RIGHT(Ruimtestaat[[#This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10" s="215">
        <f>IF(S310&gt;0,VLOOKUP($J310,Ruimtegroepen[],3,FALSE)*VLOOKUP($K310,Vloersoorten[],3,FALSE)*VLOOKUP($R310,Frequenties[],3,FALSE)*VLOOKUP($A310,Locaties[],3,FALSE),0)</f>
        <v>0</v>
      </c>
      <c r="U310" s="215">
        <f>Ruimtestaat[[#This Row],[Uitvoeringen werkdagen]]*Ruimtestaat[[#This Row],[Oppervlak (netto)]]</f>
        <v>222</v>
      </c>
      <c r="V310" s="259">
        <f>IF(T310&gt;0,Ruimtestaat[[#This Row],[Prest. (m2 /jaar) werkdagen]]/Ruimtestaat[[#This Row],[Norm (m2/uur) werkdagen]],0)</f>
        <v>0</v>
      </c>
      <c r="W310" s="260">
        <f>Ruimtestaat[[#This Row],[uren / jaar werkdagen]]*Tariefsopbouw!$D$38</f>
        <v>0</v>
      </c>
      <c r="X310" s="33"/>
      <c r="Y310" s="33">
        <f>IF(Ruimtestaat[[#This Row],[Frequentie weekend]]&gt;0,VALUE(LEFT(X310,1))*Q310,0)</f>
        <v>0</v>
      </c>
      <c r="Z310" s="33">
        <f>IF($Y310&gt;0,VLOOKUP($J310,Ruimtegroepen[],3,FALSE)*VLOOKUP($K310,Vloersoorten[],3,FALSE)*VLOOKUP($X310,Frequenties[],3,FALSE)*VLOOKUP(#REF!,Locaties[],3,FALSE),0)</f>
        <v>0</v>
      </c>
      <c r="AA310" s="33"/>
      <c r="AB310" s="33"/>
      <c r="AC310" s="33">
        <f>Ruimtestaat[[#This Row],[uren / jaar weekend]]*Tariefsopbouw!$D$40</f>
        <v>0</v>
      </c>
      <c r="AD310" s="88">
        <f>Ruimtestaat[[#This Row],[Prest. (m2 /jaar) weekend]]+Ruimtestaat[[#This Row],[Prest. (m2 /jaar) werkdagen]]</f>
        <v>222</v>
      </c>
      <c r="AE310" s="88">
        <f>Ruimtestaat[[#This Row],[uren / jaar weekend]]+Ruimtestaat[[#This Row],[uren / jaar werkdagen]]</f>
        <v>0</v>
      </c>
      <c r="AF310" s="89">
        <f>Ruimtestaat[[#This Row],[kosten / jaar weekend]]+Ruimtestaat[[#This Row],[kosten / jaar werkdagen]]</f>
        <v>0</v>
      </c>
    </row>
    <row r="311" spans="1:32" ht="15" customHeight="1">
      <c r="A311" s="200">
        <v>2</v>
      </c>
      <c r="B311" s="21" t="str">
        <f>VLOOKUP(Ruimtestaat[[#This Row],[Code]],Locaties[#All],2,FALSE)</f>
        <v>Stichting Facilitair Beheer Van Renneslaan</v>
      </c>
      <c r="C311" s="243" t="str">
        <f>VLOOKUP(Ruimtestaat[[#This Row],[Code]],Locaties[#All],4,FALSE)</f>
        <v>Catharina van Renneslaan 35</v>
      </c>
      <c r="D311" s="243" t="str">
        <f>VLOOKUP(Ruimtestaat[[#This Row],[Code]],Locaties[#All],5,FALSE)</f>
        <v>7604 KV</v>
      </c>
      <c r="E311" s="243" t="str">
        <f>VLOOKUP(Ruimtestaat[[#This Row],[Code]],Locaties[#All],6,FALSE)</f>
        <v>Almelo</v>
      </c>
      <c r="F311" s="244"/>
      <c r="G311" s="200" t="s">
        <v>1337</v>
      </c>
      <c r="H311" s="200"/>
      <c r="I311" s="244" t="s">
        <v>1238</v>
      </c>
      <c r="J311" s="200">
        <v>1</v>
      </c>
      <c r="K311" s="243" t="s">
        <v>112</v>
      </c>
      <c r="L311" s="200" t="s">
        <v>1341</v>
      </c>
      <c r="M311" s="213">
        <v>12.7</v>
      </c>
      <c r="N311" s="213"/>
      <c r="O311" s="243" t="str">
        <f>VLOOKUP(Ruimtestaat[[#This Row],[Ruimte code]],Ruimtegroepen[#All],4,FALSE)</f>
        <v>V  (Verkeersruimte)</v>
      </c>
      <c r="P311" s="214"/>
      <c r="Q311" s="215">
        <v>40</v>
      </c>
      <c r="R311" s="215" t="s">
        <v>16</v>
      </c>
      <c r="S311" s="215">
        <f>IF(R311&gt;0,IF(RIGHT(Ruimtestaat[[#This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11" s="215">
        <f>IF(S311&gt;0,VLOOKUP($J311,Ruimtegroepen[],3,FALSE)*VLOOKUP($K311,Vloersoorten[],3,FALSE)*VLOOKUP($R311,Frequenties[],3,FALSE)*VLOOKUP($A311,Locaties[],3,FALSE),0)</f>
        <v>0</v>
      </c>
      <c r="U311" s="215">
        <f>Ruimtestaat[[#This Row],[Uitvoeringen werkdagen]]*Ruimtestaat[[#This Row],[Oppervlak (netto)]]</f>
        <v>152.39999999999998</v>
      </c>
      <c r="V311" s="259">
        <f>IF(T311&gt;0,Ruimtestaat[[#This Row],[Prest. (m2 /jaar) werkdagen]]/Ruimtestaat[[#This Row],[Norm (m2/uur) werkdagen]],0)</f>
        <v>0</v>
      </c>
      <c r="W311" s="260">
        <f>Ruimtestaat[[#This Row],[uren / jaar werkdagen]]*Tariefsopbouw!$D$38</f>
        <v>0</v>
      </c>
      <c r="X311" s="33"/>
      <c r="Y311" s="33">
        <f>IF(Ruimtestaat[[#This Row],[Frequentie weekend]]&gt;0,VALUE(LEFT(X311,1))*Q311,0)</f>
        <v>0</v>
      </c>
      <c r="Z311" s="33">
        <f>IF($Y311&gt;0,VLOOKUP($J311,Ruimtegroepen[],3,FALSE)*VLOOKUP($K311,Vloersoorten[],3,FALSE)*VLOOKUP($X311,Frequenties[],3,FALSE)*VLOOKUP(#REF!,Locaties[],3,FALSE),0)</f>
        <v>0</v>
      </c>
      <c r="AA311" s="33"/>
      <c r="AB311" s="33"/>
      <c r="AC311" s="33">
        <f>Ruimtestaat[[#This Row],[uren / jaar weekend]]*Tariefsopbouw!$D$40</f>
        <v>0</v>
      </c>
      <c r="AD311" s="88">
        <f>Ruimtestaat[[#This Row],[Prest. (m2 /jaar) weekend]]+Ruimtestaat[[#This Row],[Prest. (m2 /jaar) werkdagen]]</f>
        <v>152.39999999999998</v>
      </c>
      <c r="AE311" s="88">
        <f>Ruimtestaat[[#This Row],[uren / jaar weekend]]+Ruimtestaat[[#This Row],[uren / jaar werkdagen]]</f>
        <v>0</v>
      </c>
      <c r="AF311" s="89">
        <f>Ruimtestaat[[#This Row],[kosten / jaar weekend]]+Ruimtestaat[[#This Row],[kosten / jaar werkdagen]]</f>
        <v>0</v>
      </c>
    </row>
    <row r="312" spans="1:32" ht="15" customHeight="1">
      <c r="A312" s="200">
        <v>2</v>
      </c>
      <c r="B312" s="21" t="str">
        <f>VLOOKUP(Ruimtestaat[[#This Row],[Code]],Locaties[#All],2,FALSE)</f>
        <v>Stichting Facilitair Beheer Van Renneslaan</v>
      </c>
      <c r="C312" s="243" t="str">
        <f>VLOOKUP(Ruimtestaat[[#This Row],[Code]],Locaties[#All],4,FALSE)</f>
        <v>Catharina van Renneslaan 35</v>
      </c>
      <c r="D312" s="243" t="str">
        <f>VLOOKUP(Ruimtestaat[[#This Row],[Code]],Locaties[#All],5,FALSE)</f>
        <v>7604 KV</v>
      </c>
      <c r="E312" s="243" t="str">
        <f>VLOOKUP(Ruimtestaat[[#This Row],[Code]],Locaties[#All],6,FALSE)</f>
        <v>Almelo</v>
      </c>
      <c r="F312" s="244" t="s">
        <v>1342</v>
      </c>
      <c r="G312" s="200" t="s">
        <v>1337</v>
      </c>
      <c r="H312" s="200"/>
      <c r="I312" s="244" t="s">
        <v>1239</v>
      </c>
      <c r="J312" s="200">
        <v>12</v>
      </c>
      <c r="K312" s="243" t="s">
        <v>112</v>
      </c>
      <c r="L312" s="200" t="s">
        <v>1341</v>
      </c>
      <c r="M312" s="213">
        <v>376.1</v>
      </c>
      <c r="N312" s="213"/>
      <c r="O312" s="243" t="str">
        <f>VLOOKUP(Ruimtestaat[[#This Row],[Ruimte code]],Ruimtegroepen[#All],4,FALSE)</f>
        <v>V  (Verkeersruimte)</v>
      </c>
      <c r="P312" s="214"/>
      <c r="Q312" s="215">
        <v>40</v>
      </c>
      <c r="R312" s="215" t="s">
        <v>2</v>
      </c>
      <c r="S312" s="215">
        <f>IF(R312&gt;0,IF(RIGHT(Ruimtestaat[[#This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2" s="215">
        <f>IF(S312&gt;0,VLOOKUP($J312,Ruimtegroepen[],3,FALSE)*VLOOKUP($K312,Vloersoorten[],3,FALSE)*VLOOKUP($R312,Frequenties[],3,FALSE)*VLOOKUP($A312,Locaties[],3,FALSE),0)</f>
        <v>0</v>
      </c>
      <c r="U312" s="215">
        <f>Ruimtestaat[[#This Row],[Uitvoeringen werkdagen]]*Ruimtestaat[[#This Row],[Oppervlak (netto)]]</f>
        <v>75220</v>
      </c>
      <c r="V312" s="259">
        <f>IF(T312&gt;0,Ruimtestaat[[#This Row],[Prest. (m2 /jaar) werkdagen]]/Ruimtestaat[[#This Row],[Norm (m2/uur) werkdagen]],0)</f>
        <v>0</v>
      </c>
      <c r="W312" s="260">
        <f>Ruimtestaat[[#This Row],[uren / jaar werkdagen]]*Tariefsopbouw!$D$38</f>
        <v>0</v>
      </c>
      <c r="X312" s="33"/>
      <c r="Y312" s="33">
        <f>IF(Ruimtestaat[[#This Row],[Frequentie weekend]]&gt;0,VALUE(LEFT(X312,1))*Q312,0)</f>
        <v>0</v>
      </c>
      <c r="Z312" s="33">
        <f>IF($Y312&gt;0,VLOOKUP($J312,Ruimtegroepen[],3,FALSE)*VLOOKUP($K312,Vloersoorten[],3,FALSE)*VLOOKUP($X312,Frequenties[],3,FALSE)*VLOOKUP(#REF!,Locaties[],3,FALSE),0)</f>
        <v>0</v>
      </c>
      <c r="AA312" s="33"/>
      <c r="AB312" s="33"/>
      <c r="AC312" s="33">
        <f>Ruimtestaat[[#This Row],[uren / jaar weekend]]*Tariefsopbouw!$D$40</f>
        <v>0</v>
      </c>
      <c r="AD312" s="88">
        <f>Ruimtestaat[[#This Row],[Prest. (m2 /jaar) weekend]]+Ruimtestaat[[#This Row],[Prest. (m2 /jaar) werkdagen]]</f>
        <v>75220</v>
      </c>
      <c r="AE312" s="88">
        <f>Ruimtestaat[[#This Row],[uren / jaar weekend]]+Ruimtestaat[[#This Row],[uren / jaar werkdagen]]</f>
        <v>0</v>
      </c>
      <c r="AF312" s="89">
        <f>Ruimtestaat[[#This Row],[kosten / jaar weekend]]+Ruimtestaat[[#This Row],[kosten / jaar werkdagen]]</f>
        <v>0</v>
      </c>
    </row>
    <row r="313" spans="1:32" ht="15" customHeight="1">
      <c r="A313" s="200">
        <v>2</v>
      </c>
      <c r="B313" s="21" t="str">
        <f>VLOOKUP(Ruimtestaat[[#This Row],[Code]],Locaties[#All],2,FALSE)</f>
        <v>Stichting Facilitair Beheer Van Renneslaan</v>
      </c>
      <c r="C313" s="243" t="str">
        <f>VLOOKUP(Ruimtestaat[[#This Row],[Code]],Locaties[#All],4,FALSE)</f>
        <v>Catharina van Renneslaan 35</v>
      </c>
      <c r="D313" s="243" t="str">
        <f>VLOOKUP(Ruimtestaat[[#This Row],[Code]],Locaties[#All],5,FALSE)</f>
        <v>7604 KV</v>
      </c>
      <c r="E313" s="243" t="str">
        <f>VLOOKUP(Ruimtestaat[[#This Row],[Code]],Locaties[#All],6,FALSE)</f>
        <v>Almelo</v>
      </c>
      <c r="F313" s="244" t="s">
        <v>1343</v>
      </c>
      <c r="G313" s="200" t="s">
        <v>1337</v>
      </c>
      <c r="H313" s="200"/>
      <c r="I313" s="244" t="s">
        <v>1240</v>
      </c>
      <c r="J313" s="200">
        <v>12</v>
      </c>
      <c r="K313" s="243" t="s">
        <v>112</v>
      </c>
      <c r="L313" s="200" t="s">
        <v>1341</v>
      </c>
      <c r="M313" s="213">
        <v>160.5</v>
      </c>
      <c r="N313" s="213"/>
      <c r="O313" s="243" t="str">
        <f>VLOOKUP(Ruimtestaat[[#This Row],[Ruimte code]],Ruimtegroepen[#All],4,FALSE)</f>
        <v>V  (Verkeersruimte)</v>
      </c>
      <c r="P313" s="214"/>
      <c r="Q313" s="215">
        <v>40</v>
      </c>
      <c r="R313" s="215" t="s">
        <v>2</v>
      </c>
      <c r="S313" s="215">
        <f>IF(R313&gt;0,IF(RIGHT(Ruimtestaat[[#This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3" s="215">
        <f>IF(S313&gt;0,VLOOKUP($J313,Ruimtegroepen[],3,FALSE)*VLOOKUP($K313,Vloersoorten[],3,FALSE)*VLOOKUP($R313,Frequenties[],3,FALSE)*VLOOKUP($A313,Locaties[],3,FALSE),0)</f>
        <v>0</v>
      </c>
      <c r="U313" s="215">
        <f>Ruimtestaat[[#This Row],[Uitvoeringen werkdagen]]*Ruimtestaat[[#This Row],[Oppervlak (netto)]]</f>
        <v>32100</v>
      </c>
      <c r="V313" s="259">
        <f>IF(T313&gt;0,Ruimtestaat[[#This Row],[Prest. (m2 /jaar) werkdagen]]/Ruimtestaat[[#This Row],[Norm (m2/uur) werkdagen]],0)</f>
        <v>0</v>
      </c>
      <c r="W313" s="260">
        <f>Ruimtestaat[[#This Row],[uren / jaar werkdagen]]*Tariefsopbouw!$D$38</f>
        <v>0</v>
      </c>
      <c r="X313" s="33"/>
      <c r="Y313" s="33">
        <f>IF(Ruimtestaat[[#This Row],[Frequentie weekend]]&gt;0,VALUE(LEFT(X313,1))*Q313,0)</f>
        <v>0</v>
      </c>
      <c r="Z313" s="33">
        <f>IF($Y313&gt;0,VLOOKUP($J313,Ruimtegroepen[],3,FALSE)*VLOOKUP($K313,Vloersoorten[],3,FALSE)*VLOOKUP($X313,Frequenties[],3,FALSE)*VLOOKUP(#REF!,Locaties[],3,FALSE),0)</f>
        <v>0</v>
      </c>
      <c r="AA313" s="33"/>
      <c r="AB313" s="33"/>
      <c r="AC313" s="33">
        <f>Ruimtestaat[[#This Row],[uren / jaar weekend]]*Tariefsopbouw!$D$40</f>
        <v>0</v>
      </c>
      <c r="AD313" s="88">
        <f>Ruimtestaat[[#This Row],[Prest. (m2 /jaar) weekend]]+Ruimtestaat[[#This Row],[Prest. (m2 /jaar) werkdagen]]</f>
        <v>32100</v>
      </c>
      <c r="AE313" s="88">
        <f>Ruimtestaat[[#This Row],[uren / jaar weekend]]+Ruimtestaat[[#This Row],[uren / jaar werkdagen]]</f>
        <v>0</v>
      </c>
      <c r="AF313" s="89">
        <f>Ruimtestaat[[#This Row],[kosten / jaar weekend]]+Ruimtestaat[[#This Row],[kosten / jaar werkdagen]]</f>
        <v>0</v>
      </c>
    </row>
    <row r="314" spans="1:32" ht="15" customHeight="1">
      <c r="A314" s="200">
        <v>2</v>
      </c>
      <c r="B314" s="21" t="str">
        <f>VLOOKUP(Ruimtestaat[[#This Row],[Code]],Locaties[#All],2,FALSE)</f>
        <v>Stichting Facilitair Beheer Van Renneslaan</v>
      </c>
      <c r="C314" s="243" t="str">
        <f>VLOOKUP(Ruimtestaat[[#This Row],[Code]],Locaties[#All],4,FALSE)</f>
        <v>Catharina van Renneslaan 35</v>
      </c>
      <c r="D314" s="243" t="str">
        <f>VLOOKUP(Ruimtestaat[[#This Row],[Code]],Locaties[#All],5,FALSE)</f>
        <v>7604 KV</v>
      </c>
      <c r="E314" s="243" t="str">
        <f>VLOOKUP(Ruimtestaat[[#This Row],[Code]],Locaties[#All],6,FALSE)</f>
        <v>Almelo</v>
      </c>
      <c r="F314" s="244"/>
      <c r="G314" s="200" t="s">
        <v>1337</v>
      </c>
      <c r="H314" s="200"/>
      <c r="I314" s="244" t="s">
        <v>1241</v>
      </c>
      <c r="J314" s="200">
        <v>6</v>
      </c>
      <c r="K314" s="243" t="s">
        <v>112</v>
      </c>
      <c r="L314" s="200" t="s">
        <v>1341</v>
      </c>
      <c r="M314" s="213">
        <v>127.9</v>
      </c>
      <c r="N314" s="213"/>
      <c r="O314" s="243" t="str">
        <f>VLOOKUP(Ruimtestaat[[#This Row],[Ruimte code]],Ruimtegroepen[#All],4,FALSE)</f>
        <v>V  (Verkeersruimte)</v>
      </c>
      <c r="P314" s="214"/>
      <c r="Q314" s="215">
        <v>40</v>
      </c>
      <c r="R314" s="215" t="s">
        <v>2</v>
      </c>
      <c r="S314" s="215">
        <f>IF(R314&gt;0,IF(RIGHT(Ruimtestaat[[#This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4" s="215">
        <f>IF(S314&gt;0,VLOOKUP($J314,Ruimtegroepen[],3,FALSE)*VLOOKUP($K314,Vloersoorten[],3,FALSE)*VLOOKUP($R314,Frequenties[],3,FALSE)*VLOOKUP($A314,Locaties[],3,FALSE),0)</f>
        <v>0</v>
      </c>
      <c r="U314" s="215">
        <f>Ruimtestaat[[#This Row],[Uitvoeringen werkdagen]]*Ruimtestaat[[#This Row],[Oppervlak (netto)]]</f>
        <v>25580</v>
      </c>
      <c r="V314" s="259">
        <f>IF(T314&gt;0,Ruimtestaat[[#This Row],[Prest. (m2 /jaar) werkdagen]]/Ruimtestaat[[#This Row],[Norm (m2/uur) werkdagen]],0)</f>
        <v>0</v>
      </c>
      <c r="W314" s="260">
        <f>Ruimtestaat[[#This Row],[uren / jaar werkdagen]]*Tariefsopbouw!$D$38</f>
        <v>0</v>
      </c>
      <c r="X314" s="33"/>
      <c r="Y314" s="33">
        <f>IF(Ruimtestaat[[#This Row],[Frequentie weekend]]&gt;0,VALUE(LEFT(X314,1))*Q314,0)</f>
        <v>0</v>
      </c>
      <c r="Z314" s="33">
        <f>IF($Y314&gt;0,VLOOKUP($J314,Ruimtegroepen[],3,FALSE)*VLOOKUP($K314,Vloersoorten[],3,FALSE)*VLOOKUP($X314,Frequenties[],3,FALSE)*VLOOKUP(#REF!,Locaties[],3,FALSE),0)</f>
        <v>0</v>
      </c>
      <c r="AA314" s="33"/>
      <c r="AB314" s="33"/>
      <c r="AC314" s="33">
        <f>Ruimtestaat[[#This Row],[uren / jaar weekend]]*Tariefsopbouw!$D$40</f>
        <v>0</v>
      </c>
      <c r="AD314" s="88">
        <f>Ruimtestaat[[#This Row],[Prest. (m2 /jaar) weekend]]+Ruimtestaat[[#This Row],[Prest. (m2 /jaar) werkdagen]]</f>
        <v>25580</v>
      </c>
      <c r="AE314" s="88">
        <f>Ruimtestaat[[#This Row],[uren / jaar weekend]]+Ruimtestaat[[#This Row],[uren / jaar werkdagen]]</f>
        <v>0</v>
      </c>
      <c r="AF314" s="89">
        <f>Ruimtestaat[[#This Row],[kosten / jaar weekend]]+Ruimtestaat[[#This Row],[kosten / jaar werkdagen]]</f>
        <v>0</v>
      </c>
    </row>
    <row r="315" spans="1:32" ht="15" customHeight="1">
      <c r="A315" s="200">
        <v>2</v>
      </c>
      <c r="B315" s="21" t="str">
        <f>VLOOKUP(Ruimtestaat[[#This Row],[Code]],Locaties[#All],2,FALSE)</f>
        <v>Stichting Facilitair Beheer Van Renneslaan</v>
      </c>
      <c r="C315" s="243" t="str">
        <f>VLOOKUP(Ruimtestaat[[#This Row],[Code]],Locaties[#All],4,FALSE)</f>
        <v>Catharina van Renneslaan 35</v>
      </c>
      <c r="D315" s="243" t="str">
        <f>VLOOKUP(Ruimtestaat[[#This Row],[Code]],Locaties[#All],5,FALSE)</f>
        <v>7604 KV</v>
      </c>
      <c r="E315" s="243" t="str">
        <f>VLOOKUP(Ruimtestaat[[#This Row],[Code]],Locaties[#All],6,FALSE)</f>
        <v>Almelo</v>
      </c>
      <c r="F315" s="244"/>
      <c r="G315" s="200" t="s">
        <v>1337</v>
      </c>
      <c r="H315" s="200"/>
      <c r="I315" s="244" t="s">
        <v>1242</v>
      </c>
      <c r="J315" s="200">
        <v>15</v>
      </c>
      <c r="K315" s="243" t="s">
        <v>111</v>
      </c>
      <c r="L315" s="200" t="s">
        <v>1340</v>
      </c>
      <c r="M315" s="213">
        <v>38.4</v>
      </c>
      <c r="N315" s="213"/>
      <c r="O315" s="243" t="str">
        <f>VLOOKUP(Ruimtestaat[[#This Row],[Ruimte code]],Ruimtegroepen[#All],4,FALSE)</f>
        <v>V  (Verkeersruimte)</v>
      </c>
      <c r="P315" s="214"/>
      <c r="Q315" s="215">
        <v>40</v>
      </c>
      <c r="R315" s="215" t="s">
        <v>2</v>
      </c>
      <c r="S315" s="215">
        <f>IF(R315&gt;0,IF(RIGHT(Ruimtestaat[[#This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5" s="215">
        <f>IF(S315&gt;0,VLOOKUP($J315,Ruimtegroepen[],3,FALSE)*VLOOKUP($K315,Vloersoorten[],3,FALSE)*VLOOKUP($R315,Frequenties[],3,FALSE)*VLOOKUP($A315,Locaties[],3,FALSE),0)</f>
        <v>0</v>
      </c>
      <c r="U315" s="215">
        <f>Ruimtestaat[[#This Row],[Uitvoeringen werkdagen]]*Ruimtestaat[[#This Row],[Oppervlak (netto)]]</f>
        <v>7680</v>
      </c>
      <c r="V315" s="259">
        <f>IF(T315&gt;0,Ruimtestaat[[#This Row],[Prest. (m2 /jaar) werkdagen]]/Ruimtestaat[[#This Row],[Norm (m2/uur) werkdagen]],0)</f>
        <v>0</v>
      </c>
      <c r="W315" s="260">
        <f>Ruimtestaat[[#This Row],[uren / jaar werkdagen]]*Tariefsopbouw!$D$38</f>
        <v>0</v>
      </c>
      <c r="X315" s="33"/>
      <c r="Y315" s="33">
        <f>IF(Ruimtestaat[[#This Row],[Frequentie weekend]]&gt;0,VALUE(LEFT(X315,1))*Q315,0)</f>
        <v>0</v>
      </c>
      <c r="Z315" s="33">
        <f>IF($Y315&gt;0,VLOOKUP($J315,Ruimtegroepen[],3,FALSE)*VLOOKUP($K315,Vloersoorten[],3,FALSE)*VLOOKUP($X315,Frequenties[],3,FALSE)*VLOOKUP(#REF!,Locaties[],3,FALSE),0)</f>
        <v>0</v>
      </c>
      <c r="AA315" s="33"/>
      <c r="AB315" s="33"/>
      <c r="AC315" s="33">
        <f>Ruimtestaat[[#This Row],[uren / jaar weekend]]*Tariefsopbouw!$D$40</f>
        <v>0</v>
      </c>
      <c r="AD315" s="88">
        <f>Ruimtestaat[[#This Row],[Prest. (m2 /jaar) weekend]]+Ruimtestaat[[#This Row],[Prest. (m2 /jaar) werkdagen]]</f>
        <v>7680</v>
      </c>
      <c r="AE315" s="88">
        <f>Ruimtestaat[[#This Row],[uren / jaar weekend]]+Ruimtestaat[[#This Row],[uren / jaar werkdagen]]</f>
        <v>0</v>
      </c>
      <c r="AF315" s="89">
        <f>Ruimtestaat[[#This Row],[kosten / jaar weekend]]+Ruimtestaat[[#This Row],[kosten / jaar werkdagen]]</f>
        <v>0</v>
      </c>
    </row>
    <row r="316" spans="1:32" ht="15" customHeight="1">
      <c r="A316" s="200">
        <v>2</v>
      </c>
      <c r="B316" s="21" t="str">
        <f>VLOOKUP(Ruimtestaat[[#This Row],[Code]],Locaties[#All],2,FALSE)</f>
        <v>Stichting Facilitair Beheer Van Renneslaan</v>
      </c>
      <c r="C316" s="243" t="str">
        <f>VLOOKUP(Ruimtestaat[[#This Row],[Code]],Locaties[#All],4,FALSE)</f>
        <v>Catharina van Renneslaan 35</v>
      </c>
      <c r="D316" s="243" t="str">
        <f>VLOOKUP(Ruimtestaat[[#This Row],[Code]],Locaties[#All],5,FALSE)</f>
        <v>7604 KV</v>
      </c>
      <c r="E316" s="243" t="str">
        <f>VLOOKUP(Ruimtestaat[[#This Row],[Code]],Locaties[#All],6,FALSE)</f>
        <v>Almelo</v>
      </c>
      <c r="F316" s="244"/>
      <c r="G316" s="200" t="s">
        <v>1337</v>
      </c>
      <c r="H316" s="200"/>
      <c r="I316" s="244" t="s">
        <v>1243</v>
      </c>
      <c r="J316" s="200">
        <v>1</v>
      </c>
      <c r="K316" s="243" t="s">
        <v>111</v>
      </c>
      <c r="L316" s="200" t="s">
        <v>1340</v>
      </c>
      <c r="M316" s="213">
        <v>3.6</v>
      </c>
      <c r="N316" s="213"/>
      <c r="O316" s="243" t="str">
        <f>VLOOKUP(Ruimtestaat[[#This Row],[Ruimte code]],Ruimtegroepen[#All],4,FALSE)</f>
        <v>V  (Verkeersruimte)</v>
      </c>
      <c r="P316" s="214"/>
      <c r="Q316" s="215">
        <v>40</v>
      </c>
      <c r="R316" s="215" t="s">
        <v>16</v>
      </c>
      <c r="S316" s="215">
        <f>IF(R316&gt;0,IF(RIGHT(Ruimtestaat[[#This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16" s="215">
        <f>IF(S316&gt;0,VLOOKUP($J316,Ruimtegroepen[],3,FALSE)*VLOOKUP($K316,Vloersoorten[],3,FALSE)*VLOOKUP($R316,Frequenties[],3,FALSE)*VLOOKUP($A316,Locaties[],3,FALSE),0)</f>
        <v>0</v>
      </c>
      <c r="U316" s="215">
        <f>Ruimtestaat[[#This Row],[Uitvoeringen werkdagen]]*Ruimtestaat[[#This Row],[Oppervlak (netto)]]</f>
        <v>43.2</v>
      </c>
      <c r="V316" s="259">
        <f>IF(T316&gt;0,Ruimtestaat[[#This Row],[Prest. (m2 /jaar) werkdagen]]/Ruimtestaat[[#This Row],[Norm (m2/uur) werkdagen]],0)</f>
        <v>0</v>
      </c>
      <c r="W316" s="260">
        <f>Ruimtestaat[[#This Row],[uren / jaar werkdagen]]*Tariefsopbouw!$D$38</f>
        <v>0</v>
      </c>
      <c r="X316" s="33"/>
      <c r="Y316" s="33">
        <f>IF(Ruimtestaat[[#This Row],[Frequentie weekend]]&gt;0,VALUE(LEFT(X316,1))*Q316,0)</f>
        <v>0</v>
      </c>
      <c r="Z316" s="33">
        <f>IF($Y316&gt;0,VLOOKUP($J316,Ruimtegroepen[],3,FALSE)*VLOOKUP($K316,Vloersoorten[],3,FALSE)*VLOOKUP($X316,Frequenties[],3,FALSE)*VLOOKUP(#REF!,Locaties[],3,FALSE),0)</f>
        <v>0</v>
      </c>
      <c r="AA316" s="33"/>
      <c r="AB316" s="33"/>
      <c r="AC316" s="33">
        <f>Ruimtestaat[[#This Row],[uren / jaar weekend]]*Tariefsopbouw!$D$40</f>
        <v>0</v>
      </c>
      <c r="AD316" s="88">
        <f>Ruimtestaat[[#This Row],[Prest. (m2 /jaar) weekend]]+Ruimtestaat[[#This Row],[Prest. (m2 /jaar) werkdagen]]</f>
        <v>43.2</v>
      </c>
      <c r="AE316" s="88">
        <f>Ruimtestaat[[#This Row],[uren / jaar weekend]]+Ruimtestaat[[#This Row],[uren / jaar werkdagen]]</f>
        <v>0</v>
      </c>
      <c r="AF316" s="89">
        <f>Ruimtestaat[[#This Row],[kosten / jaar weekend]]+Ruimtestaat[[#This Row],[kosten / jaar werkdagen]]</f>
        <v>0</v>
      </c>
    </row>
    <row r="317" spans="1:32" ht="15" customHeight="1">
      <c r="A317" s="200">
        <v>2</v>
      </c>
      <c r="B317" s="21" t="str">
        <f>VLOOKUP(Ruimtestaat[[#This Row],[Code]],Locaties[#All],2,FALSE)</f>
        <v>Stichting Facilitair Beheer Van Renneslaan</v>
      </c>
      <c r="C317" s="243" t="str">
        <f>VLOOKUP(Ruimtestaat[[#This Row],[Code]],Locaties[#All],4,FALSE)</f>
        <v>Catharina van Renneslaan 35</v>
      </c>
      <c r="D317" s="243" t="str">
        <f>VLOOKUP(Ruimtestaat[[#This Row],[Code]],Locaties[#All],5,FALSE)</f>
        <v>7604 KV</v>
      </c>
      <c r="E317" s="243" t="str">
        <f>VLOOKUP(Ruimtestaat[[#This Row],[Code]],Locaties[#All],6,FALSE)</f>
        <v>Almelo</v>
      </c>
      <c r="F317" s="244"/>
      <c r="G317" s="200" t="s">
        <v>1337</v>
      </c>
      <c r="H317" s="200"/>
      <c r="I317" s="244" t="s">
        <v>1244</v>
      </c>
      <c r="J317" s="200">
        <v>5</v>
      </c>
      <c r="K317" s="243" t="s">
        <v>111</v>
      </c>
      <c r="L317" s="200" t="s">
        <v>1340</v>
      </c>
      <c r="M317" s="213">
        <v>10.8</v>
      </c>
      <c r="N317" s="213"/>
      <c r="O317" s="243" t="str">
        <f>VLOOKUP(Ruimtestaat[[#This Row],[Ruimte code]],Ruimtegroepen[#All],4,FALSE)</f>
        <v>S  (Sanitair)</v>
      </c>
      <c r="P317" s="214"/>
      <c r="Q317" s="215">
        <v>40</v>
      </c>
      <c r="R317" s="215" t="s">
        <v>2</v>
      </c>
      <c r="S317" s="215">
        <f>IF(R317&gt;0,IF(RIGHT(Ruimtestaat[[#This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7" s="215">
        <f>IF(S317&gt;0,VLOOKUP($J317,Ruimtegroepen[],3,FALSE)*VLOOKUP($K317,Vloersoorten[],3,FALSE)*VLOOKUP($R317,Frequenties[],3,FALSE)*VLOOKUP($A317,Locaties[],3,FALSE),0)</f>
        <v>0</v>
      </c>
      <c r="U317" s="215">
        <f>Ruimtestaat[[#This Row],[Uitvoeringen werkdagen]]*Ruimtestaat[[#This Row],[Oppervlak (netto)]]</f>
        <v>2160</v>
      </c>
      <c r="V317" s="259">
        <f>IF(T317&gt;0,Ruimtestaat[[#This Row],[Prest. (m2 /jaar) werkdagen]]/Ruimtestaat[[#This Row],[Norm (m2/uur) werkdagen]],0)</f>
        <v>0</v>
      </c>
      <c r="W317" s="260">
        <f>Ruimtestaat[[#This Row],[uren / jaar werkdagen]]*Tariefsopbouw!$D$38</f>
        <v>0</v>
      </c>
      <c r="X317" s="33"/>
      <c r="Y317" s="33">
        <f>IF(Ruimtestaat[[#This Row],[Frequentie weekend]]&gt;0,VALUE(LEFT(X317,1))*Q317,0)</f>
        <v>0</v>
      </c>
      <c r="Z317" s="33">
        <f>IF($Y317&gt;0,VLOOKUP($J317,Ruimtegroepen[],3,FALSE)*VLOOKUP($K317,Vloersoorten[],3,FALSE)*VLOOKUP($X317,Frequenties[],3,FALSE)*VLOOKUP(#REF!,Locaties[],3,FALSE),0)</f>
        <v>0</v>
      </c>
      <c r="AA317" s="33"/>
      <c r="AB317" s="33"/>
      <c r="AC317" s="33">
        <f>Ruimtestaat[[#This Row],[uren / jaar weekend]]*Tariefsopbouw!$D$40</f>
        <v>0</v>
      </c>
      <c r="AD317" s="88">
        <f>Ruimtestaat[[#This Row],[Prest. (m2 /jaar) weekend]]+Ruimtestaat[[#This Row],[Prest. (m2 /jaar) werkdagen]]</f>
        <v>2160</v>
      </c>
      <c r="AE317" s="88">
        <f>Ruimtestaat[[#This Row],[uren / jaar weekend]]+Ruimtestaat[[#This Row],[uren / jaar werkdagen]]</f>
        <v>0</v>
      </c>
      <c r="AF317" s="89">
        <f>Ruimtestaat[[#This Row],[kosten / jaar weekend]]+Ruimtestaat[[#This Row],[kosten / jaar werkdagen]]</f>
        <v>0</v>
      </c>
    </row>
    <row r="318" spans="1:32" ht="15" customHeight="1">
      <c r="A318" s="200">
        <v>2</v>
      </c>
      <c r="B318" s="21" t="str">
        <f>VLOOKUP(Ruimtestaat[[#This Row],[Code]],Locaties[#All],2,FALSE)</f>
        <v>Stichting Facilitair Beheer Van Renneslaan</v>
      </c>
      <c r="C318" s="243" t="str">
        <f>VLOOKUP(Ruimtestaat[[#This Row],[Code]],Locaties[#All],4,FALSE)</f>
        <v>Catharina van Renneslaan 35</v>
      </c>
      <c r="D318" s="243" t="str">
        <f>VLOOKUP(Ruimtestaat[[#This Row],[Code]],Locaties[#All],5,FALSE)</f>
        <v>7604 KV</v>
      </c>
      <c r="E318" s="243" t="str">
        <f>VLOOKUP(Ruimtestaat[[#This Row],[Code]],Locaties[#All],6,FALSE)</f>
        <v>Almelo</v>
      </c>
      <c r="F318" s="244"/>
      <c r="G318" s="200" t="s">
        <v>1337</v>
      </c>
      <c r="H318" s="200"/>
      <c r="I318" s="244" t="s">
        <v>1245</v>
      </c>
      <c r="J318" s="200">
        <v>21</v>
      </c>
      <c r="K318" s="243" t="s">
        <v>111</v>
      </c>
      <c r="L318" s="200" t="s">
        <v>1340</v>
      </c>
      <c r="M318" s="213"/>
      <c r="N318" s="213">
        <v>5.6</v>
      </c>
      <c r="O318" s="243" t="str">
        <f>VLOOKUP(Ruimtestaat[[#This Row],[Ruimte code]],Ruimtegroepen[#All],4,FALSE)</f>
        <v>Niet in onderhoud</v>
      </c>
      <c r="P318" s="214"/>
      <c r="Q318" s="215"/>
      <c r="R318" s="215"/>
      <c r="S318" s="215">
        <f>IF(R318&gt;0,IF(RIGHT(Ruimtestaat[[#This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18" s="215">
        <f>IF(S318&gt;0,VLOOKUP($J318,Ruimtegroepen[],3,FALSE)*VLOOKUP($K318,Vloersoorten[],3,FALSE)*VLOOKUP($R318,Frequenties[],3,FALSE)*VLOOKUP($A318,Locaties[],3,FALSE),0)</f>
        <v>0</v>
      </c>
      <c r="U318" s="215">
        <f>Ruimtestaat[[#This Row],[Uitvoeringen werkdagen]]*Ruimtestaat[[#This Row],[Oppervlak (netto)]]</f>
        <v>0</v>
      </c>
      <c r="V318" s="259">
        <f>IF(T318&gt;0,Ruimtestaat[[#This Row],[Prest. (m2 /jaar) werkdagen]]/Ruimtestaat[[#This Row],[Norm (m2/uur) werkdagen]],0)</f>
        <v>0</v>
      </c>
      <c r="W318" s="260">
        <f>Ruimtestaat[[#This Row],[uren / jaar werkdagen]]*Tariefsopbouw!$D$38</f>
        <v>0</v>
      </c>
      <c r="X318" s="33"/>
      <c r="Y318" s="33">
        <f>IF(Ruimtestaat[[#This Row],[Frequentie weekend]]&gt;0,VALUE(LEFT(X318,1))*Q318,0)</f>
        <v>0</v>
      </c>
      <c r="Z318" s="33">
        <f>IF($Y318&gt;0,VLOOKUP($J318,Ruimtegroepen[],3,FALSE)*VLOOKUP($K318,Vloersoorten[],3,FALSE)*VLOOKUP($X318,Frequenties[],3,FALSE)*VLOOKUP(#REF!,Locaties[],3,FALSE),0)</f>
        <v>0</v>
      </c>
      <c r="AA318" s="33"/>
      <c r="AB318" s="33"/>
      <c r="AC318" s="33">
        <f>Ruimtestaat[[#This Row],[uren / jaar weekend]]*Tariefsopbouw!$D$40</f>
        <v>0</v>
      </c>
      <c r="AD318" s="88">
        <f>Ruimtestaat[[#This Row],[Prest. (m2 /jaar) weekend]]+Ruimtestaat[[#This Row],[Prest. (m2 /jaar) werkdagen]]</f>
        <v>0</v>
      </c>
      <c r="AE318" s="88">
        <f>Ruimtestaat[[#This Row],[uren / jaar weekend]]+Ruimtestaat[[#This Row],[uren / jaar werkdagen]]</f>
        <v>0</v>
      </c>
      <c r="AF318" s="89">
        <f>Ruimtestaat[[#This Row],[kosten / jaar weekend]]+Ruimtestaat[[#This Row],[kosten / jaar werkdagen]]</f>
        <v>0</v>
      </c>
    </row>
    <row r="319" spans="1:32" ht="15" customHeight="1">
      <c r="A319" s="200">
        <v>2</v>
      </c>
      <c r="B319" s="21" t="str">
        <f>VLOOKUP(Ruimtestaat[[#This Row],[Code]],Locaties[#All],2,FALSE)</f>
        <v>Stichting Facilitair Beheer Van Renneslaan</v>
      </c>
      <c r="C319" s="243" t="str">
        <f>VLOOKUP(Ruimtestaat[[#This Row],[Code]],Locaties[#All],4,FALSE)</f>
        <v>Catharina van Renneslaan 35</v>
      </c>
      <c r="D319" s="243" t="str">
        <f>VLOOKUP(Ruimtestaat[[#This Row],[Code]],Locaties[#All],5,FALSE)</f>
        <v>7604 KV</v>
      </c>
      <c r="E319" s="243" t="str">
        <f>VLOOKUP(Ruimtestaat[[#This Row],[Code]],Locaties[#All],6,FALSE)</f>
        <v>Almelo</v>
      </c>
      <c r="F319" s="244"/>
      <c r="G319" s="200" t="s">
        <v>1337</v>
      </c>
      <c r="H319" s="200"/>
      <c r="I319" s="244" t="s">
        <v>1246</v>
      </c>
      <c r="J319" s="243">
        <v>5</v>
      </c>
      <c r="K319" s="243" t="s">
        <v>111</v>
      </c>
      <c r="L319" s="200" t="s">
        <v>1340</v>
      </c>
      <c r="M319" s="213">
        <v>13.4</v>
      </c>
      <c r="N319" s="213"/>
      <c r="O319" s="243" t="str">
        <f>VLOOKUP(Ruimtestaat[[#This Row],[Ruimte code]],Ruimtegroepen[#All],4,FALSE)</f>
        <v>S  (Sanitair)</v>
      </c>
      <c r="P319" s="214"/>
      <c r="Q319" s="215">
        <v>40</v>
      </c>
      <c r="R319" s="215" t="s">
        <v>2</v>
      </c>
      <c r="S319" s="215">
        <f>IF(R319&gt;0,IF(RIGHT(Ruimtestaat[[#This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19" s="215">
        <f>IF(S319&gt;0,VLOOKUP($J319,Ruimtegroepen[],3,FALSE)*VLOOKUP($K319,Vloersoorten[],3,FALSE)*VLOOKUP($R319,Frequenties[],3,FALSE)*VLOOKUP($A319,Locaties[],3,FALSE),0)</f>
        <v>0</v>
      </c>
      <c r="U319" s="215">
        <f>Ruimtestaat[[#This Row],[Uitvoeringen werkdagen]]*Ruimtestaat[[#This Row],[Oppervlak (netto)]]</f>
        <v>2680</v>
      </c>
      <c r="V319" s="259">
        <f>IF(T319&gt;0,Ruimtestaat[[#This Row],[Prest. (m2 /jaar) werkdagen]]/Ruimtestaat[[#This Row],[Norm (m2/uur) werkdagen]],0)</f>
        <v>0</v>
      </c>
      <c r="W319" s="260">
        <f>Ruimtestaat[[#This Row],[uren / jaar werkdagen]]*Tariefsopbouw!$D$38</f>
        <v>0</v>
      </c>
      <c r="X319" s="33"/>
      <c r="Y319" s="33">
        <f>IF(Ruimtestaat[[#This Row],[Frequentie weekend]]&gt;0,VALUE(LEFT(X319,1))*Q319,0)</f>
        <v>0</v>
      </c>
      <c r="Z319" s="33">
        <f>IF($Y319&gt;0,VLOOKUP($J319,Ruimtegroepen[],3,FALSE)*VLOOKUP($K319,Vloersoorten[],3,FALSE)*VLOOKUP($X319,Frequenties[],3,FALSE)*VLOOKUP(#REF!,Locaties[],3,FALSE),0)</f>
        <v>0</v>
      </c>
      <c r="AA319" s="33"/>
      <c r="AB319" s="33"/>
      <c r="AC319" s="33">
        <f>Ruimtestaat[[#This Row],[uren / jaar weekend]]*Tariefsopbouw!$D$40</f>
        <v>0</v>
      </c>
      <c r="AD319" s="88">
        <f>Ruimtestaat[[#This Row],[Prest. (m2 /jaar) weekend]]+Ruimtestaat[[#This Row],[Prest. (m2 /jaar) werkdagen]]</f>
        <v>2680</v>
      </c>
      <c r="AE319" s="88">
        <f>Ruimtestaat[[#This Row],[uren / jaar weekend]]+Ruimtestaat[[#This Row],[uren / jaar werkdagen]]</f>
        <v>0</v>
      </c>
      <c r="AF319" s="89">
        <f>Ruimtestaat[[#This Row],[kosten / jaar weekend]]+Ruimtestaat[[#This Row],[kosten / jaar werkdagen]]</f>
        <v>0</v>
      </c>
    </row>
    <row r="320" spans="1:32" ht="15" customHeight="1">
      <c r="A320" s="200">
        <v>2</v>
      </c>
      <c r="B320" s="21" t="str">
        <f>VLOOKUP(Ruimtestaat[[#This Row],[Code]],Locaties[#All],2,FALSE)</f>
        <v>Stichting Facilitair Beheer Van Renneslaan</v>
      </c>
      <c r="C320" s="243" t="str">
        <f>VLOOKUP(Ruimtestaat[[#This Row],[Code]],Locaties[#All],4,FALSE)</f>
        <v>Catharina van Renneslaan 35</v>
      </c>
      <c r="D320" s="243" t="str">
        <f>VLOOKUP(Ruimtestaat[[#This Row],[Code]],Locaties[#All],5,FALSE)</f>
        <v>7604 KV</v>
      </c>
      <c r="E320" s="243" t="str">
        <f>VLOOKUP(Ruimtestaat[[#This Row],[Code]],Locaties[#All],6,FALSE)</f>
        <v>Almelo</v>
      </c>
      <c r="F320" s="244"/>
      <c r="G320" s="200" t="s">
        <v>1337</v>
      </c>
      <c r="H320" s="200"/>
      <c r="I320" s="244" t="s">
        <v>1247</v>
      </c>
      <c r="J320" s="200">
        <v>6</v>
      </c>
      <c r="K320" s="243" t="s">
        <v>1040</v>
      </c>
      <c r="L320" s="200" t="s">
        <v>999</v>
      </c>
      <c r="M320" s="213">
        <v>34</v>
      </c>
      <c r="N320" s="213"/>
      <c r="O320" s="243" t="str">
        <f>VLOOKUP(Ruimtestaat[[#This Row],[Ruimte code]],Ruimtegroepen[#All],4,FALSE)</f>
        <v>V  (Verkeersruimte)</v>
      </c>
      <c r="P320" s="214"/>
      <c r="Q320" s="215">
        <v>40</v>
      </c>
      <c r="R320" s="215" t="s">
        <v>2</v>
      </c>
      <c r="S320" s="215">
        <f>IF(R320&gt;0,IF(RIGHT(Ruimtestaat[[#This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0" s="215">
        <f>IF(S320&gt;0,VLOOKUP($J320,Ruimtegroepen[],3,FALSE)*VLOOKUP($K320,Vloersoorten[],3,FALSE)*VLOOKUP($R320,Frequenties[],3,FALSE)*VLOOKUP($A320,Locaties[],3,FALSE),0)</f>
        <v>0</v>
      </c>
      <c r="U320" s="215">
        <f>Ruimtestaat[[#This Row],[Uitvoeringen werkdagen]]*Ruimtestaat[[#This Row],[Oppervlak (netto)]]</f>
        <v>6800</v>
      </c>
      <c r="V320" s="259">
        <f>IF(T320&gt;0,Ruimtestaat[[#This Row],[Prest. (m2 /jaar) werkdagen]]/Ruimtestaat[[#This Row],[Norm (m2/uur) werkdagen]],0)</f>
        <v>0</v>
      </c>
      <c r="W320" s="260">
        <f>Ruimtestaat[[#This Row],[uren / jaar werkdagen]]*Tariefsopbouw!$D$38</f>
        <v>0</v>
      </c>
      <c r="X320" s="33"/>
      <c r="Y320" s="33">
        <f>IF(Ruimtestaat[[#This Row],[Frequentie weekend]]&gt;0,VALUE(LEFT(X320,1))*Q320,0)</f>
        <v>0</v>
      </c>
      <c r="Z320" s="33">
        <f>IF($Y320&gt;0,VLOOKUP($J320,Ruimtegroepen[],3,FALSE)*VLOOKUP($K320,Vloersoorten[],3,FALSE)*VLOOKUP($X320,Frequenties[],3,FALSE)*VLOOKUP(#REF!,Locaties[],3,FALSE),0)</f>
        <v>0</v>
      </c>
      <c r="AA320" s="33"/>
      <c r="AB320" s="33"/>
      <c r="AC320" s="33">
        <f>Ruimtestaat[[#This Row],[uren / jaar weekend]]*Tariefsopbouw!$D$40</f>
        <v>0</v>
      </c>
      <c r="AD320" s="88">
        <f>Ruimtestaat[[#This Row],[Prest. (m2 /jaar) weekend]]+Ruimtestaat[[#This Row],[Prest. (m2 /jaar) werkdagen]]</f>
        <v>6800</v>
      </c>
      <c r="AE320" s="88">
        <f>Ruimtestaat[[#This Row],[uren / jaar weekend]]+Ruimtestaat[[#This Row],[uren / jaar werkdagen]]</f>
        <v>0</v>
      </c>
      <c r="AF320" s="89">
        <f>Ruimtestaat[[#This Row],[kosten / jaar weekend]]+Ruimtestaat[[#This Row],[kosten / jaar werkdagen]]</f>
        <v>0</v>
      </c>
    </row>
    <row r="321" spans="1:32" ht="15" customHeight="1">
      <c r="A321" s="200">
        <v>2</v>
      </c>
      <c r="B321" s="21" t="str">
        <f>VLOOKUP(Ruimtestaat[[#This Row],[Code]],Locaties[#All],2,FALSE)</f>
        <v>Stichting Facilitair Beheer Van Renneslaan</v>
      </c>
      <c r="C321" s="243" t="str">
        <f>VLOOKUP(Ruimtestaat[[#This Row],[Code]],Locaties[#All],4,FALSE)</f>
        <v>Catharina van Renneslaan 35</v>
      </c>
      <c r="D321" s="243" t="str">
        <f>VLOOKUP(Ruimtestaat[[#This Row],[Code]],Locaties[#All],5,FALSE)</f>
        <v>7604 KV</v>
      </c>
      <c r="E321" s="243" t="str">
        <f>VLOOKUP(Ruimtestaat[[#This Row],[Code]],Locaties[#All],6,FALSE)</f>
        <v>Almelo</v>
      </c>
      <c r="F321" s="244"/>
      <c r="G321" s="200" t="s">
        <v>1337</v>
      </c>
      <c r="H321" s="200"/>
      <c r="I321" s="244" t="s">
        <v>1248</v>
      </c>
      <c r="J321" s="200">
        <v>10</v>
      </c>
      <c r="K321" s="243" t="s">
        <v>112</v>
      </c>
      <c r="L321" s="200" t="s">
        <v>1341</v>
      </c>
      <c r="M321" s="213">
        <v>7.5</v>
      </c>
      <c r="N321" s="213"/>
      <c r="O321" s="243" t="str">
        <f>VLOOKUP(Ruimtestaat[[#This Row],[Ruimte code]],Ruimtegroepen[#All],4,FALSE)</f>
        <v>V  (Verkeersruimte)</v>
      </c>
      <c r="P321" s="214"/>
      <c r="Q321" s="215">
        <v>40</v>
      </c>
      <c r="R321" s="215" t="s">
        <v>2</v>
      </c>
      <c r="S321" s="215">
        <f>IF(R321&gt;0,IF(RIGHT(Ruimtestaat[[#This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1" s="215">
        <f>IF(S321&gt;0,VLOOKUP($J321,Ruimtegroepen[],3,FALSE)*VLOOKUP($K321,Vloersoorten[],3,FALSE)*VLOOKUP($R321,Frequenties[],3,FALSE)*VLOOKUP($A321,Locaties[],3,FALSE),0)</f>
        <v>0</v>
      </c>
      <c r="U321" s="215">
        <f>Ruimtestaat[[#This Row],[Uitvoeringen werkdagen]]*Ruimtestaat[[#This Row],[Oppervlak (netto)]]</f>
        <v>1500</v>
      </c>
      <c r="V321" s="259">
        <f>IF(T321&gt;0,Ruimtestaat[[#This Row],[Prest. (m2 /jaar) werkdagen]]/Ruimtestaat[[#This Row],[Norm (m2/uur) werkdagen]],0)</f>
        <v>0</v>
      </c>
      <c r="W321" s="260">
        <f>Ruimtestaat[[#This Row],[uren / jaar werkdagen]]*Tariefsopbouw!$D$38</f>
        <v>0</v>
      </c>
      <c r="X321" s="33"/>
      <c r="Y321" s="33">
        <f>IF(Ruimtestaat[[#This Row],[Frequentie weekend]]&gt;0,VALUE(LEFT(X321,1))*Q321,0)</f>
        <v>0</v>
      </c>
      <c r="Z321" s="33">
        <f>IF($Y321&gt;0,VLOOKUP($J321,Ruimtegroepen[],3,FALSE)*VLOOKUP($K321,Vloersoorten[],3,FALSE)*VLOOKUP($X321,Frequenties[],3,FALSE)*VLOOKUP(#REF!,Locaties[],3,FALSE),0)</f>
        <v>0</v>
      </c>
      <c r="AA321" s="33"/>
      <c r="AB321" s="33"/>
      <c r="AC321" s="33">
        <f>Ruimtestaat[[#This Row],[uren / jaar weekend]]*Tariefsopbouw!$D$40</f>
        <v>0</v>
      </c>
      <c r="AD321" s="88">
        <f>Ruimtestaat[[#This Row],[Prest. (m2 /jaar) weekend]]+Ruimtestaat[[#This Row],[Prest. (m2 /jaar) werkdagen]]</f>
        <v>1500</v>
      </c>
      <c r="AE321" s="88">
        <f>Ruimtestaat[[#This Row],[uren / jaar weekend]]+Ruimtestaat[[#This Row],[uren / jaar werkdagen]]</f>
        <v>0</v>
      </c>
      <c r="AF321" s="89">
        <f>Ruimtestaat[[#This Row],[kosten / jaar weekend]]+Ruimtestaat[[#This Row],[kosten / jaar werkdagen]]</f>
        <v>0</v>
      </c>
    </row>
    <row r="322" spans="1:32" ht="15" customHeight="1">
      <c r="A322" s="200">
        <v>2</v>
      </c>
      <c r="B322" s="21" t="str">
        <f>VLOOKUP(Ruimtestaat[[#This Row],[Code]],Locaties[#All],2,FALSE)</f>
        <v>Stichting Facilitair Beheer Van Renneslaan</v>
      </c>
      <c r="C322" s="243" t="str">
        <f>VLOOKUP(Ruimtestaat[[#This Row],[Code]],Locaties[#All],4,FALSE)</f>
        <v>Catharina van Renneslaan 35</v>
      </c>
      <c r="D322" s="243" t="str">
        <f>VLOOKUP(Ruimtestaat[[#This Row],[Code]],Locaties[#All],5,FALSE)</f>
        <v>7604 KV</v>
      </c>
      <c r="E322" s="243" t="str">
        <f>VLOOKUP(Ruimtestaat[[#This Row],[Code]],Locaties[#All],6,FALSE)</f>
        <v>Almelo</v>
      </c>
      <c r="F322" s="244"/>
      <c r="G322" s="200" t="s">
        <v>1337</v>
      </c>
      <c r="H322" s="200"/>
      <c r="I322" s="244" t="s">
        <v>1249</v>
      </c>
      <c r="J322" s="200">
        <v>6</v>
      </c>
      <c r="K322" s="243" t="s">
        <v>112</v>
      </c>
      <c r="L322" s="200" t="s">
        <v>1341</v>
      </c>
      <c r="M322" s="213">
        <v>87.4</v>
      </c>
      <c r="N322" s="213"/>
      <c r="O322" s="243" t="str">
        <f>VLOOKUP(Ruimtestaat[[#This Row],[Ruimte code]],Ruimtegroepen[#All],4,FALSE)</f>
        <v>V  (Verkeersruimte)</v>
      </c>
      <c r="P322" s="214"/>
      <c r="Q322" s="215">
        <v>40</v>
      </c>
      <c r="R322" s="215" t="s">
        <v>2</v>
      </c>
      <c r="S322" s="215">
        <f>IF(R322&gt;0,IF(RIGHT(Ruimtestaat[[#This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2" s="215">
        <f>IF(S322&gt;0,VLOOKUP($J322,Ruimtegroepen[],3,FALSE)*VLOOKUP($K322,Vloersoorten[],3,FALSE)*VLOOKUP($R322,Frequenties[],3,FALSE)*VLOOKUP($A322,Locaties[],3,FALSE),0)</f>
        <v>0</v>
      </c>
      <c r="U322" s="215">
        <f>Ruimtestaat[[#This Row],[Uitvoeringen werkdagen]]*Ruimtestaat[[#This Row],[Oppervlak (netto)]]</f>
        <v>17480</v>
      </c>
      <c r="V322" s="259">
        <f>IF(T322&gt;0,Ruimtestaat[[#This Row],[Prest. (m2 /jaar) werkdagen]]/Ruimtestaat[[#This Row],[Norm (m2/uur) werkdagen]],0)</f>
        <v>0</v>
      </c>
      <c r="W322" s="260">
        <f>Ruimtestaat[[#This Row],[uren / jaar werkdagen]]*Tariefsopbouw!$D$38</f>
        <v>0</v>
      </c>
      <c r="X322" s="33"/>
      <c r="Y322" s="33">
        <f>IF(Ruimtestaat[[#This Row],[Frequentie weekend]]&gt;0,VALUE(LEFT(X322,1))*Q322,0)</f>
        <v>0</v>
      </c>
      <c r="Z322" s="33">
        <f>IF($Y322&gt;0,VLOOKUP($J322,Ruimtegroepen[],3,FALSE)*VLOOKUP($K322,Vloersoorten[],3,FALSE)*VLOOKUP($X322,Frequenties[],3,FALSE)*VLOOKUP(#REF!,Locaties[],3,FALSE),0)</f>
        <v>0</v>
      </c>
      <c r="AA322" s="33"/>
      <c r="AB322" s="33"/>
      <c r="AC322" s="33">
        <f>Ruimtestaat[[#This Row],[uren / jaar weekend]]*Tariefsopbouw!$D$40</f>
        <v>0</v>
      </c>
      <c r="AD322" s="88">
        <f>Ruimtestaat[[#This Row],[Prest. (m2 /jaar) weekend]]+Ruimtestaat[[#This Row],[Prest. (m2 /jaar) werkdagen]]</f>
        <v>17480</v>
      </c>
      <c r="AE322" s="88">
        <f>Ruimtestaat[[#This Row],[uren / jaar weekend]]+Ruimtestaat[[#This Row],[uren / jaar werkdagen]]</f>
        <v>0</v>
      </c>
      <c r="AF322" s="89">
        <f>Ruimtestaat[[#This Row],[kosten / jaar weekend]]+Ruimtestaat[[#This Row],[kosten / jaar werkdagen]]</f>
        <v>0</v>
      </c>
    </row>
    <row r="323" spans="1:32" ht="15" customHeight="1">
      <c r="A323" s="200">
        <v>2</v>
      </c>
      <c r="B323" s="21" t="str">
        <f>VLOOKUP(Ruimtestaat[[#This Row],[Code]],Locaties[#All],2,FALSE)</f>
        <v>Stichting Facilitair Beheer Van Renneslaan</v>
      </c>
      <c r="C323" s="243" t="str">
        <f>VLOOKUP(Ruimtestaat[[#This Row],[Code]],Locaties[#All],4,FALSE)</f>
        <v>Catharina van Renneslaan 35</v>
      </c>
      <c r="D323" s="243" t="str">
        <f>VLOOKUP(Ruimtestaat[[#This Row],[Code]],Locaties[#All],5,FALSE)</f>
        <v>7604 KV</v>
      </c>
      <c r="E323" s="243" t="str">
        <f>VLOOKUP(Ruimtestaat[[#This Row],[Code]],Locaties[#All],6,FALSE)</f>
        <v>Almelo</v>
      </c>
      <c r="F323" s="244"/>
      <c r="G323" s="200" t="s">
        <v>1337</v>
      </c>
      <c r="H323" s="200"/>
      <c r="I323" s="244" t="s">
        <v>1250</v>
      </c>
      <c r="J323" s="200">
        <v>21</v>
      </c>
      <c r="K323" s="243" t="s">
        <v>1040</v>
      </c>
      <c r="L323" s="200" t="s">
        <v>999</v>
      </c>
      <c r="M323" s="213"/>
      <c r="N323" s="213">
        <v>3.1</v>
      </c>
      <c r="O323" s="243" t="str">
        <f>VLOOKUP(Ruimtestaat[[#This Row],[Ruimte code]],Ruimtegroepen[#All],4,FALSE)</f>
        <v>Niet in onderhoud</v>
      </c>
      <c r="P323" s="214"/>
      <c r="Q323" s="215"/>
      <c r="R323" s="215"/>
      <c r="S323" s="215">
        <f>IF(R323&gt;0,IF(RIGHT(Ruimtestaat[[#This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3" s="215">
        <f>IF(S323&gt;0,VLOOKUP($J323,Ruimtegroepen[],3,FALSE)*VLOOKUP($K323,Vloersoorten[],3,FALSE)*VLOOKUP($R323,Frequenties[],3,FALSE)*VLOOKUP($A323,Locaties[],3,FALSE),0)</f>
        <v>0</v>
      </c>
      <c r="U323" s="215">
        <f>Ruimtestaat[[#This Row],[Uitvoeringen werkdagen]]*Ruimtestaat[[#This Row],[Oppervlak (netto)]]</f>
        <v>0</v>
      </c>
      <c r="V323" s="259">
        <f>IF(T323&gt;0,Ruimtestaat[[#This Row],[Prest. (m2 /jaar) werkdagen]]/Ruimtestaat[[#This Row],[Norm (m2/uur) werkdagen]],0)</f>
        <v>0</v>
      </c>
      <c r="W323" s="260">
        <f>Ruimtestaat[[#This Row],[uren / jaar werkdagen]]*Tariefsopbouw!$D$38</f>
        <v>0</v>
      </c>
      <c r="X323" s="33"/>
      <c r="Y323" s="33">
        <f>IF(Ruimtestaat[[#This Row],[Frequentie weekend]]&gt;0,VALUE(LEFT(X323,1))*Q323,0)</f>
        <v>0</v>
      </c>
      <c r="Z323" s="33">
        <f>IF($Y323&gt;0,VLOOKUP($J323,Ruimtegroepen[],3,FALSE)*VLOOKUP($K323,Vloersoorten[],3,FALSE)*VLOOKUP($X323,Frequenties[],3,FALSE)*VLOOKUP(#REF!,Locaties[],3,FALSE),0)</f>
        <v>0</v>
      </c>
      <c r="AA323" s="33"/>
      <c r="AB323" s="33"/>
      <c r="AC323" s="33">
        <f>Ruimtestaat[[#This Row],[uren / jaar weekend]]*Tariefsopbouw!$D$40</f>
        <v>0</v>
      </c>
      <c r="AD323" s="88">
        <f>Ruimtestaat[[#This Row],[Prest. (m2 /jaar) weekend]]+Ruimtestaat[[#This Row],[Prest. (m2 /jaar) werkdagen]]</f>
        <v>0</v>
      </c>
      <c r="AE323" s="88">
        <f>Ruimtestaat[[#This Row],[uren / jaar weekend]]+Ruimtestaat[[#This Row],[uren / jaar werkdagen]]</f>
        <v>0</v>
      </c>
      <c r="AF323" s="89">
        <f>Ruimtestaat[[#This Row],[kosten / jaar weekend]]+Ruimtestaat[[#This Row],[kosten / jaar werkdagen]]</f>
        <v>0</v>
      </c>
    </row>
    <row r="324" spans="1:32" ht="15" customHeight="1">
      <c r="A324" s="200">
        <v>2</v>
      </c>
      <c r="B324" s="21" t="str">
        <f>VLOOKUP(Ruimtestaat[[#This Row],[Code]],Locaties[#All],2,FALSE)</f>
        <v>Stichting Facilitair Beheer Van Renneslaan</v>
      </c>
      <c r="C324" s="243" t="str">
        <f>VLOOKUP(Ruimtestaat[[#This Row],[Code]],Locaties[#All],4,FALSE)</f>
        <v>Catharina van Renneslaan 35</v>
      </c>
      <c r="D324" s="243" t="str">
        <f>VLOOKUP(Ruimtestaat[[#This Row],[Code]],Locaties[#All],5,FALSE)</f>
        <v>7604 KV</v>
      </c>
      <c r="E324" s="243" t="str">
        <f>VLOOKUP(Ruimtestaat[[#This Row],[Code]],Locaties[#All],6,FALSE)</f>
        <v>Almelo</v>
      </c>
      <c r="F324" s="244"/>
      <c r="G324" s="200" t="s">
        <v>1337</v>
      </c>
      <c r="H324" s="200"/>
      <c r="I324" s="244" t="s">
        <v>1251</v>
      </c>
      <c r="J324" s="215">
        <v>21</v>
      </c>
      <c r="K324" s="243" t="s">
        <v>1040</v>
      </c>
      <c r="L324" s="200" t="s">
        <v>999</v>
      </c>
      <c r="M324" s="213"/>
      <c r="N324" s="213">
        <v>7.26</v>
      </c>
      <c r="O324" s="243" t="str">
        <f>VLOOKUP(Ruimtestaat[[#This Row],[Ruimte code]],Ruimtegroepen[#All],4,FALSE)</f>
        <v>Niet in onderhoud</v>
      </c>
      <c r="P324" s="214"/>
      <c r="Q324" s="215"/>
      <c r="R324" s="215"/>
      <c r="S324" s="215">
        <f>IF(R324&gt;0,IF(RIGHT(Ruimtestaat[[#This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24" s="215">
        <f>IF(S324&gt;0,VLOOKUP($J324,Ruimtegroepen[],3,FALSE)*VLOOKUP($K324,Vloersoorten[],3,FALSE)*VLOOKUP($R324,Frequenties[],3,FALSE)*VLOOKUP($A324,Locaties[],3,FALSE),0)</f>
        <v>0</v>
      </c>
      <c r="U324" s="215">
        <f>Ruimtestaat[[#This Row],[Uitvoeringen werkdagen]]*Ruimtestaat[[#This Row],[Oppervlak (netto)]]</f>
        <v>0</v>
      </c>
      <c r="V324" s="259">
        <f>IF(T324&gt;0,Ruimtestaat[[#This Row],[Prest. (m2 /jaar) werkdagen]]/Ruimtestaat[[#This Row],[Norm (m2/uur) werkdagen]],0)</f>
        <v>0</v>
      </c>
      <c r="W324" s="260">
        <f>Ruimtestaat[[#This Row],[uren / jaar werkdagen]]*Tariefsopbouw!$D$38</f>
        <v>0</v>
      </c>
      <c r="X324" s="33"/>
      <c r="Y324" s="33">
        <f>IF(Ruimtestaat[[#This Row],[Frequentie weekend]]&gt;0,VALUE(LEFT(X324,1))*Q324,0)</f>
        <v>0</v>
      </c>
      <c r="Z324" s="33">
        <f>IF($Y324&gt;0,VLOOKUP($J324,Ruimtegroepen[],3,FALSE)*VLOOKUP($K324,Vloersoorten[],3,FALSE)*VLOOKUP($X324,Frequenties[],3,FALSE)*VLOOKUP(#REF!,Locaties[],3,FALSE),0)</f>
        <v>0</v>
      </c>
      <c r="AA324" s="33"/>
      <c r="AB324" s="33"/>
      <c r="AC324" s="33">
        <f>Ruimtestaat[[#This Row],[uren / jaar weekend]]*Tariefsopbouw!$D$40</f>
        <v>0</v>
      </c>
      <c r="AD324" s="88">
        <f>Ruimtestaat[[#This Row],[Prest. (m2 /jaar) weekend]]+Ruimtestaat[[#This Row],[Prest. (m2 /jaar) werkdagen]]</f>
        <v>0</v>
      </c>
      <c r="AE324" s="88">
        <f>Ruimtestaat[[#This Row],[uren / jaar weekend]]+Ruimtestaat[[#This Row],[uren / jaar werkdagen]]</f>
        <v>0</v>
      </c>
      <c r="AF324" s="89">
        <f>Ruimtestaat[[#This Row],[kosten / jaar weekend]]+Ruimtestaat[[#This Row],[kosten / jaar werkdagen]]</f>
        <v>0</v>
      </c>
    </row>
    <row r="325" spans="1:32" ht="15" customHeight="1">
      <c r="A325" s="200">
        <v>2</v>
      </c>
      <c r="B325" s="21" t="str">
        <f>VLOOKUP(Ruimtestaat[[#This Row],[Code]],Locaties[#All],2,FALSE)</f>
        <v>Stichting Facilitair Beheer Van Renneslaan</v>
      </c>
      <c r="C325" s="243" t="str">
        <f>VLOOKUP(Ruimtestaat[[#This Row],[Code]],Locaties[#All],4,FALSE)</f>
        <v>Catharina van Renneslaan 35</v>
      </c>
      <c r="D325" s="243" t="str">
        <f>VLOOKUP(Ruimtestaat[[#This Row],[Code]],Locaties[#All],5,FALSE)</f>
        <v>7604 KV</v>
      </c>
      <c r="E325" s="243" t="str">
        <f>VLOOKUP(Ruimtestaat[[#This Row],[Code]],Locaties[#All],6,FALSE)</f>
        <v>Almelo</v>
      </c>
      <c r="F325" s="244"/>
      <c r="G325" s="200" t="s">
        <v>1337</v>
      </c>
      <c r="H325" s="200"/>
      <c r="I325" s="244" t="s">
        <v>1252</v>
      </c>
      <c r="J325" s="200">
        <v>8</v>
      </c>
      <c r="K325" s="243" t="s">
        <v>1040</v>
      </c>
      <c r="L325" s="200" t="s">
        <v>999</v>
      </c>
      <c r="M325" s="213">
        <v>19.2</v>
      </c>
      <c r="N325" s="213"/>
      <c r="O325" s="243" t="str">
        <f>VLOOKUP(Ruimtestaat[[#This Row],[Ruimte code]],Ruimtegroepen[#All],4,FALSE)</f>
        <v>L  (Lesruimte)</v>
      </c>
      <c r="P325" s="214"/>
      <c r="Q325" s="215">
        <v>40</v>
      </c>
      <c r="R325" s="215" t="s">
        <v>2</v>
      </c>
      <c r="S325" s="215">
        <f>IF(R325&gt;0,IF(RIGHT(Ruimtestaat[[#This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5" s="215">
        <f>IF(S325&gt;0,VLOOKUP($J325,Ruimtegroepen[],3,FALSE)*VLOOKUP($K325,Vloersoorten[],3,FALSE)*VLOOKUP($R325,Frequenties[],3,FALSE)*VLOOKUP($A325,Locaties[],3,FALSE),0)</f>
        <v>0</v>
      </c>
      <c r="U325" s="215">
        <f>Ruimtestaat[[#This Row],[Uitvoeringen werkdagen]]*Ruimtestaat[[#This Row],[Oppervlak (netto)]]</f>
        <v>3840</v>
      </c>
      <c r="V325" s="259">
        <f>IF(T325&gt;0,Ruimtestaat[[#This Row],[Prest. (m2 /jaar) werkdagen]]/Ruimtestaat[[#This Row],[Norm (m2/uur) werkdagen]],0)</f>
        <v>0</v>
      </c>
      <c r="W325" s="260">
        <f>Ruimtestaat[[#This Row],[uren / jaar werkdagen]]*Tariefsopbouw!$D$38</f>
        <v>0</v>
      </c>
      <c r="X325" s="33"/>
      <c r="Y325" s="33">
        <f>IF(Ruimtestaat[[#This Row],[Frequentie weekend]]&gt;0,VALUE(LEFT(X325,1))*Q325,0)</f>
        <v>0</v>
      </c>
      <c r="Z325" s="33">
        <f>IF($Y325&gt;0,VLOOKUP($J325,Ruimtegroepen[],3,FALSE)*VLOOKUP($K325,Vloersoorten[],3,FALSE)*VLOOKUP($X325,Frequenties[],3,FALSE)*VLOOKUP(#REF!,Locaties[],3,FALSE),0)</f>
        <v>0</v>
      </c>
      <c r="AA325" s="33"/>
      <c r="AB325" s="33"/>
      <c r="AC325" s="33">
        <f>Ruimtestaat[[#This Row],[uren / jaar weekend]]*Tariefsopbouw!$D$40</f>
        <v>0</v>
      </c>
      <c r="AD325" s="88">
        <f>Ruimtestaat[[#This Row],[Prest. (m2 /jaar) weekend]]+Ruimtestaat[[#This Row],[Prest. (m2 /jaar) werkdagen]]</f>
        <v>3840</v>
      </c>
      <c r="AE325" s="88">
        <f>Ruimtestaat[[#This Row],[uren / jaar weekend]]+Ruimtestaat[[#This Row],[uren / jaar werkdagen]]</f>
        <v>0</v>
      </c>
      <c r="AF325" s="89">
        <f>Ruimtestaat[[#This Row],[kosten / jaar weekend]]+Ruimtestaat[[#This Row],[kosten / jaar werkdagen]]</f>
        <v>0</v>
      </c>
    </row>
    <row r="326" spans="1:32" ht="15" customHeight="1">
      <c r="A326" s="200">
        <v>2</v>
      </c>
      <c r="B326" s="21" t="str">
        <f>VLOOKUP(Ruimtestaat[[#This Row],[Code]],Locaties[#All],2,FALSE)</f>
        <v>Stichting Facilitair Beheer Van Renneslaan</v>
      </c>
      <c r="C326" s="243" t="str">
        <f>VLOOKUP(Ruimtestaat[[#This Row],[Code]],Locaties[#All],4,FALSE)</f>
        <v>Catharina van Renneslaan 35</v>
      </c>
      <c r="D326" s="243" t="str">
        <f>VLOOKUP(Ruimtestaat[[#This Row],[Code]],Locaties[#All],5,FALSE)</f>
        <v>7604 KV</v>
      </c>
      <c r="E326" s="243" t="str">
        <f>VLOOKUP(Ruimtestaat[[#This Row],[Code]],Locaties[#All],6,FALSE)</f>
        <v>Almelo</v>
      </c>
      <c r="F326" s="244"/>
      <c r="G326" s="215" t="s">
        <v>1337</v>
      </c>
      <c r="H326" s="215"/>
      <c r="I326" s="258" t="s">
        <v>1244</v>
      </c>
      <c r="J326" s="200">
        <v>5</v>
      </c>
      <c r="K326" s="243" t="s">
        <v>111</v>
      </c>
      <c r="L326" s="200" t="s">
        <v>1340</v>
      </c>
      <c r="M326" s="213">
        <v>7.5</v>
      </c>
      <c r="N326" s="213"/>
      <c r="O326" s="243" t="str">
        <f>VLOOKUP(Ruimtestaat[[#This Row],[Ruimte code]],Ruimtegroepen[#All],4,FALSE)</f>
        <v>S  (Sanitair)</v>
      </c>
      <c r="P326" s="214"/>
      <c r="Q326" s="215">
        <v>40</v>
      </c>
      <c r="R326" s="215" t="s">
        <v>2</v>
      </c>
      <c r="S326" s="215">
        <f>IF(R326&gt;0,IF(RIGHT(Ruimtestaat[[#This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6" s="215">
        <f>IF(S326&gt;0,VLOOKUP($J326,Ruimtegroepen[],3,FALSE)*VLOOKUP($K326,Vloersoorten[],3,FALSE)*VLOOKUP($R326,Frequenties[],3,FALSE)*VLOOKUP($A326,Locaties[],3,FALSE),0)</f>
        <v>0</v>
      </c>
      <c r="U326" s="215">
        <f>Ruimtestaat[[#This Row],[Uitvoeringen werkdagen]]*Ruimtestaat[[#This Row],[Oppervlak (netto)]]</f>
        <v>1500</v>
      </c>
      <c r="V326" s="259">
        <f>IF(T326&gt;0,Ruimtestaat[[#This Row],[Prest. (m2 /jaar) werkdagen]]/Ruimtestaat[[#This Row],[Norm (m2/uur) werkdagen]],0)</f>
        <v>0</v>
      </c>
      <c r="W326" s="260">
        <f>Ruimtestaat[[#This Row],[uren / jaar werkdagen]]*Tariefsopbouw!$D$38</f>
        <v>0</v>
      </c>
      <c r="X326" s="33"/>
      <c r="Y326" s="33">
        <f>IF(Ruimtestaat[[#This Row],[Frequentie weekend]]&gt;0,VALUE(LEFT(X326,1))*Q326,0)</f>
        <v>0</v>
      </c>
      <c r="Z326" s="33">
        <f>IF($Y326&gt;0,VLOOKUP($J326,Ruimtegroepen[],3,FALSE)*VLOOKUP($K326,Vloersoorten[],3,FALSE)*VLOOKUP($X326,Frequenties[],3,FALSE)*VLOOKUP(#REF!,Locaties[],3,FALSE),0)</f>
        <v>0</v>
      </c>
      <c r="AA326" s="33"/>
      <c r="AB326" s="33"/>
      <c r="AC326" s="33">
        <f>Ruimtestaat[[#This Row],[uren / jaar weekend]]*Tariefsopbouw!$D$40</f>
        <v>0</v>
      </c>
      <c r="AD326" s="88">
        <f>Ruimtestaat[[#This Row],[Prest. (m2 /jaar) weekend]]+Ruimtestaat[[#This Row],[Prest. (m2 /jaar) werkdagen]]</f>
        <v>1500</v>
      </c>
      <c r="AE326" s="88">
        <f>Ruimtestaat[[#This Row],[uren / jaar weekend]]+Ruimtestaat[[#This Row],[uren / jaar werkdagen]]</f>
        <v>0</v>
      </c>
      <c r="AF326" s="89">
        <f>Ruimtestaat[[#This Row],[kosten / jaar weekend]]+Ruimtestaat[[#This Row],[kosten / jaar werkdagen]]</f>
        <v>0</v>
      </c>
    </row>
    <row r="327" spans="1:32" ht="15" customHeight="1">
      <c r="A327" s="200">
        <v>2</v>
      </c>
      <c r="B327" s="21" t="str">
        <f>VLOOKUP(Ruimtestaat[[#This Row],[Code]],Locaties[#All],2,FALSE)</f>
        <v>Stichting Facilitair Beheer Van Renneslaan</v>
      </c>
      <c r="C327" s="243" t="str">
        <f>VLOOKUP(Ruimtestaat[[#This Row],[Code]],Locaties[#All],4,FALSE)</f>
        <v>Catharina van Renneslaan 35</v>
      </c>
      <c r="D327" s="243" t="str">
        <f>VLOOKUP(Ruimtestaat[[#This Row],[Code]],Locaties[#All],5,FALSE)</f>
        <v>7604 KV</v>
      </c>
      <c r="E327" s="243" t="str">
        <f>VLOOKUP(Ruimtestaat[[#This Row],[Code]],Locaties[#All],6,FALSE)</f>
        <v>Almelo</v>
      </c>
      <c r="F327" s="244"/>
      <c r="G327" s="215" t="s">
        <v>1337</v>
      </c>
      <c r="H327" s="215"/>
      <c r="I327" s="258" t="s">
        <v>1246</v>
      </c>
      <c r="J327" s="200">
        <v>5</v>
      </c>
      <c r="K327" s="243" t="s">
        <v>111</v>
      </c>
      <c r="L327" s="200" t="s">
        <v>1340</v>
      </c>
      <c r="M327" s="213">
        <v>7.5</v>
      </c>
      <c r="N327" s="213"/>
      <c r="O327" s="243" t="str">
        <f>VLOOKUP(Ruimtestaat[[#This Row],[Ruimte code]],Ruimtegroepen[#All],4,FALSE)</f>
        <v>S  (Sanitair)</v>
      </c>
      <c r="P327" s="214"/>
      <c r="Q327" s="215">
        <v>40</v>
      </c>
      <c r="R327" s="215" t="s">
        <v>2</v>
      </c>
      <c r="S327" s="215">
        <f>IF(R327&gt;0,IF(RIGHT(Ruimtestaat[[#This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7" s="215">
        <f>IF(S327&gt;0,VLOOKUP($J327,Ruimtegroepen[],3,FALSE)*VLOOKUP($K327,Vloersoorten[],3,FALSE)*VLOOKUP($R327,Frequenties[],3,FALSE)*VLOOKUP($A327,Locaties[],3,FALSE),0)</f>
        <v>0</v>
      </c>
      <c r="U327" s="215">
        <f>Ruimtestaat[[#This Row],[Uitvoeringen werkdagen]]*Ruimtestaat[[#This Row],[Oppervlak (netto)]]</f>
        <v>1500</v>
      </c>
      <c r="V327" s="259">
        <f>IF(T327&gt;0,Ruimtestaat[[#This Row],[Prest. (m2 /jaar) werkdagen]]/Ruimtestaat[[#This Row],[Norm (m2/uur) werkdagen]],0)</f>
        <v>0</v>
      </c>
      <c r="W327" s="260">
        <f>Ruimtestaat[[#This Row],[uren / jaar werkdagen]]*Tariefsopbouw!$D$38</f>
        <v>0</v>
      </c>
      <c r="X327" s="33"/>
      <c r="Y327" s="33">
        <f>IF(Ruimtestaat[[#This Row],[Frequentie weekend]]&gt;0,VALUE(LEFT(X327,1))*Q327,0)</f>
        <v>0</v>
      </c>
      <c r="Z327" s="33">
        <f>IF($Y327&gt;0,VLOOKUP($J327,Ruimtegroepen[],3,FALSE)*VLOOKUP($K327,Vloersoorten[],3,FALSE)*VLOOKUP($X327,Frequenties[],3,FALSE)*VLOOKUP(#REF!,Locaties[],3,FALSE),0)</f>
        <v>0</v>
      </c>
      <c r="AA327" s="33"/>
      <c r="AB327" s="33"/>
      <c r="AC327" s="33">
        <f>Ruimtestaat[[#This Row],[uren / jaar weekend]]*Tariefsopbouw!$D$40</f>
        <v>0</v>
      </c>
      <c r="AD327" s="88">
        <f>Ruimtestaat[[#This Row],[Prest. (m2 /jaar) weekend]]+Ruimtestaat[[#This Row],[Prest. (m2 /jaar) werkdagen]]</f>
        <v>1500</v>
      </c>
      <c r="AE327" s="88">
        <f>Ruimtestaat[[#This Row],[uren / jaar weekend]]+Ruimtestaat[[#This Row],[uren / jaar werkdagen]]</f>
        <v>0</v>
      </c>
      <c r="AF327" s="89">
        <f>Ruimtestaat[[#This Row],[kosten / jaar weekend]]+Ruimtestaat[[#This Row],[kosten / jaar werkdagen]]</f>
        <v>0</v>
      </c>
    </row>
    <row r="328" spans="1:32" ht="15" customHeight="1">
      <c r="A328" s="200">
        <v>2</v>
      </c>
      <c r="B328" s="21" t="str">
        <f>VLOOKUP(Ruimtestaat[[#This Row],[Code]],Locaties[#All],2,FALSE)</f>
        <v>Stichting Facilitair Beheer Van Renneslaan</v>
      </c>
      <c r="C328" s="243" t="str">
        <f>VLOOKUP(Ruimtestaat[[#This Row],[Code]],Locaties[#All],4,FALSE)</f>
        <v>Catharina van Renneslaan 35</v>
      </c>
      <c r="D328" s="243" t="str">
        <f>VLOOKUP(Ruimtestaat[[#This Row],[Code]],Locaties[#All],5,FALSE)</f>
        <v>7604 KV</v>
      </c>
      <c r="E328" s="243" t="str">
        <f>VLOOKUP(Ruimtestaat[[#This Row],[Code]],Locaties[#All],6,FALSE)</f>
        <v>Almelo</v>
      </c>
      <c r="F328" s="244"/>
      <c r="G328" s="215" t="s">
        <v>1337</v>
      </c>
      <c r="H328" s="200"/>
      <c r="I328" s="244" t="s">
        <v>1253</v>
      </c>
      <c r="J328" s="200">
        <v>16</v>
      </c>
      <c r="K328" s="243" t="s">
        <v>1040</v>
      </c>
      <c r="L328" s="200" t="s">
        <v>999</v>
      </c>
      <c r="M328" s="213">
        <v>28.1</v>
      </c>
      <c r="N328" s="213"/>
      <c r="O328" s="243" t="str">
        <f>VLOOKUP(Ruimtestaat[[#This Row],[Ruimte code]],Ruimtegroepen[#All],4,FALSE)</f>
        <v>L  (Lesruimte)</v>
      </c>
      <c r="P328" s="214"/>
      <c r="Q328" s="215">
        <v>40</v>
      </c>
      <c r="R328" s="215" t="s">
        <v>2</v>
      </c>
      <c r="S328" s="215">
        <f>IF(R328&gt;0,IF(RIGHT(Ruimtestaat[[#This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28" s="215">
        <f>IF(S328&gt;0,VLOOKUP($J328,Ruimtegroepen[],3,FALSE)*VLOOKUP($K328,Vloersoorten[],3,FALSE)*VLOOKUP($R328,Frequenties[],3,FALSE)*VLOOKUP($A328,Locaties[],3,FALSE),0)</f>
        <v>0</v>
      </c>
      <c r="U328" s="215">
        <f>Ruimtestaat[[#This Row],[Uitvoeringen werkdagen]]*Ruimtestaat[[#This Row],[Oppervlak (netto)]]</f>
        <v>5620</v>
      </c>
      <c r="V328" s="259">
        <f>IF(T328&gt;0,Ruimtestaat[[#This Row],[Prest. (m2 /jaar) werkdagen]]/Ruimtestaat[[#This Row],[Norm (m2/uur) werkdagen]],0)</f>
        <v>0</v>
      </c>
      <c r="W328" s="260">
        <f>Ruimtestaat[[#This Row],[uren / jaar werkdagen]]*Tariefsopbouw!$D$38</f>
        <v>0</v>
      </c>
      <c r="X328" s="33"/>
      <c r="Y328" s="33">
        <f>IF(Ruimtestaat[[#This Row],[Frequentie weekend]]&gt;0,VALUE(LEFT(X328,1))*Q328,0)</f>
        <v>0</v>
      </c>
      <c r="Z328" s="33">
        <f>IF($Y328&gt;0,VLOOKUP($J328,Ruimtegroepen[],3,FALSE)*VLOOKUP($K328,Vloersoorten[],3,FALSE)*VLOOKUP($X328,Frequenties[],3,FALSE)*VLOOKUP(#REF!,Locaties[],3,FALSE),0)</f>
        <v>0</v>
      </c>
      <c r="AA328" s="33"/>
      <c r="AB328" s="33"/>
      <c r="AC328" s="33">
        <f>Ruimtestaat[[#This Row],[uren / jaar weekend]]*Tariefsopbouw!$D$40</f>
        <v>0</v>
      </c>
      <c r="AD328" s="88">
        <f>Ruimtestaat[[#This Row],[Prest. (m2 /jaar) weekend]]+Ruimtestaat[[#This Row],[Prest. (m2 /jaar) werkdagen]]</f>
        <v>5620</v>
      </c>
      <c r="AE328" s="88">
        <f>Ruimtestaat[[#This Row],[uren / jaar weekend]]+Ruimtestaat[[#This Row],[uren / jaar werkdagen]]</f>
        <v>0</v>
      </c>
      <c r="AF328" s="89">
        <f>Ruimtestaat[[#This Row],[kosten / jaar weekend]]+Ruimtestaat[[#This Row],[kosten / jaar werkdagen]]</f>
        <v>0</v>
      </c>
    </row>
    <row r="329" spans="1:32" ht="15" customHeight="1">
      <c r="A329" s="200">
        <v>2</v>
      </c>
      <c r="B329" s="21" t="str">
        <f>VLOOKUP(Ruimtestaat[[#This Row],[Code]],Locaties[#All],2,FALSE)</f>
        <v>Stichting Facilitair Beheer Van Renneslaan</v>
      </c>
      <c r="C329" s="243" t="str">
        <f>VLOOKUP(Ruimtestaat[[#This Row],[Code]],Locaties[#All],4,FALSE)</f>
        <v>Catharina van Renneslaan 35</v>
      </c>
      <c r="D329" s="243" t="str">
        <f>VLOOKUP(Ruimtestaat[[#This Row],[Code]],Locaties[#All],5,FALSE)</f>
        <v>7604 KV</v>
      </c>
      <c r="E329" s="243" t="str">
        <f>VLOOKUP(Ruimtestaat[[#This Row],[Code]],Locaties[#All],6,FALSE)</f>
        <v>Almelo</v>
      </c>
      <c r="F329" s="244" t="s">
        <v>1343</v>
      </c>
      <c r="G329" s="215" t="s">
        <v>1337</v>
      </c>
      <c r="H329" s="200"/>
      <c r="I329" s="244" t="s">
        <v>1254</v>
      </c>
      <c r="J329" s="200">
        <v>2</v>
      </c>
      <c r="K329" s="243" t="s">
        <v>1040</v>
      </c>
      <c r="L329" s="200" t="s">
        <v>999</v>
      </c>
      <c r="M329" s="213">
        <v>18.100000000000001</v>
      </c>
      <c r="N329" s="213"/>
      <c r="O329" s="243" t="str">
        <f>VLOOKUP(Ruimtestaat[[#This Row],[Ruimte code]],Ruimtegroepen[#All],4,FALSE)</f>
        <v>B  (Bureauruimte)</v>
      </c>
      <c r="P329" s="214"/>
      <c r="Q329" s="215">
        <v>40</v>
      </c>
      <c r="R329" s="215" t="s">
        <v>18</v>
      </c>
      <c r="S329" s="215">
        <f>IF(R329&gt;0,IF(RIGHT(Ruimtestaat[[#This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29" s="215">
        <f>IF(S329&gt;0,VLOOKUP($J329,Ruimtegroepen[],3,FALSE)*VLOOKUP($K329,Vloersoorten[],3,FALSE)*VLOOKUP($R329,Frequenties[],3,FALSE)*VLOOKUP($A329,Locaties[],3,FALSE),0)</f>
        <v>0</v>
      </c>
      <c r="U329" s="215">
        <f>Ruimtestaat[[#This Row],[Uitvoeringen werkdagen]]*Ruimtestaat[[#This Row],[Oppervlak (netto)]]</f>
        <v>2172</v>
      </c>
      <c r="V329" s="259">
        <f>IF(T329&gt;0,Ruimtestaat[[#This Row],[Prest. (m2 /jaar) werkdagen]]/Ruimtestaat[[#This Row],[Norm (m2/uur) werkdagen]],0)</f>
        <v>0</v>
      </c>
      <c r="W329" s="260">
        <f>Ruimtestaat[[#This Row],[uren / jaar werkdagen]]*Tariefsopbouw!$D$38</f>
        <v>0</v>
      </c>
      <c r="X329" s="33"/>
      <c r="Y329" s="33">
        <f>IF(Ruimtestaat[[#This Row],[Frequentie weekend]]&gt;0,VALUE(LEFT(X329,1))*Q329,0)</f>
        <v>0</v>
      </c>
      <c r="Z329" s="33">
        <f>IF($Y329&gt;0,VLOOKUP($J329,Ruimtegroepen[],3,FALSE)*VLOOKUP($K329,Vloersoorten[],3,FALSE)*VLOOKUP($X329,Frequenties[],3,FALSE)*VLOOKUP(#REF!,Locaties[],3,FALSE),0)</f>
        <v>0</v>
      </c>
      <c r="AA329" s="33"/>
      <c r="AB329" s="33"/>
      <c r="AC329" s="33">
        <f>Ruimtestaat[[#This Row],[uren / jaar weekend]]*Tariefsopbouw!$D$40</f>
        <v>0</v>
      </c>
      <c r="AD329" s="88">
        <f>Ruimtestaat[[#This Row],[Prest. (m2 /jaar) weekend]]+Ruimtestaat[[#This Row],[Prest. (m2 /jaar) werkdagen]]</f>
        <v>2172</v>
      </c>
      <c r="AE329" s="88">
        <f>Ruimtestaat[[#This Row],[uren / jaar weekend]]+Ruimtestaat[[#This Row],[uren / jaar werkdagen]]</f>
        <v>0</v>
      </c>
      <c r="AF329" s="89">
        <f>Ruimtestaat[[#This Row],[kosten / jaar weekend]]+Ruimtestaat[[#This Row],[kosten / jaar werkdagen]]</f>
        <v>0</v>
      </c>
    </row>
    <row r="330" spans="1:32" ht="15" customHeight="1">
      <c r="A330" s="200">
        <v>2</v>
      </c>
      <c r="B330" s="21" t="str">
        <f>VLOOKUP(Ruimtestaat[[#This Row],[Code]],Locaties[#All],2,FALSE)</f>
        <v>Stichting Facilitair Beheer Van Renneslaan</v>
      </c>
      <c r="C330" s="243" t="str">
        <f>VLOOKUP(Ruimtestaat[[#This Row],[Code]],Locaties[#All],4,FALSE)</f>
        <v>Catharina van Renneslaan 35</v>
      </c>
      <c r="D330" s="243" t="str">
        <f>VLOOKUP(Ruimtestaat[[#This Row],[Code]],Locaties[#All],5,FALSE)</f>
        <v>7604 KV</v>
      </c>
      <c r="E330" s="243" t="str">
        <f>VLOOKUP(Ruimtestaat[[#This Row],[Code]],Locaties[#All],6,FALSE)</f>
        <v>Almelo</v>
      </c>
      <c r="F330" s="244" t="s">
        <v>1342</v>
      </c>
      <c r="G330" s="215" t="s">
        <v>1337</v>
      </c>
      <c r="H330" s="200"/>
      <c r="I330" s="244" t="s">
        <v>1255</v>
      </c>
      <c r="J330" s="200">
        <v>16</v>
      </c>
      <c r="K330" s="243" t="s">
        <v>1040</v>
      </c>
      <c r="L330" s="200" t="s">
        <v>999</v>
      </c>
      <c r="M330" s="213">
        <v>21.5</v>
      </c>
      <c r="N330" s="213"/>
      <c r="O330" s="243" t="str">
        <f>VLOOKUP(Ruimtestaat[[#This Row],[Ruimte code]],Ruimtegroepen[#All],4,FALSE)</f>
        <v>L  (Lesruimte)</v>
      </c>
      <c r="P330" s="214"/>
      <c r="Q330" s="215">
        <v>40</v>
      </c>
      <c r="R330" s="215" t="s">
        <v>2</v>
      </c>
      <c r="S330" s="215">
        <f>IF(R330&gt;0,IF(RIGHT(Ruimtestaat[[#This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0" s="215">
        <f>IF(S330&gt;0,VLOOKUP($J330,Ruimtegroepen[],3,FALSE)*VLOOKUP($K330,Vloersoorten[],3,FALSE)*VLOOKUP($R330,Frequenties[],3,FALSE)*VLOOKUP($A330,Locaties[],3,FALSE),0)</f>
        <v>0</v>
      </c>
      <c r="U330" s="215">
        <f>Ruimtestaat[[#This Row],[Uitvoeringen werkdagen]]*Ruimtestaat[[#This Row],[Oppervlak (netto)]]</f>
        <v>4300</v>
      </c>
      <c r="V330" s="259">
        <f>IF(T330&gt;0,Ruimtestaat[[#This Row],[Prest. (m2 /jaar) werkdagen]]/Ruimtestaat[[#This Row],[Norm (m2/uur) werkdagen]],0)</f>
        <v>0</v>
      </c>
      <c r="W330" s="260">
        <f>Ruimtestaat[[#This Row],[uren / jaar werkdagen]]*Tariefsopbouw!$D$38</f>
        <v>0</v>
      </c>
      <c r="X330" s="33"/>
      <c r="Y330" s="33">
        <f>IF(Ruimtestaat[[#This Row],[Frequentie weekend]]&gt;0,VALUE(LEFT(X330,1))*Q330,0)</f>
        <v>0</v>
      </c>
      <c r="Z330" s="33">
        <f>IF($Y330&gt;0,VLOOKUP($J330,Ruimtegroepen[],3,FALSE)*VLOOKUP($K330,Vloersoorten[],3,FALSE)*VLOOKUP($X330,Frequenties[],3,FALSE)*VLOOKUP(#REF!,Locaties[],3,FALSE),0)</f>
        <v>0</v>
      </c>
      <c r="AA330" s="33"/>
      <c r="AB330" s="33"/>
      <c r="AC330" s="33">
        <f>Ruimtestaat[[#This Row],[uren / jaar weekend]]*Tariefsopbouw!$D$40</f>
        <v>0</v>
      </c>
      <c r="AD330" s="88">
        <f>Ruimtestaat[[#This Row],[Prest. (m2 /jaar) weekend]]+Ruimtestaat[[#This Row],[Prest. (m2 /jaar) werkdagen]]</f>
        <v>4300</v>
      </c>
      <c r="AE330" s="88">
        <f>Ruimtestaat[[#This Row],[uren / jaar weekend]]+Ruimtestaat[[#This Row],[uren / jaar werkdagen]]</f>
        <v>0</v>
      </c>
      <c r="AF330" s="89">
        <f>Ruimtestaat[[#This Row],[kosten / jaar weekend]]+Ruimtestaat[[#This Row],[kosten / jaar werkdagen]]</f>
        <v>0</v>
      </c>
    </row>
    <row r="331" spans="1:32" ht="15" customHeight="1">
      <c r="A331" s="200">
        <v>2</v>
      </c>
      <c r="B331" s="21" t="str">
        <f>VLOOKUP(Ruimtestaat[[#This Row],[Code]],Locaties[#All],2,FALSE)</f>
        <v>Stichting Facilitair Beheer Van Renneslaan</v>
      </c>
      <c r="C331" s="243" t="str">
        <f>VLOOKUP(Ruimtestaat[[#This Row],[Code]],Locaties[#All],4,FALSE)</f>
        <v>Catharina van Renneslaan 35</v>
      </c>
      <c r="D331" s="243" t="str">
        <f>VLOOKUP(Ruimtestaat[[#This Row],[Code]],Locaties[#All],5,FALSE)</f>
        <v>7604 KV</v>
      </c>
      <c r="E331" s="243" t="str">
        <f>VLOOKUP(Ruimtestaat[[#This Row],[Code]],Locaties[#All],6,FALSE)</f>
        <v>Almelo</v>
      </c>
      <c r="F331" s="244" t="s">
        <v>1343</v>
      </c>
      <c r="G331" s="215" t="s">
        <v>1337</v>
      </c>
      <c r="H331" s="200"/>
      <c r="I331" s="244" t="s">
        <v>1256</v>
      </c>
      <c r="J331" s="200">
        <v>16</v>
      </c>
      <c r="K331" s="243" t="s">
        <v>1040</v>
      </c>
      <c r="L331" s="200" t="s">
        <v>999</v>
      </c>
      <c r="M331" s="213">
        <v>158.6</v>
      </c>
      <c r="N331" s="213"/>
      <c r="O331" s="243" t="str">
        <f>VLOOKUP(Ruimtestaat[[#This Row],[Ruimte code]],Ruimtegroepen[#All],4,FALSE)</f>
        <v>L  (Lesruimte)</v>
      </c>
      <c r="P331" s="214"/>
      <c r="Q331" s="215">
        <v>40</v>
      </c>
      <c r="R331" s="215" t="s">
        <v>2</v>
      </c>
      <c r="S331" s="215">
        <f>IF(R331&gt;0,IF(RIGHT(Ruimtestaat[[#This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1" s="215">
        <f>IF(S331&gt;0,VLOOKUP($J331,Ruimtegroepen[],3,FALSE)*VLOOKUP($K331,Vloersoorten[],3,FALSE)*VLOOKUP($R331,Frequenties[],3,FALSE)*VLOOKUP($A331,Locaties[],3,FALSE),0)</f>
        <v>0</v>
      </c>
      <c r="U331" s="215">
        <f>Ruimtestaat[[#This Row],[Uitvoeringen werkdagen]]*Ruimtestaat[[#This Row],[Oppervlak (netto)]]</f>
        <v>31720</v>
      </c>
      <c r="V331" s="259">
        <f>IF(T331&gt;0,Ruimtestaat[[#This Row],[Prest. (m2 /jaar) werkdagen]]/Ruimtestaat[[#This Row],[Norm (m2/uur) werkdagen]],0)</f>
        <v>0</v>
      </c>
      <c r="W331" s="260">
        <f>Ruimtestaat[[#This Row],[uren / jaar werkdagen]]*Tariefsopbouw!$D$38</f>
        <v>0</v>
      </c>
      <c r="X331" s="33"/>
      <c r="Y331" s="33">
        <f>IF(Ruimtestaat[[#This Row],[Frequentie weekend]]&gt;0,VALUE(LEFT(X331,1))*Q331,0)</f>
        <v>0</v>
      </c>
      <c r="Z331" s="33">
        <f>IF($Y331&gt;0,VLOOKUP($J331,Ruimtegroepen[],3,FALSE)*VLOOKUP($K331,Vloersoorten[],3,FALSE)*VLOOKUP($X331,Frequenties[],3,FALSE)*VLOOKUP(#REF!,Locaties[],3,FALSE),0)</f>
        <v>0</v>
      </c>
      <c r="AA331" s="33"/>
      <c r="AB331" s="33"/>
      <c r="AC331" s="33">
        <f>Ruimtestaat[[#This Row],[uren / jaar weekend]]*Tariefsopbouw!$D$40</f>
        <v>0</v>
      </c>
      <c r="AD331" s="88">
        <f>Ruimtestaat[[#This Row],[Prest. (m2 /jaar) weekend]]+Ruimtestaat[[#This Row],[Prest. (m2 /jaar) werkdagen]]</f>
        <v>31720</v>
      </c>
      <c r="AE331" s="88">
        <f>Ruimtestaat[[#This Row],[uren / jaar weekend]]+Ruimtestaat[[#This Row],[uren / jaar werkdagen]]</f>
        <v>0</v>
      </c>
      <c r="AF331" s="89">
        <f>Ruimtestaat[[#This Row],[kosten / jaar weekend]]+Ruimtestaat[[#This Row],[kosten / jaar werkdagen]]</f>
        <v>0</v>
      </c>
    </row>
    <row r="332" spans="1:32" ht="15" customHeight="1">
      <c r="A332" s="200">
        <v>2</v>
      </c>
      <c r="B332" s="21" t="str">
        <f>VLOOKUP(Ruimtestaat[[#This Row],[Code]],Locaties[#All],2,FALSE)</f>
        <v>Stichting Facilitair Beheer Van Renneslaan</v>
      </c>
      <c r="C332" s="243" t="str">
        <f>VLOOKUP(Ruimtestaat[[#This Row],[Code]],Locaties[#All],4,FALSE)</f>
        <v>Catharina van Renneslaan 35</v>
      </c>
      <c r="D332" s="243" t="str">
        <f>VLOOKUP(Ruimtestaat[[#This Row],[Code]],Locaties[#All],5,FALSE)</f>
        <v>7604 KV</v>
      </c>
      <c r="E332" s="243" t="str">
        <f>VLOOKUP(Ruimtestaat[[#This Row],[Code]],Locaties[#All],6,FALSE)</f>
        <v>Almelo</v>
      </c>
      <c r="F332" s="244" t="s">
        <v>1343</v>
      </c>
      <c r="G332" s="215" t="s">
        <v>1337</v>
      </c>
      <c r="H332" s="200"/>
      <c r="I332" s="244" t="s">
        <v>1257</v>
      </c>
      <c r="J332" s="200">
        <v>16</v>
      </c>
      <c r="K332" s="243" t="s">
        <v>1040</v>
      </c>
      <c r="L332" s="200" t="s">
        <v>999</v>
      </c>
      <c r="M332" s="213">
        <v>12.5</v>
      </c>
      <c r="N332" s="213"/>
      <c r="O332" s="243" t="str">
        <f>VLOOKUP(Ruimtestaat[[#This Row],[Ruimte code]],Ruimtegroepen[#All],4,FALSE)</f>
        <v>L  (Lesruimte)</v>
      </c>
      <c r="P332" s="214"/>
      <c r="Q332" s="215">
        <v>40</v>
      </c>
      <c r="R332" s="215" t="s">
        <v>2</v>
      </c>
      <c r="S332" s="215">
        <f>IF(R332&gt;0,IF(RIGHT(Ruimtestaat[[#This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2" s="215">
        <f>IF(S332&gt;0,VLOOKUP($J332,Ruimtegroepen[],3,FALSE)*VLOOKUP($K332,Vloersoorten[],3,FALSE)*VLOOKUP($R332,Frequenties[],3,FALSE)*VLOOKUP($A332,Locaties[],3,FALSE),0)</f>
        <v>0</v>
      </c>
      <c r="U332" s="215">
        <f>Ruimtestaat[[#This Row],[Uitvoeringen werkdagen]]*Ruimtestaat[[#This Row],[Oppervlak (netto)]]</f>
        <v>2500</v>
      </c>
      <c r="V332" s="259">
        <f>IF(T332&gt;0,Ruimtestaat[[#This Row],[Prest. (m2 /jaar) werkdagen]]/Ruimtestaat[[#This Row],[Norm (m2/uur) werkdagen]],0)</f>
        <v>0</v>
      </c>
      <c r="W332" s="260">
        <f>Ruimtestaat[[#This Row],[uren / jaar werkdagen]]*Tariefsopbouw!$D$38</f>
        <v>0</v>
      </c>
      <c r="X332" s="33"/>
      <c r="Y332" s="33">
        <f>IF(Ruimtestaat[[#This Row],[Frequentie weekend]]&gt;0,VALUE(LEFT(X332,1))*Q332,0)</f>
        <v>0</v>
      </c>
      <c r="Z332" s="33">
        <f>IF($Y332&gt;0,VLOOKUP($J332,Ruimtegroepen[],3,FALSE)*VLOOKUP($K332,Vloersoorten[],3,FALSE)*VLOOKUP($X332,Frequenties[],3,FALSE)*VLOOKUP(#REF!,Locaties[],3,FALSE),0)</f>
        <v>0</v>
      </c>
      <c r="AA332" s="33"/>
      <c r="AB332" s="33"/>
      <c r="AC332" s="33">
        <f>Ruimtestaat[[#This Row],[uren / jaar weekend]]*Tariefsopbouw!$D$40</f>
        <v>0</v>
      </c>
      <c r="AD332" s="88">
        <f>Ruimtestaat[[#This Row],[Prest. (m2 /jaar) weekend]]+Ruimtestaat[[#This Row],[Prest. (m2 /jaar) werkdagen]]</f>
        <v>2500</v>
      </c>
      <c r="AE332" s="88">
        <f>Ruimtestaat[[#This Row],[uren / jaar weekend]]+Ruimtestaat[[#This Row],[uren / jaar werkdagen]]</f>
        <v>0</v>
      </c>
      <c r="AF332" s="89">
        <f>Ruimtestaat[[#This Row],[kosten / jaar weekend]]+Ruimtestaat[[#This Row],[kosten / jaar werkdagen]]</f>
        <v>0</v>
      </c>
    </row>
    <row r="333" spans="1:32" ht="15" customHeight="1">
      <c r="A333" s="200">
        <v>2</v>
      </c>
      <c r="B333" s="21" t="str">
        <f>VLOOKUP(Ruimtestaat[[#This Row],[Code]],Locaties[#All],2,FALSE)</f>
        <v>Stichting Facilitair Beheer Van Renneslaan</v>
      </c>
      <c r="C333" s="243" t="str">
        <f>VLOOKUP(Ruimtestaat[[#This Row],[Code]],Locaties[#All],4,FALSE)</f>
        <v>Catharina van Renneslaan 35</v>
      </c>
      <c r="D333" s="243" t="str">
        <f>VLOOKUP(Ruimtestaat[[#This Row],[Code]],Locaties[#All],5,FALSE)</f>
        <v>7604 KV</v>
      </c>
      <c r="E333" s="243" t="str">
        <f>VLOOKUP(Ruimtestaat[[#This Row],[Code]],Locaties[#All],6,FALSE)</f>
        <v>Almelo</v>
      </c>
      <c r="F333" s="244" t="s">
        <v>1343</v>
      </c>
      <c r="G333" s="215" t="s">
        <v>1337</v>
      </c>
      <c r="H333" s="200"/>
      <c r="I333" s="244" t="s">
        <v>1258</v>
      </c>
      <c r="J333" s="200">
        <v>16</v>
      </c>
      <c r="K333" s="243" t="s">
        <v>1040</v>
      </c>
      <c r="L333" s="200" t="s">
        <v>999</v>
      </c>
      <c r="M333" s="213">
        <v>40.700000000000003</v>
      </c>
      <c r="N333" s="213"/>
      <c r="O333" s="243" t="str">
        <f>VLOOKUP(Ruimtestaat[[#This Row],[Ruimte code]],Ruimtegroepen[#All],4,FALSE)</f>
        <v>L  (Lesruimte)</v>
      </c>
      <c r="P333" s="214"/>
      <c r="Q333" s="215">
        <v>40</v>
      </c>
      <c r="R333" s="215" t="s">
        <v>2</v>
      </c>
      <c r="S333" s="215">
        <f>IF(R333&gt;0,IF(RIGHT(Ruimtestaat[[#This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3" s="215">
        <f>IF(S333&gt;0,VLOOKUP($J333,Ruimtegroepen[],3,FALSE)*VLOOKUP($K333,Vloersoorten[],3,FALSE)*VLOOKUP($R333,Frequenties[],3,FALSE)*VLOOKUP($A333,Locaties[],3,FALSE),0)</f>
        <v>0</v>
      </c>
      <c r="U333" s="215">
        <f>Ruimtestaat[[#This Row],[Uitvoeringen werkdagen]]*Ruimtestaat[[#This Row],[Oppervlak (netto)]]</f>
        <v>8140.0000000000009</v>
      </c>
      <c r="V333" s="259">
        <f>IF(T333&gt;0,Ruimtestaat[[#This Row],[Prest. (m2 /jaar) werkdagen]]/Ruimtestaat[[#This Row],[Norm (m2/uur) werkdagen]],0)</f>
        <v>0</v>
      </c>
      <c r="W333" s="260">
        <f>Ruimtestaat[[#This Row],[uren / jaar werkdagen]]*Tariefsopbouw!$D$38</f>
        <v>0</v>
      </c>
      <c r="X333" s="33"/>
      <c r="Y333" s="33">
        <f>IF(Ruimtestaat[[#This Row],[Frequentie weekend]]&gt;0,VALUE(LEFT(X333,1))*Q333,0)</f>
        <v>0</v>
      </c>
      <c r="Z333" s="33">
        <f>IF($Y333&gt;0,VLOOKUP($J333,Ruimtegroepen[],3,FALSE)*VLOOKUP($K333,Vloersoorten[],3,FALSE)*VLOOKUP($X333,Frequenties[],3,FALSE)*VLOOKUP(#REF!,Locaties[],3,FALSE),0)</f>
        <v>0</v>
      </c>
      <c r="AA333" s="33"/>
      <c r="AB333" s="33"/>
      <c r="AC333" s="33">
        <f>Ruimtestaat[[#This Row],[uren / jaar weekend]]*Tariefsopbouw!$D$40</f>
        <v>0</v>
      </c>
      <c r="AD333" s="88">
        <f>Ruimtestaat[[#This Row],[Prest. (m2 /jaar) weekend]]+Ruimtestaat[[#This Row],[Prest. (m2 /jaar) werkdagen]]</f>
        <v>8140.0000000000009</v>
      </c>
      <c r="AE333" s="88">
        <f>Ruimtestaat[[#This Row],[uren / jaar weekend]]+Ruimtestaat[[#This Row],[uren / jaar werkdagen]]</f>
        <v>0</v>
      </c>
      <c r="AF333" s="89">
        <f>Ruimtestaat[[#This Row],[kosten / jaar weekend]]+Ruimtestaat[[#This Row],[kosten / jaar werkdagen]]</f>
        <v>0</v>
      </c>
    </row>
    <row r="334" spans="1:32" ht="15" customHeight="1">
      <c r="A334" s="200">
        <v>2</v>
      </c>
      <c r="B334" s="21" t="str">
        <f>VLOOKUP(Ruimtestaat[[#This Row],[Code]],Locaties[#All],2,FALSE)</f>
        <v>Stichting Facilitair Beheer Van Renneslaan</v>
      </c>
      <c r="C334" s="243" t="str">
        <f>VLOOKUP(Ruimtestaat[[#This Row],[Code]],Locaties[#All],4,FALSE)</f>
        <v>Catharina van Renneslaan 35</v>
      </c>
      <c r="D334" s="243" t="str">
        <f>VLOOKUP(Ruimtestaat[[#This Row],[Code]],Locaties[#All],5,FALSE)</f>
        <v>7604 KV</v>
      </c>
      <c r="E334" s="243" t="str">
        <f>VLOOKUP(Ruimtestaat[[#This Row],[Code]],Locaties[#All],6,FALSE)</f>
        <v>Almelo</v>
      </c>
      <c r="F334" s="244" t="s">
        <v>1343</v>
      </c>
      <c r="G334" s="215" t="s">
        <v>1337</v>
      </c>
      <c r="H334" s="200"/>
      <c r="I334" s="244" t="s">
        <v>1259</v>
      </c>
      <c r="J334" s="200">
        <v>16</v>
      </c>
      <c r="K334" s="243" t="s">
        <v>1040</v>
      </c>
      <c r="L334" s="200" t="s">
        <v>999</v>
      </c>
      <c r="M334" s="213">
        <v>16.600000000000001</v>
      </c>
      <c r="N334" s="213"/>
      <c r="O334" s="243" t="str">
        <f>VLOOKUP(Ruimtestaat[[#This Row],[Ruimte code]],Ruimtegroepen[#All],4,FALSE)</f>
        <v>L  (Lesruimte)</v>
      </c>
      <c r="P334" s="214"/>
      <c r="Q334" s="215">
        <v>40</v>
      </c>
      <c r="R334" s="215" t="s">
        <v>2</v>
      </c>
      <c r="S334" s="215">
        <f>IF(R334&gt;0,IF(RIGHT(Ruimtestaat[[#This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4" s="215">
        <f>IF(S334&gt;0,VLOOKUP($J334,Ruimtegroepen[],3,FALSE)*VLOOKUP($K334,Vloersoorten[],3,FALSE)*VLOOKUP($R334,Frequenties[],3,FALSE)*VLOOKUP($A334,Locaties[],3,FALSE),0)</f>
        <v>0</v>
      </c>
      <c r="U334" s="215">
        <f>Ruimtestaat[[#This Row],[Uitvoeringen werkdagen]]*Ruimtestaat[[#This Row],[Oppervlak (netto)]]</f>
        <v>3320.0000000000005</v>
      </c>
      <c r="V334" s="259">
        <f>IF(T334&gt;0,Ruimtestaat[[#This Row],[Prest. (m2 /jaar) werkdagen]]/Ruimtestaat[[#This Row],[Norm (m2/uur) werkdagen]],0)</f>
        <v>0</v>
      </c>
      <c r="W334" s="260">
        <f>Ruimtestaat[[#This Row],[uren / jaar werkdagen]]*Tariefsopbouw!$D$38</f>
        <v>0</v>
      </c>
      <c r="X334" s="33"/>
      <c r="Y334" s="33">
        <f>IF(Ruimtestaat[[#This Row],[Frequentie weekend]]&gt;0,VALUE(LEFT(X334,1))*Q334,0)</f>
        <v>0</v>
      </c>
      <c r="Z334" s="33">
        <f>IF($Y334&gt;0,VLOOKUP($J334,Ruimtegroepen[],3,FALSE)*VLOOKUP($K334,Vloersoorten[],3,FALSE)*VLOOKUP($X334,Frequenties[],3,FALSE)*VLOOKUP(#REF!,Locaties[],3,FALSE),0)</f>
        <v>0</v>
      </c>
      <c r="AA334" s="33"/>
      <c r="AB334" s="33"/>
      <c r="AC334" s="33">
        <f>Ruimtestaat[[#This Row],[uren / jaar weekend]]*Tariefsopbouw!$D$40</f>
        <v>0</v>
      </c>
      <c r="AD334" s="88">
        <f>Ruimtestaat[[#This Row],[Prest. (m2 /jaar) weekend]]+Ruimtestaat[[#This Row],[Prest. (m2 /jaar) werkdagen]]</f>
        <v>3320.0000000000005</v>
      </c>
      <c r="AE334" s="88">
        <f>Ruimtestaat[[#This Row],[uren / jaar weekend]]+Ruimtestaat[[#This Row],[uren / jaar werkdagen]]</f>
        <v>0</v>
      </c>
      <c r="AF334" s="89">
        <f>Ruimtestaat[[#This Row],[kosten / jaar weekend]]+Ruimtestaat[[#This Row],[kosten / jaar werkdagen]]</f>
        <v>0</v>
      </c>
    </row>
    <row r="335" spans="1:32" ht="15" customHeight="1">
      <c r="A335" s="200">
        <v>2</v>
      </c>
      <c r="B335" s="21" t="str">
        <f>VLOOKUP(Ruimtestaat[[#This Row],[Code]],Locaties[#All],2,FALSE)</f>
        <v>Stichting Facilitair Beheer Van Renneslaan</v>
      </c>
      <c r="C335" s="243" t="str">
        <f>VLOOKUP(Ruimtestaat[[#This Row],[Code]],Locaties[#All],4,FALSE)</f>
        <v>Catharina van Renneslaan 35</v>
      </c>
      <c r="D335" s="243" t="str">
        <f>VLOOKUP(Ruimtestaat[[#This Row],[Code]],Locaties[#All],5,FALSE)</f>
        <v>7604 KV</v>
      </c>
      <c r="E335" s="243" t="str">
        <f>VLOOKUP(Ruimtestaat[[#This Row],[Code]],Locaties[#All],6,FALSE)</f>
        <v>Almelo</v>
      </c>
      <c r="F335" s="244" t="s">
        <v>1343</v>
      </c>
      <c r="G335" s="215" t="s">
        <v>1337</v>
      </c>
      <c r="H335" s="200"/>
      <c r="I335" s="244" t="s">
        <v>1260</v>
      </c>
      <c r="J335" s="200">
        <v>16</v>
      </c>
      <c r="K335" s="243" t="s">
        <v>1040</v>
      </c>
      <c r="L335" s="200" t="s">
        <v>999</v>
      </c>
      <c r="M335" s="213">
        <v>16.600000000000001</v>
      </c>
      <c r="N335" s="213"/>
      <c r="O335" s="243" t="str">
        <f>VLOOKUP(Ruimtestaat[[#This Row],[Ruimte code]],Ruimtegroepen[#All],4,FALSE)</f>
        <v>L  (Lesruimte)</v>
      </c>
      <c r="P335" s="214"/>
      <c r="Q335" s="215">
        <v>40</v>
      </c>
      <c r="R335" s="215" t="s">
        <v>2</v>
      </c>
      <c r="S335" s="215">
        <f>IF(R335&gt;0,IF(RIGHT(Ruimtestaat[[#This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5" s="215">
        <f>IF(S335&gt;0,VLOOKUP($J335,Ruimtegroepen[],3,FALSE)*VLOOKUP($K335,Vloersoorten[],3,FALSE)*VLOOKUP($R335,Frequenties[],3,FALSE)*VLOOKUP($A335,Locaties[],3,FALSE),0)</f>
        <v>0</v>
      </c>
      <c r="U335" s="215">
        <f>Ruimtestaat[[#This Row],[Uitvoeringen werkdagen]]*Ruimtestaat[[#This Row],[Oppervlak (netto)]]</f>
        <v>3320.0000000000005</v>
      </c>
      <c r="V335" s="259">
        <f>IF(T335&gt;0,Ruimtestaat[[#This Row],[Prest. (m2 /jaar) werkdagen]]/Ruimtestaat[[#This Row],[Norm (m2/uur) werkdagen]],0)</f>
        <v>0</v>
      </c>
      <c r="W335" s="260">
        <f>Ruimtestaat[[#This Row],[uren / jaar werkdagen]]*Tariefsopbouw!$D$38</f>
        <v>0</v>
      </c>
      <c r="X335" s="33"/>
      <c r="Y335" s="33">
        <f>IF(Ruimtestaat[[#This Row],[Frequentie weekend]]&gt;0,VALUE(LEFT(X335,1))*Q335,0)</f>
        <v>0</v>
      </c>
      <c r="Z335" s="33">
        <f>IF($Y335&gt;0,VLOOKUP($J335,Ruimtegroepen[],3,FALSE)*VLOOKUP($K335,Vloersoorten[],3,FALSE)*VLOOKUP($X335,Frequenties[],3,FALSE)*VLOOKUP(#REF!,Locaties[],3,FALSE),0)</f>
        <v>0</v>
      </c>
      <c r="AA335" s="33"/>
      <c r="AB335" s="33"/>
      <c r="AC335" s="33">
        <f>Ruimtestaat[[#This Row],[uren / jaar weekend]]*Tariefsopbouw!$D$40</f>
        <v>0</v>
      </c>
      <c r="AD335" s="88">
        <f>Ruimtestaat[[#This Row],[Prest. (m2 /jaar) weekend]]+Ruimtestaat[[#This Row],[Prest. (m2 /jaar) werkdagen]]</f>
        <v>3320.0000000000005</v>
      </c>
      <c r="AE335" s="88">
        <f>Ruimtestaat[[#This Row],[uren / jaar weekend]]+Ruimtestaat[[#This Row],[uren / jaar werkdagen]]</f>
        <v>0</v>
      </c>
      <c r="AF335" s="89">
        <f>Ruimtestaat[[#This Row],[kosten / jaar weekend]]+Ruimtestaat[[#This Row],[kosten / jaar werkdagen]]</f>
        <v>0</v>
      </c>
    </row>
    <row r="336" spans="1:32" ht="15" customHeight="1">
      <c r="A336" s="200">
        <v>2</v>
      </c>
      <c r="B336" s="21" t="str">
        <f>VLOOKUP(Ruimtestaat[[#This Row],[Code]],Locaties[#All],2,FALSE)</f>
        <v>Stichting Facilitair Beheer Van Renneslaan</v>
      </c>
      <c r="C336" s="243" t="str">
        <f>VLOOKUP(Ruimtestaat[[#This Row],[Code]],Locaties[#All],4,FALSE)</f>
        <v>Catharina van Renneslaan 35</v>
      </c>
      <c r="D336" s="243" t="str">
        <f>VLOOKUP(Ruimtestaat[[#This Row],[Code]],Locaties[#All],5,FALSE)</f>
        <v>7604 KV</v>
      </c>
      <c r="E336" s="243" t="str">
        <f>VLOOKUP(Ruimtestaat[[#This Row],[Code]],Locaties[#All],6,FALSE)</f>
        <v>Almelo</v>
      </c>
      <c r="F336" s="244"/>
      <c r="G336" s="215" t="s">
        <v>1337</v>
      </c>
      <c r="H336" s="215"/>
      <c r="I336" s="258" t="s">
        <v>1261</v>
      </c>
      <c r="J336" s="200">
        <v>19</v>
      </c>
      <c r="K336" s="243" t="s">
        <v>111</v>
      </c>
      <c r="L336" s="200" t="s">
        <v>1340</v>
      </c>
      <c r="M336" s="213">
        <v>32.299999999999997</v>
      </c>
      <c r="N336" s="213"/>
      <c r="O336" s="243" t="str">
        <f>VLOOKUP(Ruimtestaat[[#This Row],[Ruimte code]],Ruimtegroepen[#All],4,FALSE)</f>
        <v>V  (Verkeersruimte)</v>
      </c>
      <c r="P336" s="214"/>
      <c r="Q336" s="215">
        <v>40</v>
      </c>
      <c r="R336" s="215" t="s">
        <v>2</v>
      </c>
      <c r="S336" s="215">
        <f>IF(R336&gt;0,IF(RIGHT(Ruimtestaat[[#This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6" s="215">
        <f>IF(S336&gt;0,VLOOKUP($J336,Ruimtegroepen[],3,FALSE)*VLOOKUP($K336,Vloersoorten[],3,FALSE)*VLOOKUP($R336,Frequenties[],3,FALSE)*VLOOKUP($A336,Locaties[],3,FALSE),0)</f>
        <v>0</v>
      </c>
      <c r="U336" s="215">
        <f>Ruimtestaat[[#This Row],[Uitvoeringen werkdagen]]*Ruimtestaat[[#This Row],[Oppervlak (netto)]]</f>
        <v>6459.9999999999991</v>
      </c>
      <c r="V336" s="259">
        <f>IF(T336&gt;0,Ruimtestaat[[#This Row],[Prest. (m2 /jaar) werkdagen]]/Ruimtestaat[[#This Row],[Norm (m2/uur) werkdagen]],0)</f>
        <v>0</v>
      </c>
      <c r="W336" s="260">
        <f>Ruimtestaat[[#This Row],[uren / jaar werkdagen]]*Tariefsopbouw!$D$38</f>
        <v>0</v>
      </c>
      <c r="X336" s="33"/>
      <c r="Y336" s="33">
        <f>IF(Ruimtestaat[[#This Row],[Frequentie weekend]]&gt;0,VALUE(LEFT(X336,1))*Q336,0)</f>
        <v>0</v>
      </c>
      <c r="Z336" s="33">
        <f>IF($Y336&gt;0,VLOOKUP($J336,Ruimtegroepen[],3,FALSE)*VLOOKUP($K336,Vloersoorten[],3,FALSE)*VLOOKUP($X336,Frequenties[],3,FALSE)*VLOOKUP(#REF!,Locaties[],3,FALSE),0)</f>
        <v>0</v>
      </c>
      <c r="AA336" s="33"/>
      <c r="AB336" s="33"/>
      <c r="AC336" s="33">
        <f>Ruimtestaat[[#This Row],[uren / jaar weekend]]*Tariefsopbouw!$D$40</f>
        <v>0</v>
      </c>
      <c r="AD336" s="88">
        <f>Ruimtestaat[[#This Row],[Prest. (m2 /jaar) weekend]]+Ruimtestaat[[#This Row],[Prest. (m2 /jaar) werkdagen]]</f>
        <v>6459.9999999999991</v>
      </c>
      <c r="AE336" s="88">
        <f>Ruimtestaat[[#This Row],[uren / jaar weekend]]+Ruimtestaat[[#This Row],[uren / jaar werkdagen]]</f>
        <v>0</v>
      </c>
      <c r="AF336" s="89">
        <f>Ruimtestaat[[#This Row],[kosten / jaar weekend]]+Ruimtestaat[[#This Row],[kosten / jaar werkdagen]]</f>
        <v>0</v>
      </c>
    </row>
    <row r="337" spans="1:32" ht="15" customHeight="1">
      <c r="A337" s="200">
        <v>2</v>
      </c>
      <c r="B337" s="21" t="str">
        <f>VLOOKUP(Ruimtestaat[[#This Row],[Code]],Locaties[#All],2,FALSE)</f>
        <v>Stichting Facilitair Beheer Van Renneslaan</v>
      </c>
      <c r="C337" s="243" t="str">
        <f>VLOOKUP(Ruimtestaat[[#This Row],[Code]],Locaties[#All],4,FALSE)</f>
        <v>Catharina van Renneslaan 35</v>
      </c>
      <c r="D337" s="243" t="str">
        <f>VLOOKUP(Ruimtestaat[[#This Row],[Code]],Locaties[#All],5,FALSE)</f>
        <v>7604 KV</v>
      </c>
      <c r="E337" s="243" t="str">
        <f>VLOOKUP(Ruimtestaat[[#This Row],[Code]],Locaties[#All],6,FALSE)</f>
        <v>Almelo</v>
      </c>
      <c r="F337" s="244"/>
      <c r="G337" s="215" t="s">
        <v>1337</v>
      </c>
      <c r="H337" s="215"/>
      <c r="I337" s="258" t="s">
        <v>1262</v>
      </c>
      <c r="J337" s="200">
        <v>19</v>
      </c>
      <c r="K337" s="243" t="s">
        <v>111</v>
      </c>
      <c r="L337" s="200" t="s">
        <v>1340</v>
      </c>
      <c r="M337" s="213">
        <v>32.299999999999997</v>
      </c>
      <c r="N337" s="213"/>
      <c r="O337" s="243" t="str">
        <f>VLOOKUP(Ruimtestaat[[#This Row],[Ruimte code]],Ruimtegroepen[#All],4,FALSE)</f>
        <v>V  (Verkeersruimte)</v>
      </c>
      <c r="P337" s="214"/>
      <c r="Q337" s="215">
        <v>40</v>
      </c>
      <c r="R337" s="215" t="s">
        <v>2</v>
      </c>
      <c r="S337" s="215">
        <f>IF(R337&gt;0,IF(RIGHT(Ruimtestaat[[#This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7" s="215">
        <f>IF(S337&gt;0,VLOOKUP($J337,Ruimtegroepen[],3,FALSE)*VLOOKUP($K337,Vloersoorten[],3,FALSE)*VLOOKUP($R337,Frequenties[],3,FALSE)*VLOOKUP($A337,Locaties[],3,FALSE),0)</f>
        <v>0</v>
      </c>
      <c r="U337" s="215">
        <f>Ruimtestaat[[#This Row],[Uitvoeringen werkdagen]]*Ruimtestaat[[#This Row],[Oppervlak (netto)]]</f>
        <v>6459.9999999999991</v>
      </c>
      <c r="V337" s="259">
        <f>IF(T337&gt;0,Ruimtestaat[[#This Row],[Prest. (m2 /jaar) werkdagen]]/Ruimtestaat[[#This Row],[Norm (m2/uur) werkdagen]],0)</f>
        <v>0</v>
      </c>
      <c r="W337" s="260">
        <f>Ruimtestaat[[#This Row],[uren / jaar werkdagen]]*Tariefsopbouw!$D$38</f>
        <v>0</v>
      </c>
      <c r="X337" s="33"/>
      <c r="Y337" s="33">
        <f>IF(Ruimtestaat[[#This Row],[Frequentie weekend]]&gt;0,VALUE(LEFT(X337,1))*Q337,0)</f>
        <v>0</v>
      </c>
      <c r="Z337" s="33">
        <f>IF($Y337&gt;0,VLOOKUP($J337,Ruimtegroepen[],3,FALSE)*VLOOKUP($K337,Vloersoorten[],3,FALSE)*VLOOKUP($X337,Frequenties[],3,FALSE)*VLOOKUP(#REF!,Locaties[],3,FALSE),0)</f>
        <v>0</v>
      </c>
      <c r="AA337" s="33"/>
      <c r="AB337" s="33"/>
      <c r="AC337" s="33">
        <f>Ruimtestaat[[#This Row],[uren / jaar weekend]]*Tariefsopbouw!$D$40</f>
        <v>0</v>
      </c>
      <c r="AD337" s="88">
        <f>Ruimtestaat[[#This Row],[Prest. (m2 /jaar) weekend]]+Ruimtestaat[[#This Row],[Prest. (m2 /jaar) werkdagen]]</f>
        <v>6459.9999999999991</v>
      </c>
      <c r="AE337" s="88">
        <f>Ruimtestaat[[#This Row],[uren / jaar weekend]]+Ruimtestaat[[#This Row],[uren / jaar werkdagen]]</f>
        <v>0</v>
      </c>
      <c r="AF337" s="89">
        <f>Ruimtestaat[[#This Row],[kosten / jaar weekend]]+Ruimtestaat[[#This Row],[kosten / jaar werkdagen]]</f>
        <v>0</v>
      </c>
    </row>
    <row r="338" spans="1:32" ht="15" customHeight="1">
      <c r="A338" s="200">
        <v>2</v>
      </c>
      <c r="B338" s="21" t="str">
        <f>VLOOKUP(Ruimtestaat[[#This Row],[Code]],Locaties[#All],2,FALSE)</f>
        <v>Stichting Facilitair Beheer Van Renneslaan</v>
      </c>
      <c r="C338" s="243" t="str">
        <f>VLOOKUP(Ruimtestaat[[#This Row],[Code]],Locaties[#All],4,FALSE)</f>
        <v>Catharina van Renneslaan 35</v>
      </c>
      <c r="D338" s="243" t="str">
        <f>VLOOKUP(Ruimtestaat[[#This Row],[Code]],Locaties[#All],5,FALSE)</f>
        <v>7604 KV</v>
      </c>
      <c r="E338" s="243" t="str">
        <f>VLOOKUP(Ruimtestaat[[#This Row],[Code]],Locaties[#All],6,FALSE)</f>
        <v>Almelo</v>
      </c>
      <c r="F338" s="244"/>
      <c r="G338" s="215" t="s">
        <v>1337</v>
      </c>
      <c r="H338" s="200"/>
      <c r="I338" s="244" t="s">
        <v>1263</v>
      </c>
      <c r="J338" s="200">
        <v>6</v>
      </c>
      <c r="K338" s="243" t="s">
        <v>112</v>
      </c>
      <c r="L338" s="200" t="s">
        <v>1341</v>
      </c>
      <c r="M338" s="213">
        <v>68.400000000000006</v>
      </c>
      <c r="N338" s="213"/>
      <c r="O338" s="243" t="str">
        <f>VLOOKUP(Ruimtestaat[[#This Row],[Ruimte code]],Ruimtegroepen[#All],4,FALSE)</f>
        <v>V  (Verkeersruimte)</v>
      </c>
      <c r="P338" s="214"/>
      <c r="Q338" s="215">
        <v>40</v>
      </c>
      <c r="R338" s="215" t="s">
        <v>2</v>
      </c>
      <c r="S338" s="215">
        <f>IF(R338&gt;0,IF(RIGHT(Ruimtestaat[[#This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8" s="215">
        <f>IF(S338&gt;0,VLOOKUP($J338,Ruimtegroepen[],3,FALSE)*VLOOKUP($K338,Vloersoorten[],3,FALSE)*VLOOKUP($R338,Frequenties[],3,FALSE)*VLOOKUP($A338,Locaties[],3,FALSE),0)</f>
        <v>0</v>
      </c>
      <c r="U338" s="215">
        <f>Ruimtestaat[[#This Row],[Uitvoeringen werkdagen]]*Ruimtestaat[[#This Row],[Oppervlak (netto)]]</f>
        <v>13680.000000000002</v>
      </c>
      <c r="V338" s="259">
        <f>IF(T338&gt;0,Ruimtestaat[[#This Row],[Prest. (m2 /jaar) werkdagen]]/Ruimtestaat[[#This Row],[Norm (m2/uur) werkdagen]],0)</f>
        <v>0</v>
      </c>
      <c r="W338" s="260">
        <f>Ruimtestaat[[#This Row],[uren / jaar werkdagen]]*Tariefsopbouw!$D$38</f>
        <v>0</v>
      </c>
      <c r="X338" s="33"/>
      <c r="Y338" s="33">
        <f>IF(Ruimtestaat[[#This Row],[Frequentie weekend]]&gt;0,VALUE(LEFT(X338,1))*Q338,0)</f>
        <v>0</v>
      </c>
      <c r="Z338" s="33">
        <f>IF($Y338&gt;0,VLOOKUP($J338,Ruimtegroepen[],3,FALSE)*VLOOKUP($K338,Vloersoorten[],3,FALSE)*VLOOKUP($X338,Frequenties[],3,FALSE)*VLOOKUP(#REF!,Locaties[],3,FALSE),0)</f>
        <v>0</v>
      </c>
      <c r="AA338" s="33"/>
      <c r="AB338" s="33"/>
      <c r="AC338" s="33">
        <f>Ruimtestaat[[#This Row],[uren / jaar weekend]]*Tariefsopbouw!$D$40</f>
        <v>0</v>
      </c>
      <c r="AD338" s="88">
        <f>Ruimtestaat[[#This Row],[Prest. (m2 /jaar) weekend]]+Ruimtestaat[[#This Row],[Prest. (m2 /jaar) werkdagen]]</f>
        <v>13680.000000000002</v>
      </c>
      <c r="AE338" s="88">
        <f>Ruimtestaat[[#This Row],[uren / jaar weekend]]+Ruimtestaat[[#This Row],[uren / jaar werkdagen]]</f>
        <v>0</v>
      </c>
      <c r="AF338" s="89">
        <f>Ruimtestaat[[#This Row],[kosten / jaar weekend]]+Ruimtestaat[[#This Row],[kosten / jaar werkdagen]]</f>
        <v>0</v>
      </c>
    </row>
    <row r="339" spans="1:32" ht="15" customHeight="1">
      <c r="A339" s="200">
        <v>2</v>
      </c>
      <c r="B339" s="21" t="str">
        <f>VLOOKUP(Ruimtestaat[[#This Row],[Code]],Locaties[#All],2,FALSE)</f>
        <v>Stichting Facilitair Beheer Van Renneslaan</v>
      </c>
      <c r="C339" s="243" t="str">
        <f>VLOOKUP(Ruimtestaat[[#This Row],[Code]],Locaties[#All],4,FALSE)</f>
        <v>Catharina van Renneslaan 35</v>
      </c>
      <c r="D339" s="243" t="str">
        <f>VLOOKUP(Ruimtestaat[[#This Row],[Code]],Locaties[#All],5,FALSE)</f>
        <v>7604 KV</v>
      </c>
      <c r="E339" s="243" t="str">
        <f>VLOOKUP(Ruimtestaat[[#This Row],[Code]],Locaties[#All],6,FALSE)</f>
        <v>Almelo</v>
      </c>
      <c r="F339" s="244"/>
      <c r="G339" s="215" t="s">
        <v>1337</v>
      </c>
      <c r="H339" s="200"/>
      <c r="I339" s="244" t="s">
        <v>1263</v>
      </c>
      <c r="J339" s="200">
        <v>6</v>
      </c>
      <c r="K339" s="243" t="s">
        <v>112</v>
      </c>
      <c r="L339" s="200" t="s">
        <v>1341</v>
      </c>
      <c r="M339" s="213">
        <v>53.3</v>
      </c>
      <c r="N339" s="213"/>
      <c r="O339" s="243" t="str">
        <f>VLOOKUP(Ruimtestaat[[#This Row],[Ruimte code]],Ruimtegroepen[#All],4,FALSE)</f>
        <v>V  (Verkeersruimte)</v>
      </c>
      <c r="P339" s="214"/>
      <c r="Q339" s="215">
        <v>40</v>
      </c>
      <c r="R339" s="215" t="s">
        <v>2</v>
      </c>
      <c r="S339" s="215">
        <f>IF(R339&gt;0,IF(RIGHT(Ruimtestaat[[#This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39" s="215">
        <f>IF(S339&gt;0,VLOOKUP($J339,Ruimtegroepen[],3,FALSE)*VLOOKUP($K339,Vloersoorten[],3,FALSE)*VLOOKUP($R339,Frequenties[],3,FALSE)*VLOOKUP($A339,Locaties[],3,FALSE),0)</f>
        <v>0</v>
      </c>
      <c r="U339" s="215">
        <f>Ruimtestaat[[#This Row],[Uitvoeringen werkdagen]]*Ruimtestaat[[#This Row],[Oppervlak (netto)]]</f>
        <v>10660</v>
      </c>
      <c r="V339" s="259">
        <f>IF(T339&gt;0,Ruimtestaat[[#This Row],[Prest. (m2 /jaar) werkdagen]]/Ruimtestaat[[#This Row],[Norm (m2/uur) werkdagen]],0)</f>
        <v>0</v>
      </c>
      <c r="W339" s="260">
        <f>Ruimtestaat[[#This Row],[uren / jaar werkdagen]]*Tariefsopbouw!$D$38</f>
        <v>0</v>
      </c>
      <c r="X339" s="33"/>
      <c r="Y339" s="33">
        <f>IF(Ruimtestaat[[#This Row],[Frequentie weekend]]&gt;0,VALUE(LEFT(X339,1))*Q339,0)</f>
        <v>0</v>
      </c>
      <c r="Z339" s="33">
        <f>IF($Y339&gt;0,VLOOKUP($J339,Ruimtegroepen[],3,FALSE)*VLOOKUP($K339,Vloersoorten[],3,FALSE)*VLOOKUP($X339,Frequenties[],3,FALSE)*VLOOKUP(#REF!,Locaties[],3,FALSE),0)</f>
        <v>0</v>
      </c>
      <c r="AA339" s="33"/>
      <c r="AB339" s="33"/>
      <c r="AC339" s="33">
        <f>Ruimtestaat[[#This Row],[uren / jaar weekend]]*Tariefsopbouw!$D$40</f>
        <v>0</v>
      </c>
      <c r="AD339" s="88">
        <f>Ruimtestaat[[#This Row],[Prest. (m2 /jaar) weekend]]+Ruimtestaat[[#This Row],[Prest. (m2 /jaar) werkdagen]]</f>
        <v>10660</v>
      </c>
      <c r="AE339" s="88">
        <f>Ruimtestaat[[#This Row],[uren / jaar weekend]]+Ruimtestaat[[#This Row],[uren / jaar werkdagen]]</f>
        <v>0</v>
      </c>
      <c r="AF339" s="89">
        <f>Ruimtestaat[[#This Row],[kosten / jaar weekend]]+Ruimtestaat[[#This Row],[kosten / jaar werkdagen]]</f>
        <v>0</v>
      </c>
    </row>
    <row r="340" spans="1:32" ht="15" customHeight="1">
      <c r="A340" s="200">
        <v>2</v>
      </c>
      <c r="B340" s="21" t="str">
        <f>VLOOKUP(Ruimtestaat[[#This Row],[Code]],Locaties[#All],2,FALSE)</f>
        <v>Stichting Facilitair Beheer Van Renneslaan</v>
      </c>
      <c r="C340" s="243" t="str">
        <f>VLOOKUP(Ruimtestaat[[#This Row],[Code]],Locaties[#All],4,FALSE)</f>
        <v>Catharina van Renneslaan 35</v>
      </c>
      <c r="D340" s="243" t="str">
        <f>VLOOKUP(Ruimtestaat[[#This Row],[Code]],Locaties[#All],5,FALSE)</f>
        <v>7604 KV</v>
      </c>
      <c r="E340" s="243" t="str">
        <f>VLOOKUP(Ruimtestaat[[#This Row],[Code]],Locaties[#All],6,FALSE)</f>
        <v>Almelo</v>
      </c>
      <c r="F340" s="244"/>
      <c r="G340" s="215" t="s">
        <v>1337</v>
      </c>
      <c r="H340" s="200"/>
      <c r="I340" s="244" t="s">
        <v>1264</v>
      </c>
      <c r="J340" s="200">
        <v>16</v>
      </c>
      <c r="K340" s="243" t="s">
        <v>112</v>
      </c>
      <c r="L340" s="200" t="s">
        <v>1341</v>
      </c>
      <c r="M340" s="213">
        <v>84.8</v>
      </c>
      <c r="N340" s="213"/>
      <c r="O340" s="243" t="str">
        <f>VLOOKUP(Ruimtestaat[[#This Row],[Ruimte code]],Ruimtegroepen[#All],4,FALSE)</f>
        <v>L  (Lesruimte)</v>
      </c>
      <c r="P340" s="214"/>
      <c r="Q340" s="215">
        <v>40</v>
      </c>
      <c r="R340" s="215" t="s">
        <v>2</v>
      </c>
      <c r="S340" s="215">
        <f>IF(R340&gt;0,IF(RIGHT(Ruimtestaat[[#This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0" s="215">
        <f>IF(S340&gt;0,VLOOKUP($J340,Ruimtegroepen[],3,FALSE)*VLOOKUP($K340,Vloersoorten[],3,FALSE)*VLOOKUP($R340,Frequenties[],3,FALSE)*VLOOKUP($A340,Locaties[],3,FALSE),0)</f>
        <v>0</v>
      </c>
      <c r="U340" s="215">
        <f>Ruimtestaat[[#This Row],[Uitvoeringen werkdagen]]*Ruimtestaat[[#This Row],[Oppervlak (netto)]]</f>
        <v>16960</v>
      </c>
      <c r="V340" s="259">
        <f>IF(T340&gt;0,Ruimtestaat[[#This Row],[Prest. (m2 /jaar) werkdagen]]/Ruimtestaat[[#This Row],[Norm (m2/uur) werkdagen]],0)</f>
        <v>0</v>
      </c>
      <c r="W340" s="260">
        <f>Ruimtestaat[[#This Row],[uren / jaar werkdagen]]*Tariefsopbouw!$D$38</f>
        <v>0</v>
      </c>
      <c r="X340" s="33"/>
      <c r="Y340" s="33">
        <f>IF(Ruimtestaat[[#This Row],[Frequentie weekend]]&gt;0,VALUE(LEFT(X340,1))*Q340,0)</f>
        <v>0</v>
      </c>
      <c r="Z340" s="33">
        <f>IF($Y340&gt;0,VLOOKUP($J340,Ruimtegroepen[],3,FALSE)*VLOOKUP($K340,Vloersoorten[],3,FALSE)*VLOOKUP($X340,Frequenties[],3,FALSE)*VLOOKUP(#REF!,Locaties[],3,FALSE),0)</f>
        <v>0</v>
      </c>
      <c r="AA340" s="33"/>
      <c r="AB340" s="33"/>
      <c r="AC340" s="33">
        <f>Ruimtestaat[[#This Row],[uren / jaar weekend]]*Tariefsopbouw!$D$40</f>
        <v>0</v>
      </c>
      <c r="AD340" s="88">
        <f>Ruimtestaat[[#This Row],[Prest. (m2 /jaar) weekend]]+Ruimtestaat[[#This Row],[Prest. (m2 /jaar) werkdagen]]</f>
        <v>16960</v>
      </c>
      <c r="AE340" s="88">
        <f>Ruimtestaat[[#This Row],[uren / jaar weekend]]+Ruimtestaat[[#This Row],[uren / jaar werkdagen]]</f>
        <v>0</v>
      </c>
      <c r="AF340" s="89">
        <f>Ruimtestaat[[#This Row],[kosten / jaar weekend]]+Ruimtestaat[[#This Row],[kosten / jaar werkdagen]]</f>
        <v>0</v>
      </c>
    </row>
    <row r="341" spans="1:32" ht="15" customHeight="1">
      <c r="A341" s="200">
        <v>2</v>
      </c>
      <c r="B341" s="21" t="str">
        <f>VLOOKUP(Ruimtestaat[[#This Row],[Code]],Locaties[#All],2,FALSE)</f>
        <v>Stichting Facilitair Beheer Van Renneslaan</v>
      </c>
      <c r="C341" s="243" t="str">
        <f>VLOOKUP(Ruimtestaat[[#This Row],[Code]],Locaties[#All],4,FALSE)</f>
        <v>Catharina van Renneslaan 35</v>
      </c>
      <c r="D341" s="243" t="str">
        <f>VLOOKUP(Ruimtestaat[[#This Row],[Code]],Locaties[#All],5,FALSE)</f>
        <v>7604 KV</v>
      </c>
      <c r="E341" s="243" t="str">
        <f>VLOOKUP(Ruimtestaat[[#This Row],[Code]],Locaties[#All],6,FALSE)</f>
        <v>Almelo</v>
      </c>
      <c r="F341" s="244"/>
      <c r="G341" s="215" t="s">
        <v>1337</v>
      </c>
      <c r="H341" s="200"/>
      <c r="I341" s="244" t="s">
        <v>1265</v>
      </c>
      <c r="J341" s="200">
        <v>2</v>
      </c>
      <c r="K341" s="243" t="s">
        <v>1040</v>
      </c>
      <c r="L341" s="200" t="s">
        <v>999</v>
      </c>
      <c r="M341" s="213">
        <v>26.3</v>
      </c>
      <c r="N341" s="213"/>
      <c r="O341" s="243" t="str">
        <f>VLOOKUP(Ruimtestaat[[#This Row],[Ruimte code]],Ruimtegroepen[#All],4,FALSE)</f>
        <v>B  (Bureauruimte)</v>
      </c>
      <c r="P341" s="214"/>
      <c r="Q341" s="215">
        <v>40</v>
      </c>
      <c r="R341" s="215" t="s">
        <v>18</v>
      </c>
      <c r="S341" s="215">
        <f>IF(R341&gt;0,IF(RIGHT(Ruimtestaat[[#This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41" s="215">
        <f>IF(S341&gt;0,VLOOKUP($J341,Ruimtegroepen[],3,FALSE)*VLOOKUP($K341,Vloersoorten[],3,FALSE)*VLOOKUP($R341,Frequenties[],3,FALSE)*VLOOKUP($A341,Locaties[],3,FALSE),0)</f>
        <v>0</v>
      </c>
      <c r="U341" s="215">
        <f>Ruimtestaat[[#This Row],[Uitvoeringen werkdagen]]*Ruimtestaat[[#This Row],[Oppervlak (netto)]]</f>
        <v>3156</v>
      </c>
      <c r="V341" s="259">
        <f>IF(T341&gt;0,Ruimtestaat[[#This Row],[Prest. (m2 /jaar) werkdagen]]/Ruimtestaat[[#This Row],[Norm (m2/uur) werkdagen]],0)</f>
        <v>0</v>
      </c>
      <c r="W341" s="260">
        <f>Ruimtestaat[[#This Row],[uren / jaar werkdagen]]*Tariefsopbouw!$D$38</f>
        <v>0</v>
      </c>
      <c r="X341" s="33"/>
      <c r="Y341" s="33">
        <f>IF(Ruimtestaat[[#This Row],[Frequentie weekend]]&gt;0,VALUE(LEFT(X341,1))*Q341,0)</f>
        <v>0</v>
      </c>
      <c r="Z341" s="33">
        <f>IF($Y341&gt;0,VLOOKUP($J341,Ruimtegroepen[],3,FALSE)*VLOOKUP($K341,Vloersoorten[],3,FALSE)*VLOOKUP($X341,Frequenties[],3,FALSE)*VLOOKUP(#REF!,Locaties[],3,FALSE),0)</f>
        <v>0</v>
      </c>
      <c r="AA341" s="33"/>
      <c r="AB341" s="33"/>
      <c r="AC341" s="33">
        <f>Ruimtestaat[[#This Row],[uren / jaar weekend]]*Tariefsopbouw!$D$40</f>
        <v>0</v>
      </c>
      <c r="AD341" s="88">
        <f>Ruimtestaat[[#This Row],[Prest. (m2 /jaar) weekend]]+Ruimtestaat[[#This Row],[Prest. (m2 /jaar) werkdagen]]</f>
        <v>3156</v>
      </c>
      <c r="AE341" s="88">
        <f>Ruimtestaat[[#This Row],[uren / jaar weekend]]+Ruimtestaat[[#This Row],[uren / jaar werkdagen]]</f>
        <v>0</v>
      </c>
      <c r="AF341" s="89">
        <f>Ruimtestaat[[#This Row],[kosten / jaar weekend]]+Ruimtestaat[[#This Row],[kosten / jaar werkdagen]]</f>
        <v>0</v>
      </c>
    </row>
    <row r="342" spans="1:32" ht="15" customHeight="1">
      <c r="A342" s="200">
        <v>2</v>
      </c>
      <c r="B342" s="21" t="str">
        <f>VLOOKUP(Ruimtestaat[[#This Row],[Code]],Locaties[#All],2,FALSE)</f>
        <v>Stichting Facilitair Beheer Van Renneslaan</v>
      </c>
      <c r="C342" s="243" t="str">
        <f>VLOOKUP(Ruimtestaat[[#This Row],[Code]],Locaties[#All],4,FALSE)</f>
        <v>Catharina van Renneslaan 35</v>
      </c>
      <c r="D342" s="243" t="str">
        <f>VLOOKUP(Ruimtestaat[[#This Row],[Code]],Locaties[#All],5,FALSE)</f>
        <v>7604 KV</v>
      </c>
      <c r="E342" s="243" t="str">
        <f>VLOOKUP(Ruimtestaat[[#This Row],[Code]],Locaties[#All],6,FALSE)</f>
        <v>Almelo</v>
      </c>
      <c r="F342" s="244"/>
      <c r="G342" s="215" t="s">
        <v>1337</v>
      </c>
      <c r="H342" s="200"/>
      <c r="I342" s="244" t="s">
        <v>1266</v>
      </c>
      <c r="J342" s="200">
        <v>16</v>
      </c>
      <c r="K342" s="243" t="s">
        <v>112</v>
      </c>
      <c r="L342" s="200" t="s">
        <v>1341</v>
      </c>
      <c r="M342" s="213">
        <v>42.3</v>
      </c>
      <c r="N342" s="213"/>
      <c r="O342" s="243" t="str">
        <f>VLOOKUP(Ruimtestaat[[#This Row],[Ruimte code]],Ruimtegroepen[#All],4,FALSE)</f>
        <v>L  (Lesruimte)</v>
      </c>
      <c r="P342" s="214"/>
      <c r="Q342" s="215">
        <v>40</v>
      </c>
      <c r="R342" s="215" t="s">
        <v>2</v>
      </c>
      <c r="S342" s="215">
        <f>IF(R342&gt;0,IF(RIGHT(Ruimtestaat[[#This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2" s="215">
        <f>IF(S342&gt;0,VLOOKUP($J342,Ruimtegroepen[],3,FALSE)*VLOOKUP($K342,Vloersoorten[],3,FALSE)*VLOOKUP($R342,Frequenties[],3,FALSE)*VLOOKUP($A342,Locaties[],3,FALSE),0)</f>
        <v>0</v>
      </c>
      <c r="U342" s="215">
        <f>Ruimtestaat[[#This Row],[Uitvoeringen werkdagen]]*Ruimtestaat[[#This Row],[Oppervlak (netto)]]</f>
        <v>8460</v>
      </c>
      <c r="V342" s="259">
        <f>IF(T342&gt;0,Ruimtestaat[[#This Row],[Prest. (m2 /jaar) werkdagen]]/Ruimtestaat[[#This Row],[Norm (m2/uur) werkdagen]],0)</f>
        <v>0</v>
      </c>
      <c r="W342" s="260">
        <f>Ruimtestaat[[#This Row],[uren / jaar werkdagen]]*Tariefsopbouw!$D$38</f>
        <v>0</v>
      </c>
      <c r="X342" s="33"/>
      <c r="Y342" s="33">
        <f>IF(Ruimtestaat[[#This Row],[Frequentie weekend]]&gt;0,VALUE(LEFT(X342,1))*Q342,0)</f>
        <v>0</v>
      </c>
      <c r="Z342" s="33">
        <f>IF($Y342&gt;0,VLOOKUP($J342,Ruimtegroepen[],3,FALSE)*VLOOKUP($K342,Vloersoorten[],3,FALSE)*VLOOKUP($X342,Frequenties[],3,FALSE)*VLOOKUP(#REF!,Locaties[],3,FALSE),0)</f>
        <v>0</v>
      </c>
      <c r="AA342" s="33"/>
      <c r="AB342" s="33"/>
      <c r="AC342" s="33">
        <f>Ruimtestaat[[#This Row],[uren / jaar weekend]]*Tariefsopbouw!$D$40</f>
        <v>0</v>
      </c>
      <c r="AD342" s="88">
        <f>Ruimtestaat[[#This Row],[Prest. (m2 /jaar) weekend]]+Ruimtestaat[[#This Row],[Prest. (m2 /jaar) werkdagen]]</f>
        <v>8460</v>
      </c>
      <c r="AE342" s="88">
        <f>Ruimtestaat[[#This Row],[uren / jaar weekend]]+Ruimtestaat[[#This Row],[uren / jaar werkdagen]]</f>
        <v>0</v>
      </c>
      <c r="AF342" s="89">
        <f>Ruimtestaat[[#This Row],[kosten / jaar weekend]]+Ruimtestaat[[#This Row],[kosten / jaar werkdagen]]</f>
        <v>0</v>
      </c>
    </row>
    <row r="343" spans="1:32" ht="15" customHeight="1">
      <c r="A343" s="200">
        <v>2</v>
      </c>
      <c r="B343" s="21" t="str">
        <f>VLOOKUP(Ruimtestaat[[#This Row],[Code]],Locaties[#All],2,FALSE)</f>
        <v>Stichting Facilitair Beheer Van Renneslaan</v>
      </c>
      <c r="C343" s="243" t="str">
        <f>VLOOKUP(Ruimtestaat[[#This Row],[Code]],Locaties[#All],4,FALSE)</f>
        <v>Catharina van Renneslaan 35</v>
      </c>
      <c r="D343" s="243" t="str">
        <f>VLOOKUP(Ruimtestaat[[#This Row],[Code]],Locaties[#All],5,FALSE)</f>
        <v>7604 KV</v>
      </c>
      <c r="E343" s="243" t="str">
        <f>VLOOKUP(Ruimtestaat[[#This Row],[Code]],Locaties[#All],6,FALSE)</f>
        <v>Almelo</v>
      </c>
      <c r="F343" s="244"/>
      <c r="G343" s="215" t="s">
        <v>1337</v>
      </c>
      <c r="H343" s="200"/>
      <c r="I343" s="244" t="s">
        <v>1267</v>
      </c>
      <c r="J343" s="200">
        <v>16</v>
      </c>
      <c r="K343" s="243" t="s">
        <v>112</v>
      </c>
      <c r="L343" s="200" t="s">
        <v>1341</v>
      </c>
      <c r="M343" s="213">
        <v>42.3</v>
      </c>
      <c r="N343" s="213"/>
      <c r="O343" s="243" t="str">
        <f>VLOOKUP(Ruimtestaat[[#This Row],[Ruimte code]],Ruimtegroepen[#All],4,FALSE)</f>
        <v>L  (Lesruimte)</v>
      </c>
      <c r="P343" s="214"/>
      <c r="Q343" s="215">
        <v>40</v>
      </c>
      <c r="R343" s="215" t="s">
        <v>2</v>
      </c>
      <c r="S343" s="215">
        <f>IF(R343&gt;0,IF(RIGHT(Ruimtestaat[[#This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3" s="215">
        <f>IF(S343&gt;0,VLOOKUP($J343,Ruimtegroepen[],3,FALSE)*VLOOKUP($K343,Vloersoorten[],3,FALSE)*VLOOKUP($R343,Frequenties[],3,FALSE)*VLOOKUP($A343,Locaties[],3,FALSE),0)</f>
        <v>0</v>
      </c>
      <c r="U343" s="215">
        <f>Ruimtestaat[[#This Row],[Uitvoeringen werkdagen]]*Ruimtestaat[[#This Row],[Oppervlak (netto)]]</f>
        <v>8460</v>
      </c>
      <c r="V343" s="259">
        <f>IF(T343&gt;0,Ruimtestaat[[#This Row],[Prest. (m2 /jaar) werkdagen]]/Ruimtestaat[[#This Row],[Norm (m2/uur) werkdagen]],0)</f>
        <v>0</v>
      </c>
      <c r="W343" s="260">
        <f>Ruimtestaat[[#This Row],[uren / jaar werkdagen]]*Tariefsopbouw!$D$38</f>
        <v>0</v>
      </c>
      <c r="X343" s="33"/>
      <c r="Y343" s="33">
        <f>IF(Ruimtestaat[[#This Row],[Frequentie weekend]]&gt;0,VALUE(LEFT(X343,1))*Q343,0)</f>
        <v>0</v>
      </c>
      <c r="Z343" s="33">
        <f>IF($Y343&gt;0,VLOOKUP($J343,Ruimtegroepen[],3,FALSE)*VLOOKUP($K343,Vloersoorten[],3,FALSE)*VLOOKUP($X343,Frequenties[],3,FALSE)*VLOOKUP(#REF!,Locaties[],3,FALSE),0)</f>
        <v>0</v>
      </c>
      <c r="AA343" s="33"/>
      <c r="AB343" s="33"/>
      <c r="AC343" s="33">
        <f>Ruimtestaat[[#This Row],[uren / jaar weekend]]*Tariefsopbouw!$D$40</f>
        <v>0</v>
      </c>
      <c r="AD343" s="88">
        <f>Ruimtestaat[[#This Row],[Prest. (m2 /jaar) weekend]]+Ruimtestaat[[#This Row],[Prest. (m2 /jaar) werkdagen]]</f>
        <v>8460</v>
      </c>
      <c r="AE343" s="88">
        <f>Ruimtestaat[[#This Row],[uren / jaar weekend]]+Ruimtestaat[[#This Row],[uren / jaar werkdagen]]</f>
        <v>0</v>
      </c>
      <c r="AF343" s="89">
        <f>Ruimtestaat[[#This Row],[kosten / jaar weekend]]+Ruimtestaat[[#This Row],[kosten / jaar werkdagen]]</f>
        <v>0</v>
      </c>
    </row>
    <row r="344" spans="1:32" ht="15" customHeight="1">
      <c r="A344" s="200">
        <v>2</v>
      </c>
      <c r="B344" s="21" t="str">
        <f>VLOOKUP(Ruimtestaat[[#This Row],[Code]],Locaties[#All],2,FALSE)</f>
        <v>Stichting Facilitair Beheer Van Renneslaan</v>
      </c>
      <c r="C344" s="243" t="str">
        <f>VLOOKUP(Ruimtestaat[[#This Row],[Code]],Locaties[#All],4,FALSE)</f>
        <v>Catharina van Renneslaan 35</v>
      </c>
      <c r="D344" s="243" t="str">
        <f>VLOOKUP(Ruimtestaat[[#This Row],[Code]],Locaties[#All],5,FALSE)</f>
        <v>7604 KV</v>
      </c>
      <c r="E344" s="243" t="str">
        <f>VLOOKUP(Ruimtestaat[[#This Row],[Code]],Locaties[#All],6,FALSE)</f>
        <v>Almelo</v>
      </c>
      <c r="F344" s="244"/>
      <c r="G344" s="215" t="s">
        <v>1337</v>
      </c>
      <c r="H344" s="200"/>
      <c r="I344" s="244" t="s">
        <v>1268</v>
      </c>
      <c r="J344" s="200">
        <v>16</v>
      </c>
      <c r="K344" s="243" t="s">
        <v>112</v>
      </c>
      <c r="L344" s="200" t="s">
        <v>1341</v>
      </c>
      <c r="M344" s="213">
        <v>43</v>
      </c>
      <c r="N344" s="213"/>
      <c r="O344" s="243" t="str">
        <f>VLOOKUP(Ruimtestaat[[#This Row],[Ruimte code]],Ruimtegroepen[#All],4,FALSE)</f>
        <v>L  (Lesruimte)</v>
      </c>
      <c r="P344" s="214"/>
      <c r="Q344" s="215">
        <v>40</v>
      </c>
      <c r="R344" s="215" t="s">
        <v>2</v>
      </c>
      <c r="S344" s="215">
        <f>IF(R344&gt;0,IF(RIGHT(Ruimtestaat[[#This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4" s="215">
        <f>IF(S344&gt;0,VLOOKUP($J344,Ruimtegroepen[],3,FALSE)*VLOOKUP($K344,Vloersoorten[],3,FALSE)*VLOOKUP($R344,Frequenties[],3,FALSE)*VLOOKUP($A344,Locaties[],3,FALSE),0)</f>
        <v>0</v>
      </c>
      <c r="U344" s="215">
        <f>Ruimtestaat[[#This Row],[Uitvoeringen werkdagen]]*Ruimtestaat[[#This Row],[Oppervlak (netto)]]</f>
        <v>8600</v>
      </c>
      <c r="V344" s="259">
        <f>IF(T344&gt;0,Ruimtestaat[[#This Row],[Prest. (m2 /jaar) werkdagen]]/Ruimtestaat[[#This Row],[Norm (m2/uur) werkdagen]],0)</f>
        <v>0</v>
      </c>
      <c r="W344" s="260">
        <f>Ruimtestaat[[#This Row],[uren / jaar werkdagen]]*Tariefsopbouw!$D$38</f>
        <v>0</v>
      </c>
      <c r="X344" s="33"/>
      <c r="Y344" s="33">
        <f>IF(Ruimtestaat[[#This Row],[Frequentie weekend]]&gt;0,VALUE(LEFT(X344,1))*Q344,0)</f>
        <v>0</v>
      </c>
      <c r="Z344" s="33">
        <f>IF($Y344&gt;0,VLOOKUP($J344,Ruimtegroepen[],3,FALSE)*VLOOKUP($K344,Vloersoorten[],3,FALSE)*VLOOKUP($X344,Frequenties[],3,FALSE)*VLOOKUP(#REF!,Locaties[],3,FALSE),0)</f>
        <v>0</v>
      </c>
      <c r="AA344" s="33"/>
      <c r="AB344" s="33"/>
      <c r="AC344" s="33">
        <f>Ruimtestaat[[#This Row],[uren / jaar weekend]]*Tariefsopbouw!$D$40</f>
        <v>0</v>
      </c>
      <c r="AD344" s="88">
        <f>Ruimtestaat[[#This Row],[Prest. (m2 /jaar) weekend]]+Ruimtestaat[[#This Row],[Prest. (m2 /jaar) werkdagen]]</f>
        <v>8600</v>
      </c>
      <c r="AE344" s="88">
        <f>Ruimtestaat[[#This Row],[uren / jaar weekend]]+Ruimtestaat[[#This Row],[uren / jaar werkdagen]]</f>
        <v>0</v>
      </c>
      <c r="AF344" s="89">
        <f>Ruimtestaat[[#This Row],[kosten / jaar weekend]]+Ruimtestaat[[#This Row],[kosten / jaar werkdagen]]</f>
        <v>0</v>
      </c>
    </row>
    <row r="345" spans="1:32" ht="15" customHeight="1">
      <c r="A345" s="200">
        <v>2</v>
      </c>
      <c r="B345" s="21" t="str">
        <f>VLOOKUP(Ruimtestaat[[#This Row],[Code]],Locaties[#All],2,FALSE)</f>
        <v>Stichting Facilitair Beheer Van Renneslaan</v>
      </c>
      <c r="C345" s="243" t="str">
        <f>VLOOKUP(Ruimtestaat[[#This Row],[Code]],Locaties[#All],4,FALSE)</f>
        <v>Catharina van Renneslaan 35</v>
      </c>
      <c r="D345" s="243" t="str">
        <f>VLOOKUP(Ruimtestaat[[#This Row],[Code]],Locaties[#All],5,FALSE)</f>
        <v>7604 KV</v>
      </c>
      <c r="E345" s="243" t="str">
        <f>VLOOKUP(Ruimtestaat[[#This Row],[Code]],Locaties[#All],6,FALSE)</f>
        <v>Almelo</v>
      </c>
      <c r="F345" s="244"/>
      <c r="G345" s="215" t="s">
        <v>1337</v>
      </c>
      <c r="H345" s="200"/>
      <c r="I345" s="244" t="s">
        <v>1269</v>
      </c>
      <c r="J345" s="200">
        <v>16</v>
      </c>
      <c r="K345" s="243" t="s">
        <v>112</v>
      </c>
      <c r="L345" s="200" t="s">
        <v>1341</v>
      </c>
      <c r="M345" s="213">
        <v>42.4</v>
      </c>
      <c r="N345" s="213"/>
      <c r="O345" s="243" t="str">
        <f>VLOOKUP(Ruimtestaat[[#This Row],[Ruimte code]],Ruimtegroepen[#All],4,FALSE)</f>
        <v>L  (Lesruimte)</v>
      </c>
      <c r="P345" s="214"/>
      <c r="Q345" s="215">
        <v>40</v>
      </c>
      <c r="R345" s="215" t="s">
        <v>2</v>
      </c>
      <c r="S345" s="215">
        <f>IF(R345&gt;0,IF(RIGHT(Ruimtestaat[[#This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5" s="215">
        <f>IF(S345&gt;0,VLOOKUP($J345,Ruimtegroepen[],3,FALSE)*VLOOKUP($K345,Vloersoorten[],3,FALSE)*VLOOKUP($R345,Frequenties[],3,FALSE)*VLOOKUP($A345,Locaties[],3,FALSE),0)</f>
        <v>0</v>
      </c>
      <c r="U345" s="215">
        <f>Ruimtestaat[[#This Row],[Uitvoeringen werkdagen]]*Ruimtestaat[[#This Row],[Oppervlak (netto)]]</f>
        <v>8480</v>
      </c>
      <c r="V345" s="259">
        <f>IF(T345&gt;0,Ruimtestaat[[#This Row],[Prest. (m2 /jaar) werkdagen]]/Ruimtestaat[[#This Row],[Norm (m2/uur) werkdagen]],0)</f>
        <v>0</v>
      </c>
      <c r="W345" s="260">
        <f>Ruimtestaat[[#This Row],[uren / jaar werkdagen]]*Tariefsopbouw!$D$38</f>
        <v>0</v>
      </c>
      <c r="X345" s="33"/>
      <c r="Y345" s="33">
        <f>IF(Ruimtestaat[[#This Row],[Frequentie weekend]]&gt;0,VALUE(LEFT(X345,1))*Q345,0)</f>
        <v>0</v>
      </c>
      <c r="Z345" s="33">
        <f>IF($Y345&gt;0,VLOOKUP($J345,Ruimtegroepen[],3,FALSE)*VLOOKUP($K345,Vloersoorten[],3,FALSE)*VLOOKUP($X345,Frequenties[],3,FALSE)*VLOOKUP(#REF!,Locaties[],3,FALSE),0)</f>
        <v>0</v>
      </c>
      <c r="AA345" s="33"/>
      <c r="AB345" s="33"/>
      <c r="AC345" s="33">
        <f>Ruimtestaat[[#This Row],[uren / jaar weekend]]*Tariefsopbouw!$D$40</f>
        <v>0</v>
      </c>
      <c r="AD345" s="88">
        <f>Ruimtestaat[[#This Row],[Prest. (m2 /jaar) weekend]]+Ruimtestaat[[#This Row],[Prest. (m2 /jaar) werkdagen]]</f>
        <v>8480</v>
      </c>
      <c r="AE345" s="88">
        <f>Ruimtestaat[[#This Row],[uren / jaar weekend]]+Ruimtestaat[[#This Row],[uren / jaar werkdagen]]</f>
        <v>0</v>
      </c>
      <c r="AF345" s="89">
        <f>Ruimtestaat[[#This Row],[kosten / jaar weekend]]+Ruimtestaat[[#This Row],[kosten / jaar werkdagen]]</f>
        <v>0</v>
      </c>
    </row>
    <row r="346" spans="1:32" ht="15" customHeight="1">
      <c r="A346" s="200">
        <v>2</v>
      </c>
      <c r="B346" s="21" t="str">
        <f>VLOOKUP(Ruimtestaat[[#This Row],[Code]],Locaties[#All],2,FALSE)</f>
        <v>Stichting Facilitair Beheer Van Renneslaan</v>
      </c>
      <c r="C346" s="243" t="str">
        <f>VLOOKUP(Ruimtestaat[[#This Row],[Code]],Locaties[#All],4,FALSE)</f>
        <v>Catharina van Renneslaan 35</v>
      </c>
      <c r="D346" s="243" t="str">
        <f>VLOOKUP(Ruimtestaat[[#This Row],[Code]],Locaties[#All],5,FALSE)</f>
        <v>7604 KV</v>
      </c>
      <c r="E346" s="243" t="str">
        <f>VLOOKUP(Ruimtestaat[[#This Row],[Code]],Locaties[#All],6,FALSE)</f>
        <v>Almelo</v>
      </c>
      <c r="F346" s="244"/>
      <c r="G346" s="215" t="s">
        <v>1337</v>
      </c>
      <c r="H346" s="200"/>
      <c r="I346" s="244" t="s">
        <v>1270</v>
      </c>
      <c r="J346" s="200">
        <v>16</v>
      </c>
      <c r="K346" s="243" t="s">
        <v>112</v>
      </c>
      <c r="L346" s="200" t="s">
        <v>1341</v>
      </c>
      <c r="M346" s="213">
        <v>27.4</v>
      </c>
      <c r="N346" s="213"/>
      <c r="O346" s="243" t="str">
        <f>VLOOKUP(Ruimtestaat[[#This Row],[Ruimte code]],Ruimtegroepen[#All],4,FALSE)</f>
        <v>L  (Lesruimte)</v>
      </c>
      <c r="P346" s="214"/>
      <c r="Q346" s="215">
        <v>40</v>
      </c>
      <c r="R346" s="215" t="s">
        <v>2</v>
      </c>
      <c r="S346" s="215">
        <f>IF(R346&gt;0,IF(RIGHT(Ruimtestaat[[#This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6" s="215">
        <f>IF(S346&gt;0,VLOOKUP($J346,Ruimtegroepen[],3,FALSE)*VLOOKUP($K346,Vloersoorten[],3,FALSE)*VLOOKUP($R346,Frequenties[],3,FALSE)*VLOOKUP($A346,Locaties[],3,FALSE),0)</f>
        <v>0</v>
      </c>
      <c r="U346" s="215">
        <f>Ruimtestaat[[#This Row],[Uitvoeringen werkdagen]]*Ruimtestaat[[#This Row],[Oppervlak (netto)]]</f>
        <v>5480</v>
      </c>
      <c r="V346" s="259">
        <f>IF(T346&gt;0,Ruimtestaat[[#This Row],[Prest. (m2 /jaar) werkdagen]]/Ruimtestaat[[#This Row],[Norm (m2/uur) werkdagen]],0)</f>
        <v>0</v>
      </c>
      <c r="W346" s="260">
        <f>Ruimtestaat[[#This Row],[uren / jaar werkdagen]]*Tariefsopbouw!$D$38</f>
        <v>0</v>
      </c>
      <c r="X346" s="33"/>
      <c r="Y346" s="33">
        <f>IF(Ruimtestaat[[#This Row],[Frequentie weekend]]&gt;0,VALUE(LEFT(X346,1))*Q346,0)</f>
        <v>0</v>
      </c>
      <c r="Z346" s="33">
        <f>IF($Y346&gt;0,VLOOKUP($J346,Ruimtegroepen[],3,FALSE)*VLOOKUP($K346,Vloersoorten[],3,FALSE)*VLOOKUP($X346,Frequenties[],3,FALSE)*VLOOKUP(#REF!,Locaties[],3,FALSE),0)</f>
        <v>0</v>
      </c>
      <c r="AA346" s="33"/>
      <c r="AB346" s="33"/>
      <c r="AC346" s="33">
        <f>Ruimtestaat[[#This Row],[uren / jaar weekend]]*Tariefsopbouw!$D$40</f>
        <v>0</v>
      </c>
      <c r="AD346" s="88">
        <f>Ruimtestaat[[#This Row],[Prest. (m2 /jaar) weekend]]+Ruimtestaat[[#This Row],[Prest. (m2 /jaar) werkdagen]]</f>
        <v>5480</v>
      </c>
      <c r="AE346" s="88">
        <f>Ruimtestaat[[#This Row],[uren / jaar weekend]]+Ruimtestaat[[#This Row],[uren / jaar werkdagen]]</f>
        <v>0</v>
      </c>
      <c r="AF346" s="89">
        <f>Ruimtestaat[[#This Row],[kosten / jaar weekend]]+Ruimtestaat[[#This Row],[kosten / jaar werkdagen]]</f>
        <v>0</v>
      </c>
    </row>
    <row r="347" spans="1:32" ht="15" customHeight="1">
      <c r="A347" s="200">
        <v>2</v>
      </c>
      <c r="B347" s="21" t="str">
        <f>VLOOKUP(Ruimtestaat[[#This Row],[Code]],Locaties[#All],2,FALSE)</f>
        <v>Stichting Facilitair Beheer Van Renneslaan</v>
      </c>
      <c r="C347" s="243" t="str">
        <f>VLOOKUP(Ruimtestaat[[#This Row],[Code]],Locaties[#All],4,FALSE)</f>
        <v>Catharina van Renneslaan 35</v>
      </c>
      <c r="D347" s="243" t="str">
        <f>VLOOKUP(Ruimtestaat[[#This Row],[Code]],Locaties[#All],5,FALSE)</f>
        <v>7604 KV</v>
      </c>
      <c r="E347" s="243" t="str">
        <f>VLOOKUP(Ruimtestaat[[#This Row],[Code]],Locaties[#All],6,FALSE)</f>
        <v>Almelo</v>
      </c>
      <c r="F347" s="244"/>
      <c r="G347" s="215" t="s">
        <v>1337</v>
      </c>
      <c r="H347" s="200"/>
      <c r="I347" s="244" t="s">
        <v>1271</v>
      </c>
      <c r="J347" s="200">
        <v>16</v>
      </c>
      <c r="K347" s="243" t="s">
        <v>112</v>
      </c>
      <c r="L347" s="200" t="s">
        <v>1341</v>
      </c>
      <c r="M347" s="213">
        <v>14.5</v>
      </c>
      <c r="N347" s="213"/>
      <c r="O347" s="243" t="str">
        <f>VLOOKUP(Ruimtestaat[[#This Row],[Ruimte code]],Ruimtegroepen[#All],4,FALSE)</f>
        <v>L  (Lesruimte)</v>
      </c>
      <c r="P347" s="214"/>
      <c r="Q347" s="215">
        <v>40</v>
      </c>
      <c r="R347" s="215" t="s">
        <v>2</v>
      </c>
      <c r="S347" s="215">
        <f>IF(R347&gt;0,IF(RIGHT(Ruimtestaat[[#This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7" s="215">
        <f>IF(S347&gt;0,VLOOKUP($J347,Ruimtegroepen[],3,FALSE)*VLOOKUP($K347,Vloersoorten[],3,FALSE)*VLOOKUP($R347,Frequenties[],3,FALSE)*VLOOKUP($A347,Locaties[],3,FALSE),0)</f>
        <v>0</v>
      </c>
      <c r="U347" s="215">
        <f>Ruimtestaat[[#This Row],[Uitvoeringen werkdagen]]*Ruimtestaat[[#This Row],[Oppervlak (netto)]]</f>
        <v>2900</v>
      </c>
      <c r="V347" s="259">
        <f>IF(T347&gt;0,Ruimtestaat[[#This Row],[Prest. (m2 /jaar) werkdagen]]/Ruimtestaat[[#This Row],[Norm (m2/uur) werkdagen]],0)</f>
        <v>0</v>
      </c>
      <c r="W347" s="260">
        <f>Ruimtestaat[[#This Row],[uren / jaar werkdagen]]*Tariefsopbouw!$D$38</f>
        <v>0</v>
      </c>
      <c r="X347" s="33"/>
      <c r="Y347" s="33">
        <f>IF(Ruimtestaat[[#This Row],[Frequentie weekend]]&gt;0,VALUE(LEFT(X347,1))*Q347,0)</f>
        <v>0</v>
      </c>
      <c r="Z347" s="33">
        <f>IF($Y347&gt;0,VLOOKUP($J347,Ruimtegroepen[],3,FALSE)*VLOOKUP($K347,Vloersoorten[],3,FALSE)*VLOOKUP($X347,Frequenties[],3,FALSE)*VLOOKUP(#REF!,Locaties[],3,FALSE),0)</f>
        <v>0</v>
      </c>
      <c r="AA347" s="33"/>
      <c r="AB347" s="33"/>
      <c r="AC347" s="33">
        <f>Ruimtestaat[[#This Row],[uren / jaar weekend]]*Tariefsopbouw!$D$40</f>
        <v>0</v>
      </c>
      <c r="AD347" s="88">
        <f>Ruimtestaat[[#This Row],[Prest. (m2 /jaar) weekend]]+Ruimtestaat[[#This Row],[Prest. (m2 /jaar) werkdagen]]</f>
        <v>2900</v>
      </c>
      <c r="AE347" s="88">
        <f>Ruimtestaat[[#This Row],[uren / jaar weekend]]+Ruimtestaat[[#This Row],[uren / jaar werkdagen]]</f>
        <v>0</v>
      </c>
      <c r="AF347" s="89">
        <f>Ruimtestaat[[#This Row],[kosten / jaar weekend]]+Ruimtestaat[[#This Row],[kosten / jaar werkdagen]]</f>
        <v>0</v>
      </c>
    </row>
    <row r="348" spans="1:32" ht="15" customHeight="1">
      <c r="A348" s="200">
        <v>2</v>
      </c>
      <c r="B348" s="21" t="str">
        <f>VLOOKUP(Ruimtestaat[[#This Row],[Code]],Locaties[#All],2,FALSE)</f>
        <v>Stichting Facilitair Beheer Van Renneslaan</v>
      </c>
      <c r="C348" s="243" t="str">
        <f>VLOOKUP(Ruimtestaat[[#This Row],[Code]],Locaties[#All],4,FALSE)</f>
        <v>Catharina van Renneslaan 35</v>
      </c>
      <c r="D348" s="243" t="str">
        <f>VLOOKUP(Ruimtestaat[[#This Row],[Code]],Locaties[#All],5,FALSE)</f>
        <v>7604 KV</v>
      </c>
      <c r="E348" s="243" t="str">
        <f>VLOOKUP(Ruimtestaat[[#This Row],[Code]],Locaties[#All],6,FALSE)</f>
        <v>Almelo</v>
      </c>
      <c r="F348" s="244"/>
      <c r="G348" s="215" t="s">
        <v>1337</v>
      </c>
      <c r="H348" s="200"/>
      <c r="I348" s="244" t="s">
        <v>1272</v>
      </c>
      <c r="J348" s="200">
        <v>10</v>
      </c>
      <c r="K348" s="243" t="s">
        <v>112</v>
      </c>
      <c r="L348" s="200" t="s">
        <v>1341</v>
      </c>
      <c r="M348" s="213">
        <v>57.3</v>
      </c>
      <c r="N348" s="213"/>
      <c r="O348" s="243" t="str">
        <f>VLOOKUP(Ruimtestaat[[#This Row],[Ruimte code]],Ruimtegroepen[#All],4,FALSE)</f>
        <v>V  (Verkeersruimte)</v>
      </c>
      <c r="P348" s="214"/>
      <c r="Q348" s="215">
        <v>40</v>
      </c>
      <c r="R348" s="215" t="s">
        <v>2</v>
      </c>
      <c r="S348" s="215">
        <f>IF(R348&gt;0,IF(RIGHT(Ruimtestaat[[#This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8" s="215">
        <f>IF(S348&gt;0,VLOOKUP($J348,Ruimtegroepen[],3,FALSE)*VLOOKUP($K348,Vloersoorten[],3,FALSE)*VLOOKUP($R348,Frequenties[],3,FALSE)*VLOOKUP($A348,Locaties[],3,FALSE),0)</f>
        <v>0</v>
      </c>
      <c r="U348" s="215">
        <f>Ruimtestaat[[#This Row],[Uitvoeringen werkdagen]]*Ruimtestaat[[#This Row],[Oppervlak (netto)]]</f>
        <v>11460</v>
      </c>
      <c r="V348" s="259">
        <f>IF(T348&gt;0,Ruimtestaat[[#This Row],[Prest. (m2 /jaar) werkdagen]]/Ruimtestaat[[#This Row],[Norm (m2/uur) werkdagen]],0)</f>
        <v>0</v>
      </c>
      <c r="W348" s="260">
        <f>Ruimtestaat[[#This Row],[uren / jaar werkdagen]]*Tariefsopbouw!$D$38</f>
        <v>0</v>
      </c>
      <c r="X348" s="33"/>
      <c r="Y348" s="33">
        <f>IF(Ruimtestaat[[#This Row],[Frequentie weekend]]&gt;0,VALUE(LEFT(X348,1))*Q348,0)</f>
        <v>0</v>
      </c>
      <c r="Z348" s="33">
        <f>IF($Y348&gt;0,VLOOKUP($J348,Ruimtegroepen[],3,FALSE)*VLOOKUP($K348,Vloersoorten[],3,FALSE)*VLOOKUP($X348,Frequenties[],3,FALSE)*VLOOKUP(#REF!,Locaties[],3,FALSE),0)</f>
        <v>0</v>
      </c>
      <c r="AA348" s="33"/>
      <c r="AB348" s="33"/>
      <c r="AC348" s="33">
        <f>Ruimtestaat[[#This Row],[uren / jaar weekend]]*Tariefsopbouw!$D$40</f>
        <v>0</v>
      </c>
      <c r="AD348" s="88">
        <f>Ruimtestaat[[#This Row],[Prest. (m2 /jaar) weekend]]+Ruimtestaat[[#This Row],[Prest. (m2 /jaar) werkdagen]]</f>
        <v>11460</v>
      </c>
      <c r="AE348" s="88">
        <f>Ruimtestaat[[#This Row],[uren / jaar weekend]]+Ruimtestaat[[#This Row],[uren / jaar werkdagen]]</f>
        <v>0</v>
      </c>
      <c r="AF348" s="89">
        <f>Ruimtestaat[[#This Row],[kosten / jaar weekend]]+Ruimtestaat[[#This Row],[kosten / jaar werkdagen]]</f>
        <v>0</v>
      </c>
    </row>
    <row r="349" spans="1:32" ht="15" customHeight="1">
      <c r="A349" s="200">
        <v>2</v>
      </c>
      <c r="B349" s="21" t="str">
        <f>VLOOKUP(Ruimtestaat[[#This Row],[Code]],Locaties[#All],2,FALSE)</f>
        <v>Stichting Facilitair Beheer Van Renneslaan</v>
      </c>
      <c r="C349" s="243" t="str">
        <f>VLOOKUP(Ruimtestaat[[#This Row],[Code]],Locaties[#All],4,FALSE)</f>
        <v>Catharina van Renneslaan 35</v>
      </c>
      <c r="D349" s="243" t="str">
        <f>VLOOKUP(Ruimtestaat[[#This Row],[Code]],Locaties[#All],5,FALSE)</f>
        <v>7604 KV</v>
      </c>
      <c r="E349" s="243" t="str">
        <f>VLOOKUP(Ruimtestaat[[#This Row],[Code]],Locaties[#All],6,FALSE)</f>
        <v>Almelo</v>
      </c>
      <c r="F349" s="244"/>
      <c r="G349" s="200" t="s">
        <v>1337</v>
      </c>
      <c r="H349" s="200"/>
      <c r="I349" s="244" t="s">
        <v>1273</v>
      </c>
      <c r="J349" s="200">
        <v>10</v>
      </c>
      <c r="K349" s="243" t="s">
        <v>112</v>
      </c>
      <c r="L349" s="200" t="s">
        <v>1341</v>
      </c>
      <c r="M349" s="213">
        <v>50.8</v>
      </c>
      <c r="N349" s="213"/>
      <c r="O349" s="243" t="str">
        <f>VLOOKUP(Ruimtestaat[[#This Row],[Ruimte code]],Ruimtegroepen[#All],4,FALSE)</f>
        <v>V  (Verkeersruimte)</v>
      </c>
      <c r="P349" s="214"/>
      <c r="Q349" s="215">
        <v>40</v>
      </c>
      <c r="R349" s="215" t="s">
        <v>2</v>
      </c>
      <c r="S349" s="215">
        <f>IF(R349&gt;0,IF(RIGHT(Ruimtestaat[[#This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49" s="215">
        <f>IF(S349&gt;0,VLOOKUP($J349,Ruimtegroepen[],3,FALSE)*VLOOKUP($K349,Vloersoorten[],3,FALSE)*VLOOKUP($R349,Frequenties[],3,FALSE)*VLOOKUP($A349,Locaties[],3,FALSE),0)</f>
        <v>0</v>
      </c>
      <c r="U349" s="215">
        <f>Ruimtestaat[[#This Row],[Uitvoeringen werkdagen]]*Ruimtestaat[[#This Row],[Oppervlak (netto)]]</f>
        <v>10160</v>
      </c>
      <c r="V349" s="259">
        <f>IF(T349&gt;0,Ruimtestaat[[#This Row],[Prest. (m2 /jaar) werkdagen]]/Ruimtestaat[[#This Row],[Norm (m2/uur) werkdagen]],0)</f>
        <v>0</v>
      </c>
      <c r="W349" s="260">
        <f>Ruimtestaat[[#This Row],[uren / jaar werkdagen]]*Tariefsopbouw!$D$38</f>
        <v>0</v>
      </c>
      <c r="X349" s="33"/>
      <c r="Y349" s="33">
        <f>IF(Ruimtestaat[[#This Row],[Frequentie weekend]]&gt;0,VALUE(LEFT(X349,1))*Q349,0)</f>
        <v>0</v>
      </c>
      <c r="Z349" s="33">
        <f>IF($Y349&gt;0,VLOOKUP($J349,Ruimtegroepen[],3,FALSE)*VLOOKUP($K349,Vloersoorten[],3,FALSE)*VLOOKUP($X349,Frequenties[],3,FALSE)*VLOOKUP(#REF!,Locaties[],3,FALSE),0)</f>
        <v>0</v>
      </c>
      <c r="AA349" s="33"/>
      <c r="AB349" s="33"/>
      <c r="AC349" s="33">
        <f>Ruimtestaat[[#This Row],[uren / jaar weekend]]*Tariefsopbouw!$D$40</f>
        <v>0</v>
      </c>
      <c r="AD349" s="88">
        <f>Ruimtestaat[[#This Row],[Prest. (m2 /jaar) weekend]]+Ruimtestaat[[#This Row],[Prest. (m2 /jaar) werkdagen]]</f>
        <v>10160</v>
      </c>
      <c r="AE349" s="88">
        <f>Ruimtestaat[[#This Row],[uren / jaar weekend]]+Ruimtestaat[[#This Row],[uren / jaar werkdagen]]</f>
        <v>0</v>
      </c>
      <c r="AF349" s="89">
        <f>Ruimtestaat[[#This Row],[kosten / jaar weekend]]+Ruimtestaat[[#This Row],[kosten / jaar werkdagen]]</f>
        <v>0</v>
      </c>
    </row>
    <row r="350" spans="1:32" ht="15" customHeight="1">
      <c r="A350" s="200">
        <v>2</v>
      </c>
      <c r="B350" s="21" t="str">
        <f>VLOOKUP(Ruimtestaat[[#This Row],[Code]],Locaties[#All],2,FALSE)</f>
        <v>Stichting Facilitair Beheer Van Renneslaan</v>
      </c>
      <c r="C350" s="243" t="str">
        <f>VLOOKUP(Ruimtestaat[[#This Row],[Code]],Locaties[#All],4,FALSE)</f>
        <v>Catharina van Renneslaan 35</v>
      </c>
      <c r="D350" s="243" t="str">
        <f>VLOOKUP(Ruimtestaat[[#This Row],[Code]],Locaties[#All],5,FALSE)</f>
        <v>7604 KV</v>
      </c>
      <c r="E350" s="243" t="str">
        <f>VLOOKUP(Ruimtestaat[[#This Row],[Code]],Locaties[#All],6,FALSE)</f>
        <v>Almelo</v>
      </c>
      <c r="F350" s="244"/>
      <c r="G350" s="200" t="s">
        <v>1337</v>
      </c>
      <c r="H350" s="200"/>
      <c r="I350" s="244" t="s">
        <v>1274</v>
      </c>
      <c r="J350" s="243">
        <v>10</v>
      </c>
      <c r="K350" s="243" t="s">
        <v>112</v>
      </c>
      <c r="L350" s="200" t="s">
        <v>1341</v>
      </c>
      <c r="M350" s="213">
        <v>53.5</v>
      </c>
      <c r="N350" s="213"/>
      <c r="O350" s="243" t="str">
        <f>VLOOKUP(Ruimtestaat[[#This Row],[Ruimte code]],Ruimtegroepen[#All],4,FALSE)</f>
        <v>V  (Verkeersruimte)</v>
      </c>
      <c r="P350" s="214"/>
      <c r="Q350" s="215">
        <v>40</v>
      </c>
      <c r="R350" s="215" t="s">
        <v>2</v>
      </c>
      <c r="S350" s="215">
        <f>IF(R350&gt;0,IF(RIGHT(Ruimtestaat[[#This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0" s="215">
        <f>IF(S350&gt;0,VLOOKUP($J350,Ruimtegroepen[],3,FALSE)*VLOOKUP($K350,Vloersoorten[],3,FALSE)*VLOOKUP($R350,Frequenties[],3,FALSE)*VLOOKUP($A350,Locaties[],3,FALSE),0)</f>
        <v>0</v>
      </c>
      <c r="U350" s="215">
        <f>Ruimtestaat[[#This Row],[Uitvoeringen werkdagen]]*Ruimtestaat[[#This Row],[Oppervlak (netto)]]</f>
        <v>10700</v>
      </c>
      <c r="V350" s="259">
        <f>IF(T350&gt;0,Ruimtestaat[[#This Row],[Prest. (m2 /jaar) werkdagen]]/Ruimtestaat[[#This Row],[Norm (m2/uur) werkdagen]],0)</f>
        <v>0</v>
      </c>
      <c r="W350" s="260">
        <f>Ruimtestaat[[#This Row],[uren / jaar werkdagen]]*Tariefsopbouw!$D$38</f>
        <v>0</v>
      </c>
      <c r="X350" s="33"/>
      <c r="Y350" s="33">
        <f>IF(Ruimtestaat[[#This Row],[Frequentie weekend]]&gt;0,VALUE(LEFT(X350,1))*Q350,0)</f>
        <v>0</v>
      </c>
      <c r="Z350" s="33">
        <f>IF($Y350&gt;0,VLOOKUP($J350,Ruimtegroepen[],3,FALSE)*VLOOKUP($K350,Vloersoorten[],3,FALSE)*VLOOKUP($X350,Frequenties[],3,FALSE)*VLOOKUP(#REF!,Locaties[],3,FALSE),0)</f>
        <v>0</v>
      </c>
      <c r="AA350" s="33"/>
      <c r="AB350" s="33"/>
      <c r="AC350" s="33">
        <f>Ruimtestaat[[#This Row],[uren / jaar weekend]]*Tariefsopbouw!$D$40</f>
        <v>0</v>
      </c>
      <c r="AD350" s="88">
        <f>Ruimtestaat[[#This Row],[Prest. (m2 /jaar) weekend]]+Ruimtestaat[[#This Row],[Prest. (m2 /jaar) werkdagen]]</f>
        <v>10700</v>
      </c>
      <c r="AE350" s="88">
        <f>Ruimtestaat[[#This Row],[uren / jaar weekend]]+Ruimtestaat[[#This Row],[uren / jaar werkdagen]]</f>
        <v>0</v>
      </c>
      <c r="AF350" s="89">
        <f>Ruimtestaat[[#This Row],[kosten / jaar weekend]]+Ruimtestaat[[#This Row],[kosten / jaar werkdagen]]</f>
        <v>0</v>
      </c>
    </row>
    <row r="351" spans="1:32" ht="15" customHeight="1">
      <c r="A351" s="200">
        <v>2</v>
      </c>
      <c r="B351" s="21" t="str">
        <f>VLOOKUP(Ruimtestaat[[#This Row],[Code]],Locaties[#All],2,FALSE)</f>
        <v>Stichting Facilitair Beheer Van Renneslaan</v>
      </c>
      <c r="C351" s="243" t="str">
        <f>VLOOKUP(Ruimtestaat[[#This Row],[Code]],Locaties[#All],4,FALSE)</f>
        <v>Catharina van Renneslaan 35</v>
      </c>
      <c r="D351" s="243" t="str">
        <f>VLOOKUP(Ruimtestaat[[#This Row],[Code]],Locaties[#All],5,FALSE)</f>
        <v>7604 KV</v>
      </c>
      <c r="E351" s="243" t="str">
        <f>VLOOKUP(Ruimtestaat[[#This Row],[Code]],Locaties[#All],6,FALSE)</f>
        <v>Almelo</v>
      </c>
      <c r="F351" s="244"/>
      <c r="G351" s="200" t="s">
        <v>1337</v>
      </c>
      <c r="H351" s="200"/>
      <c r="I351" s="244" t="s">
        <v>1275</v>
      </c>
      <c r="J351" s="200">
        <v>10</v>
      </c>
      <c r="K351" s="243" t="s">
        <v>112</v>
      </c>
      <c r="L351" s="200" t="s">
        <v>1341</v>
      </c>
      <c r="M351" s="213">
        <v>16.100000000000001</v>
      </c>
      <c r="N351" s="213"/>
      <c r="O351" s="243" t="str">
        <f>VLOOKUP(Ruimtestaat[[#This Row],[Ruimte code]],Ruimtegroepen[#All],4,FALSE)</f>
        <v>V  (Verkeersruimte)</v>
      </c>
      <c r="P351" s="214"/>
      <c r="Q351" s="215">
        <v>40</v>
      </c>
      <c r="R351" s="215" t="s">
        <v>2</v>
      </c>
      <c r="S351" s="215">
        <f>IF(R351&gt;0,IF(RIGHT(Ruimtestaat[[#This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1" s="215">
        <f>IF(S351&gt;0,VLOOKUP($J351,Ruimtegroepen[],3,FALSE)*VLOOKUP($K351,Vloersoorten[],3,FALSE)*VLOOKUP($R351,Frequenties[],3,FALSE)*VLOOKUP($A351,Locaties[],3,FALSE),0)</f>
        <v>0</v>
      </c>
      <c r="U351" s="215">
        <f>Ruimtestaat[[#This Row],[Uitvoeringen werkdagen]]*Ruimtestaat[[#This Row],[Oppervlak (netto)]]</f>
        <v>3220.0000000000005</v>
      </c>
      <c r="V351" s="259">
        <f>IF(T351&gt;0,Ruimtestaat[[#This Row],[Prest. (m2 /jaar) werkdagen]]/Ruimtestaat[[#This Row],[Norm (m2/uur) werkdagen]],0)</f>
        <v>0</v>
      </c>
      <c r="W351" s="260">
        <f>Ruimtestaat[[#This Row],[uren / jaar werkdagen]]*Tariefsopbouw!$D$38</f>
        <v>0</v>
      </c>
      <c r="X351" s="33"/>
      <c r="Y351" s="33">
        <f>IF(Ruimtestaat[[#This Row],[Frequentie weekend]]&gt;0,VALUE(LEFT(X351,1))*Q351,0)</f>
        <v>0</v>
      </c>
      <c r="Z351" s="33">
        <f>IF($Y351&gt;0,VLOOKUP($J351,Ruimtegroepen[],3,FALSE)*VLOOKUP($K351,Vloersoorten[],3,FALSE)*VLOOKUP($X351,Frequenties[],3,FALSE)*VLOOKUP(#REF!,Locaties[],3,FALSE),0)</f>
        <v>0</v>
      </c>
      <c r="AA351" s="33"/>
      <c r="AB351" s="33"/>
      <c r="AC351" s="33">
        <f>Ruimtestaat[[#This Row],[uren / jaar weekend]]*Tariefsopbouw!$D$40</f>
        <v>0</v>
      </c>
      <c r="AD351" s="88">
        <f>Ruimtestaat[[#This Row],[Prest. (m2 /jaar) weekend]]+Ruimtestaat[[#This Row],[Prest. (m2 /jaar) werkdagen]]</f>
        <v>3220.0000000000005</v>
      </c>
      <c r="AE351" s="88">
        <f>Ruimtestaat[[#This Row],[uren / jaar weekend]]+Ruimtestaat[[#This Row],[uren / jaar werkdagen]]</f>
        <v>0</v>
      </c>
      <c r="AF351" s="89">
        <f>Ruimtestaat[[#This Row],[kosten / jaar weekend]]+Ruimtestaat[[#This Row],[kosten / jaar werkdagen]]</f>
        <v>0</v>
      </c>
    </row>
    <row r="352" spans="1:32" ht="15" customHeight="1">
      <c r="A352" s="200">
        <v>2</v>
      </c>
      <c r="B352" s="21" t="str">
        <f>VLOOKUP(Ruimtestaat[[#This Row],[Code]],Locaties[#All],2,FALSE)</f>
        <v>Stichting Facilitair Beheer Van Renneslaan</v>
      </c>
      <c r="C352" s="243" t="str">
        <f>VLOOKUP(Ruimtestaat[[#This Row],[Code]],Locaties[#All],4,FALSE)</f>
        <v>Catharina van Renneslaan 35</v>
      </c>
      <c r="D352" s="243" t="str">
        <f>VLOOKUP(Ruimtestaat[[#This Row],[Code]],Locaties[#All],5,FALSE)</f>
        <v>7604 KV</v>
      </c>
      <c r="E352" s="243" t="str">
        <f>VLOOKUP(Ruimtestaat[[#This Row],[Code]],Locaties[#All],6,FALSE)</f>
        <v>Almelo</v>
      </c>
      <c r="F352" s="244"/>
      <c r="G352" s="200" t="s">
        <v>1337</v>
      </c>
      <c r="H352" s="200"/>
      <c r="I352" s="244" t="s">
        <v>1276</v>
      </c>
      <c r="J352" s="243">
        <v>5</v>
      </c>
      <c r="K352" s="243" t="s">
        <v>111</v>
      </c>
      <c r="L352" s="200" t="s">
        <v>1340</v>
      </c>
      <c r="M352" s="213">
        <v>18</v>
      </c>
      <c r="N352" s="213"/>
      <c r="O352" s="243" t="str">
        <f>VLOOKUP(Ruimtestaat[[#This Row],[Ruimte code]],Ruimtegroepen[#All],4,FALSE)</f>
        <v>S  (Sanitair)</v>
      </c>
      <c r="P352" s="214"/>
      <c r="Q352" s="215">
        <v>40</v>
      </c>
      <c r="R352" s="215" t="s">
        <v>2</v>
      </c>
      <c r="S352" s="215">
        <f>IF(R352&gt;0,IF(RIGHT(Ruimtestaat[[#This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2" s="215">
        <f>IF(S352&gt;0,VLOOKUP($J352,Ruimtegroepen[],3,FALSE)*VLOOKUP($K352,Vloersoorten[],3,FALSE)*VLOOKUP($R352,Frequenties[],3,FALSE)*VLOOKUP($A352,Locaties[],3,FALSE),0)</f>
        <v>0</v>
      </c>
      <c r="U352" s="215">
        <f>Ruimtestaat[[#This Row],[Uitvoeringen werkdagen]]*Ruimtestaat[[#This Row],[Oppervlak (netto)]]</f>
        <v>3600</v>
      </c>
      <c r="V352" s="259">
        <f>IF(T352&gt;0,Ruimtestaat[[#This Row],[Prest. (m2 /jaar) werkdagen]]/Ruimtestaat[[#This Row],[Norm (m2/uur) werkdagen]],0)</f>
        <v>0</v>
      </c>
      <c r="W352" s="260">
        <f>Ruimtestaat[[#This Row],[uren / jaar werkdagen]]*Tariefsopbouw!$D$38</f>
        <v>0</v>
      </c>
      <c r="X352" s="33"/>
      <c r="Y352" s="33">
        <f>IF(Ruimtestaat[[#This Row],[Frequentie weekend]]&gt;0,VALUE(LEFT(X352,1))*Q352,0)</f>
        <v>0</v>
      </c>
      <c r="Z352" s="33">
        <f>IF($Y352&gt;0,VLOOKUP($J352,Ruimtegroepen[],3,FALSE)*VLOOKUP($K352,Vloersoorten[],3,FALSE)*VLOOKUP($X352,Frequenties[],3,FALSE)*VLOOKUP(#REF!,Locaties[],3,FALSE),0)</f>
        <v>0</v>
      </c>
      <c r="AA352" s="33"/>
      <c r="AB352" s="33"/>
      <c r="AC352" s="33">
        <f>Ruimtestaat[[#This Row],[uren / jaar weekend]]*Tariefsopbouw!$D$40</f>
        <v>0</v>
      </c>
      <c r="AD352" s="88">
        <f>Ruimtestaat[[#This Row],[Prest. (m2 /jaar) weekend]]+Ruimtestaat[[#This Row],[Prest. (m2 /jaar) werkdagen]]</f>
        <v>3600</v>
      </c>
      <c r="AE352" s="88">
        <f>Ruimtestaat[[#This Row],[uren / jaar weekend]]+Ruimtestaat[[#This Row],[uren / jaar werkdagen]]</f>
        <v>0</v>
      </c>
      <c r="AF352" s="89">
        <f>Ruimtestaat[[#This Row],[kosten / jaar weekend]]+Ruimtestaat[[#This Row],[kosten / jaar werkdagen]]</f>
        <v>0</v>
      </c>
    </row>
    <row r="353" spans="1:32" ht="15" customHeight="1">
      <c r="A353" s="200">
        <v>2</v>
      </c>
      <c r="B353" s="21" t="str">
        <f>VLOOKUP(Ruimtestaat[[#This Row],[Code]],Locaties[#All],2,FALSE)</f>
        <v>Stichting Facilitair Beheer Van Renneslaan</v>
      </c>
      <c r="C353" s="243" t="str">
        <f>VLOOKUP(Ruimtestaat[[#This Row],[Code]],Locaties[#All],4,FALSE)</f>
        <v>Catharina van Renneslaan 35</v>
      </c>
      <c r="D353" s="243" t="str">
        <f>VLOOKUP(Ruimtestaat[[#This Row],[Code]],Locaties[#All],5,FALSE)</f>
        <v>7604 KV</v>
      </c>
      <c r="E353" s="243" t="str">
        <f>VLOOKUP(Ruimtestaat[[#This Row],[Code]],Locaties[#All],6,FALSE)</f>
        <v>Almelo</v>
      </c>
      <c r="F353" s="244"/>
      <c r="G353" s="200" t="s">
        <v>1337</v>
      </c>
      <c r="H353" s="200"/>
      <c r="I353" s="244" t="s">
        <v>1277</v>
      </c>
      <c r="J353" s="200">
        <v>5</v>
      </c>
      <c r="K353" s="243" t="s">
        <v>111</v>
      </c>
      <c r="L353" s="200" t="s">
        <v>1340</v>
      </c>
      <c r="M353" s="213">
        <v>65.099999999999994</v>
      </c>
      <c r="N353" s="213"/>
      <c r="O353" s="243" t="str">
        <f>VLOOKUP(Ruimtestaat[[#This Row],[Ruimte code]],Ruimtegroepen[#All],4,FALSE)</f>
        <v>S  (Sanitair)</v>
      </c>
      <c r="P353" s="214"/>
      <c r="Q353" s="215">
        <v>40</v>
      </c>
      <c r="R353" s="215" t="s">
        <v>2</v>
      </c>
      <c r="S353" s="215">
        <f>IF(R353&gt;0,IF(RIGHT(Ruimtestaat[[#This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3" s="215">
        <f>IF(S353&gt;0,VLOOKUP($J353,Ruimtegroepen[],3,FALSE)*VLOOKUP($K353,Vloersoorten[],3,FALSE)*VLOOKUP($R353,Frequenties[],3,FALSE)*VLOOKUP($A353,Locaties[],3,FALSE),0)</f>
        <v>0</v>
      </c>
      <c r="U353" s="215">
        <f>Ruimtestaat[[#This Row],[Uitvoeringen werkdagen]]*Ruimtestaat[[#This Row],[Oppervlak (netto)]]</f>
        <v>13019.999999999998</v>
      </c>
      <c r="V353" s="259">
        <f>IF(T353&gt;0,Ruimtestaat[[#This Row],[Prest. (m2 /jaar) werkdagen]]/Ruimtestaat[[#This Row],[Norm (m2/uur) werkdagen]],0)</f>
        <v>0</v>
      </c>
      <c r="W353" s="260">
        <f>Ruimtestaat[[#This Row],[uren / jaar werkdagen]]*Tariefsopbouw!$D$38</f>
        <v>0</v>
      </c>
      <c r="X353" s="33"/>
      <c r="Y353" s="33">
        <f>IF(Ruimtestaat[[#This Row],[Frequentie weekend]]&gt;0,VALUE(LEFT(X353,1))*Q353,0)</f>
        <v>0</v>
      </c>
      <c r="Z353" s="33">
        <f>IF($Y353&gt;0,VLOOKUP($J353,Ruimtegroepen[],3,FALSE)*VLOOKUP($K353,Vloersoorten[],3,FALSE)*VLOOKUP($X353,Frequenties[],3,FALSE)*VLOOKUP(#REF!,Locaties[],3,FALSE),0)</f>
        <v>0</v>
      </c>
      <c r="AA353" s="33"/>
      <c r="AB353" s="33"/>
      <c r="AC353" s="33">
        <f>Ruimtestaat[[#This Row],[uren / jaar weekend]]*Tariefsopbouw!$D$40</f>
        <v>0</v>
      </c>
      <c r="AD353" s="88">
        <f>Ruimtestaat[[#This Row],[Prest. (m2 /jaar) weekend]]+Ruimtestaat[[#This Row],[Prest. (m2 /jaar) werkdagen]]</f>
        <v>13019.999999999998</v>
      </c>
      <c r="AE353" s="88">
        <f>Ruimtestaat[[#This Row],[uren / jaar weekend]]+Ruimtestaat[[#This Row],[uren / jaar werkdagen]]</f>
        <v>0</v>
      </c>
      <c r="AF353" s="89">
        <f>Ruimtestaat[[#This Row],[kosten / jaar weekend]]+Ruimtestaat[[#This Row],[kosten / jaar werkdagen]]</f>
        <v>0</v>
      </c>
    </row>
    <row r="354" spans="1:32" ht="15" customHeight="1">
      <c r="A354" s="200">
        <v>2</v>
      </c>
      <c r="B354" s="21" t="str">
        <f>VLOOKUP(Ruimtestaat[[#This Row],[Code]],Locaties[#All],2,FALSE)</f>
        <v>Stichting Facilitair Beheer Van Renneslaan</v>
      </c>
      <c r="C354" s="243" t="str">
        <f>VLOOKUP(Ruimtestaat[[#This Row],[Code]],Locaties[#All],4,FALSE)</f>
        <v>Catharina van Renneslaan 35</v>
      </c>
      <c r="D354" s="243" t="str">
        <f>VLOOKUP(Ruimtestaat[[#This Row],[Code]],Locaties[#All],5,FALSE)</f>
        <v>7604 KV</v>
      </c>
      <c r="E354" s="243" t="str">
        <f>VLOOKUP(Ruimtestaat[[#This Row],[Code]],Locaties[#All],6,FALSE)</f>
        <v>Almelo</v>
      </c>
      <c r="F354" s="244"/>
      <c r="G354" s="200" t="s">
        <v>1337</v>
      </c>
      <c r="H354" s="200"/>
      <c r="I354" s="244" t="s">
        <v>1278</v>
      </c>
      <c r="J354" s="200">
        <v>5</v>
      </c>
      <c r="K354" s="243" t="s">
        <v>111</v>
      </c>
      <c r="L354" s="200" t="s">
        <v>1340</v>
      </c>
      <c r="M354" s="213">
        <v>34.1</v>
      </c>
      <c r="N354" s="213"/>
      <c r="O354" s="243" t="str">
        <f>VLOOKUP(Ruimtestaat[[#This Row],[Ruimte code]],Ruimtegroepen[#All],4,FALSE)</f>
        <v>S  (Sanitair)</v>
      </c>
      <c r="P354" s="214"/>
      <c r="Q354" s="215">
        <v>40</v>
      </c>
      <c r="R354" s="215" t="s">
        <v>2</v>
      </c>
      <c r="S354" s="215">
        <f>IF(R354&gt;0,IF(RIGHT(Ruimtestaat[[#This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4" s="215">
        <f>IF(S354&gt;0,VLOOKUP($J354,Ruimtegroepen[],3,FALSE)*VLOOKUP($K354,Vloersoorten[],3,FALSE)*VLOOKUP($R354,Frequenties[],3,FALSE)*VLOOKUP($A354,Locaties[],3,FALSE),0)</f>
        <v>0</v>
      </c>
      <c r="U354" s="215">
        <f>Ruimtestaat[[#This Row],[Uitvoeringen werkdagen]]*Ruimtestaat[[#This Row],[Oppervlak (netto)]]</f>
        <v>6820</v>
      </c>
      <c r="V354" s="259">
        <f>IF(T354&gt;0,Ruimtestaat[[#This Row],[Prest. (m2 /jaar) werkdagen]]/Ruimtestaat[[#This Row],[Norm (m2/uur) werkdagen]],0)</f>
        <v>0</v>
      </c>
      <c r="W354" s="260">
        <f>Ruimtestaat[[#This Row],[uren / jaar werkdagen]]*Tariefsopbouw!$D$38</f>
        <v>0</v>
      </c>
      <c r="X354" s="33"/>
      <c r="Y354" s="33">
        <f>IF(Ruimtestaat[[#This Row],[Frequentie weekend]]&gt;0,VALUE(LEFT(X354,1))*Q354,0)</f>
        <v>0</v>
      </c>
      <c r="Z354" s="33">
        <f>IF($Y354&gt;0,VLOOKUP($J354,Ruimtegroepen[],3,FALSE)*VLOOKUP($K354,Vloersoorten[],3,FALSE)*VLOOKUP($X354,Frequenties[],3,FALSE)*VLOOKUP(#REF!,Locaties[],3,FALSE),0)</f>
        <v>0</v>
      </c>
      <c r="AA354" s="33"/>
      <c r="AB354" s="33"/>
      <c r="AC354" s="33">
        <f>Ruimtestaat[[#This Row],[uren / jaar weekend]]*Tariefsopbouw!$D$40</f>
        <v>0</v>
      </c>
      <c r="AD354" s="88">
        <f>Ruimtestaat[[#This Row],[Prest. (m2 /jaar) weekend]]+Ruimtestaat[[#This Row],[Prest. (m2 /jaar) werkdagen]]</f>
        <v>6820</v>
      </c>
      <c r="AE354" s="88">
        <f>Ruimtestaat[[#This Row],[uren / jaar weekend]]+Ruimtestaat[[#This Row],[uren / jaar werkdagen]]</f>
        <v>0</v>
      </c>
      <c r="AF354" s="89">
        <f>Ruimtestaat[[#This Row],[kosten / jaar weekend]]+Ruimtestaat[[#This Row],[kosten / jaar werkdagen]]</f>
        <v>0</v>
      </c>
    </row>
    <row r="355" spans="1:32" ht="15" customHeight="1">
      <c r="A355" s="200">
        <v>2</v>
      </c>
      <c r="B355" s="21" t="str">
        <f>VLOOKUP(Ruimtestaat[[#This Row],[Code]],Locaties[#All],2,FALSE)</f>
        <v>Stichting Facilitair Beheer Van Renneslaan</v>
      </c>
      <c r="C355" s="243" t="str">
        <f>VLOOKUP(Ruimtestaat[[#This Row],[Code]],Locaties[#All],4,FALSE)</f>
        <v>Catharina van Renneslaan 35</v>
      </c>
      <c r="D355" s="243" t="str">
        <f>VLOOKUP(Ruimtestaat[[#This Row],[Code]],Locaties[#All],5,FALSE)</f>
        <v>7604 KV</v>
      </c>
      <c r="E355" s="243" t="str">
        <f>VLOOKUP(Ruimtestaat[[#This Row],[Code]],Locaties[#All],6,FALSE)</f>
        <v>Almelo</v>
      </c>
      <c r="F355" s="244"/>
      <c r="G355" s="200" t="s">
        <v>1337</v>
      </c>
      <c r="H355" s="200"/>
      <c r="I355" s="244" t="s">
        <v>1279</v>
      </c>
      <c r="J355" s="243">
        <v>5</v>
      </c>
      <c r="K355" s="243" t="s">
        <v>111</v>
      </c>
      <c r="L355" s="200" t="s">
        <v>1340</v>
      </c>
      <c r="M355" s="213">
        <v>43.7</v>
      </c>
      <c r="N355" s="213"/>
      <c r="O355" s="243" t="str">
        <f>VLOOKUP(Ruimtestaat[[#This Row],[Ruimte code]],Ruimtegroepen[#All],4,FALSE)</f>
        <v>S  (Sanitair)</v>
      </c>
      <c r="P355" s="214"/>
      <c r="Q355" s="215">
        <v>40</v>
      </c>
      <c r="R355" s="215" t="s">
        <v>2</v>
      </c>
      <c r="S355" s="215">
        <f>IF(R355&gt;0,IF(RIGHT(Ruimtestaat[[#This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5" s="215">
        <f>IF(S355&gt;0,VLOOKUP($J355,Ruimtegroepen[],3,FALSE)*VLOOKUP($K355,Vloersoorten[],3,FALSE)*VLOOKUP($R355,Frequenties[],3,FALSE)*VLOOKUP($A355,Locaties[],3,FALSE),0)</f>
        <v>0</v>
      </c>
      <c r="U355" s="215">
        <f>Ruimtestaat[[#This Row],[Uitvoeringen werkdagen]]*Ruimtestaat[[#This Row],[Oppervlak (netto)]]</f>
        <v>8740</v>
      </c>
      <c r="V355" s="259">
        <f>IF(T355&gt;0,Ruimtestaat[[#This Row],[Prest. (m2 /jaar) werkdagen]]/Ruimtestaat[[#This Row],[Norm (m2/uur) werkdagen]],0)</f>
        <v>0</v>
      </c>
      <c r="W355" s="260">
        <f>Ruimtestaat[[#This Row],[uren / jaar werkdagen]]*Tariefsopbouw!$D$38</f>
        <v>0</v>
      </c>
      <c r="X355" s="33"/>
      <c r="Y355" s="33">
        <f>IF(Ruimtestaat[[#This Row],[Frequentie weekend]]&gt;0,VALUE(LEFT(X355,1))*Q355,0)</f>
        <v>0</v>
      </c>
      <c r="Z355" s="33">
        <f>IF($Y355&gt;0,VLOOKUP($J355,Ruimtegroepen[],3,FALSE)*VLOOKUP($K355,Vloersoorten[],3,FALSE)*VLOOKUP($X355,Frequenties[],3,FALSE)*VLOOKUP(#REF!,Locaties[],3,FALSE),0)</f>
        <v>0</v>
      </c>
      <c r="AA355" s="33"/>
      <c r="AB355" s="33"/>
      <c r="AC355" s="33">
        <f>Ruimtestaat[[#This Row],[uren / jaar weekend]]*Tariefsopbouw!$D$40</f>
        <v>0</v>
      </c>
      <c r="AD355" s="88">
        <f>Ruimtestaat[[#This Row],[Prest. (m2 /jaar) weekend]]+Ruimtestaat[[#This Row],[Prest. (m2 /jaar) werkdagen]]</f>
        <v>8740</v>
      </c>
      <c r="AE355" s="88">
        <f>Ruimtestaat[[#This Row],[uren / jaar weekend]]+Ruimtestaat[[#This Row],[uren / jaar werkdagen]]</f>
        <v>0</v>
      </c>
      <c r="AF355" s="89">
        <f>Ruimtestaat[[#This Row],[kosten / jaar weekend]]+Ruimtestaat[[#This Row],[kosten / jaar werkdagen]]</f>
        <v>0</v>
      </c>
    </row>
    <row r="356" spans="1:32" ht="15" customHeight="1">
      <c r="A356" s="200">
        <v>2</v>
      </c>
      <c r="B356" s="21" t="str">
        <f>VLOOKUP(Ruimtestaat[[#This Row],[Code]],Locaties[#All],2,FALSE)</f>
        <v>Stichting Facilitair Beheer Van Renneslaan</v>
      </c>
      <c r="C356" s="243" t="str">
        <f>VLOOKUP(Ruimtestaat[[#This Row],[Code]],Locaties[#All],4,FALSE)</f>
        <v>Catharina van Renneslaan 35</v>
      </c>
      <c r="D356" s="243" t="str">
        <f>VLOOKUP(Ruimtestaat[[#This Row],[Code]],Locaties[#All],5,FALSE)</f>
        <v>7604 KV</v>
      </c>
      <c r="E356" s="243" t="str">
        <f>VLOOKUP(Ruimtestaat[[#This Row],[Code]],Locaties[#All],6,FALSE)</f>
        <v>Almelo</v>
      </c>
      <c r="F356" s="244"/>
      <c r="G356" s="200" t="s">
        <v>1337</v>
      </c>
      <c r="H356" s="200"/>
      <c r="I356" s="244" t="s">
        <v>1280</v>
      </c>
      <c r="J356" s="200">
        <v>10</v>
      </c>
      <c r="K356" s="243" t="s">
        <v>112</v>
      </c>
      <c r="L356" s="200" t="s">
        <v>1341</v>
      </c>
      <c r="M356" s="213">
        <v>17.8</v>
      </c>
      <c r="N356" s="213"/>
      <c r="O356" s="243" t="str">
        <f>VLOOKUP(Ruimtestaat[[#This Row],[Ruimte code]],Ruimtegroepen[#All],4,FALSE)</f>
        <v>V  (Verkeersruimte)</v>
      </c>
      <c r="P356" s="214"/>
      <c r="Q356" s="215">
        <v>40</v>
      </c>
      <c r="R356" s="215" t="s">
        <v>2</v>
      </c>
      <c r="S356" s="215">
        <f>IF(R356&gt;0,IF(RIGHT(Ruimtestaat[[#This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6" s="215">
        <f>IF(S356&gt;0,VLOOKUP($J356,Ruimtegroepen[],3,FALSE)*VLOOKUP($K356,Vloersoorten[],3,FALSE)*VLOOKUP($R356,Frequenties[],3,FALSE)*VLOOKUP($A356,Locaties[],3,FALSE),0)</f>
        <v>0</v>
      </c>
      <c r="U356" s="215">
        <f>Ruimtestaat[[#This Row],[Uitvoeringen werkdagen]]*Ruimtestaat[[#This Row],[Oppervlak (netto)]]</f>
        <v>3560</v>
      </c>
      <c r="V356" s="259">
        <f>IF(T356&gt;0,Ruimtestaat[[#This Row],[Prest. (m2 /jaar) werkdagen]]/Ruimtestaat[[#This Row],[Norm (m2/uur) werkdagen]],0)</f>
        <v>0</v>
      </c>
      <c r="W356" s="260">
        <f>Ruimtestaat[[#This Row],[uren / jaar werkdagen]]*Tariefsopbouw!$D$38</f>
        <v>0</v>
      </c>
      <c r="X356" s="33"/>
      <c r="Y356" s="33">
        <f>IF(Ruimtestaat[[#This Row],[Frequentie weekend]]&gt;0,VALUE(LEFT(X356,1))*Q356,0)</f>
        <v>0</v>
      </c>
      <c r="Z356" s="33">
        <f>IF($Y356&gt;0,VLOOKUP($J356,Ruimtegroepen[],3,FALSE)*VLOOKUP($K356,Vloersoorten[],3,FALSE)*VLOOKUP($X356,Frequenties[],3,FALSE)*VLOOKUP(#REF!,Locaties[],3,FALSE),0)</f>
        <v>0</v>
      </c>
      <c r="AA356" s="33"/>
      <c r="AB356" s="33"/>
      <c r="AC356" s="33">
        <f>Ruimtestaat[[#This Row],[uren / jaar weekend]]*Tariefsopbouw!$D$40</f>
        <v>0</v>
      </c>
      <c r="AD356" s="88">
        <f>Ruimtestaat[[#This Row],[Prest. (m2 /jaar) weekend]]+Ruimtestaat[[#This Row],[Prest. (m2 /jaar) werkdagen]]</f>
        <v>3560</v>
      </c>
      <c r="AE356" s="88">
        <f>Ruimtestaat[[#This Row],[uren / jaar weekend]]+Ruimtestaat[[#This Row],[uren / jaar werkdagen]]</f>
        <v>0</v>
      </c>
      <c r="AF356" s="89">
        <f>Ruimtestaat[[#This Row],[kosten / jaar weekend]]+Ruimtestaat[[#This Row],[kosten / jaar werkdagen]]</f>
        <v>0</v>
      </c>
    </row>
    <row r="357" spans="1:32" ht="15" customHeight="1">
      <c r="A357" s="200">
        <v>2</v>
      </c>
      <c r="B357" s="21" t="str">
        <f>VLOOKUP(Ruimtestaat[[#This Row],[Code]],Locaties[#All],2,FALSE)</f>
        <v>Stichting Facilitair Beheer Van Renneslaan</v>
      </c>
      <c r="C357" s="243" t="str">
        <f>VLOOKUP(Ruimtestaat[[#This Row],[Code]],Locaties[#All],4,FALSE)</f>
        <v>Catharina van Renneslaan 35</v>
      </c>
      <c r="D357" s="243" t="str">
        <f>VLOOKUP(Ruimtestaat[[#This Row],[Code]],Locaties[#All],5,FALSE)</f>
        <v>7604 KV</v>
      </c>
      <c r="E357" s="243" t="str">
        <f>VLOOKUP(Ruimtestaat[[#This Row],[Code]],Locaties[#All],6,FALSE)</f>
        <v>Almelo</v>
      </c>
      <c r="F357" s="244"/>
      <c r="G357" s="200" t="s">
        <v>1337</v>
      </c>
      <c r="H357" s="200"/>
      <c r="I357" s="244" t="s">
        <v>1281</v>
      </c>
      <c r="J357" s="243">
        <v>5</v>
      </c>
      <c r="K357" s="243" t="s">
        <v>111</v>
      </c>
      <c r="L357" s="200" t="s">
        <v>1340</v>
      </c>
      <c r="M357" s="213">
        <v>7</v>
      </c>
      <c r="N357" s="213"/>
      <c r="O357" s="243" t="str">
        <f>VLOOKUP(Ruimtestaat[[#This Row],[Ruimte code]],Ruimtegroepen[#All],4,FALSE)</f>
        <v>S  (Sanitair)</v>
      </c>
      <c r="P357" s="214"/>
      <c r="Q357" s="215">
        <v>40</v>
      </c>
      <c r="R357" s="215" t="s">
        <v>2</v>
      </c>
      <c r="S357" s="215">
        <f>IF(R357&gt;0,IF(RIGHT(Ruimtestaat[[#This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7" s="215">
        <f>IF(S357&gt;0,VLOOKUP($J357,Ruimtegroepen[],3,FALSE)*VLOOKUP($K357,Vloersoorten[],3,FALSE)*VLOOKUP($R357,Frequenties[],3,FALSE)*VLOOKUP($A357,Locaties[],3,FALSE),0)</f>
        <v>0</v>
      </c>
      <c r="U357" s="215">
        <f>Ruimtestaat[[#This Row],[Uitvoeringen werkdagen]]*Ruimtestaat[[#This Row],[Oppervlak (netto)]]</f>
        <v>1400</v>
      </c>
      <c r="V357" s="259">
        <f>IF(T357&gt;0,Ruimtestaat[[#This Row],[Prest. (m2 /jaar) werkdagen]]/Ruimtestaat[[#This Row],[Norm (m2/uur) werkdagen]],0)</f>
        <v>0</v>
      </c>
      <c r="W357" s="260">
        <f>Ruimtestaat[[#This Row],[uren / jaar werkdagen]]*Tariefsopbouw!$D$38</f>
        <v>0</v>
      </c>
      <c r="X357" s="33"/>
      <c r="Y357" s="33">
        <f>IF(Ruimtestaat[[#This Row],[Frequentie weekend]]&gt;0,VALUE(LEFT(X357,1))*Q357,0)</f>
        <v>0</v>
      </c>
      <c r="Z357" s="33">
        <f>IF($Y357&gt;0,VLOOKUP($J357,Ruimtegroepen[],3,FALSE)*VLOOKUP($K357,Vloersoorten[],3,FALSE)*VLOOKUP($X357,Frequenties[],3,FALSE)*VLOOKUP(#REF!,Locaties[],3,FALSE),0)</f>
        <v>0</v>
      </c>
      <c r="AA357" s="33"/>
      <c r="AB357" s="33"/>
      <c r="AC357" s="33">
        <f>Ruimtestaat[[#This Row],[uren / jaar weekend]]*Tariefsopbouw!$D$40</f>
        <v>0</v>
      </c>
      <c r="AD357" s="88">
        <f>Ruimtestaat[[#This Row],[Prest. (m2 /jaar) weekend]]+Ruimtestaat[[#This Row],[Prest. (m2 /jaar) werkdagen]]</f>
        <v>1400</v>
      </c>
      <c r="AE357" s="88">
        <f>Ruimtestaat[[#This Row],[uren / jaar weekend]]+Ruimtestaat[[#This Row],[uren / jaar werkdagen]]</f>
        <v>0</v>
      </c>
      <c r="AF357" s="89">
        <f>Ruimtestaat[[#This Row],[kosten / jaar weekend]]+Ruimtestaat[[#This Row],[kosten / jaar werkdagen]]</f>
        <v>0</v>
      </c>
    </row>
    <row r="358" spans="1:32" ht="15" customHeight="1">
      <c r="A358" s="200">
        <v>2</v>
      </c>
      <c r="B358" s="21" t="str">
        <f>VLOOKUP(Ruimtestaat[[#This Row],[Code]],Locaties[#All],2,FALSE)</f>
        <v>Stichting Facilitair Beheer Van Renneslaan</v>
      </c>
      <c r="C358" s="243" t="str">
        <f>VLOOKUP(Ruimtestaat[[#This Row],[Code]],Locaties[#All],4,FALSE)</f>
        <v>Catharina van Renneslaan 35</v>
      </c>
      <c r="D358" s="243" t="str">
        <f>VLOOKUP(Ruimtestaat[[#This Row],[Code]],Locaties[#All],5,FALSE)</f>
        <v>7604 KV</v>
      </c>
      <c r="E358" s="243" t="str">
        <f>VLOOKUP(Ruimtestaat[[#This Row],[Code]],Locaties[#All],6,FALSE)</f>
        <v>Almelo</v>
      </c>
      <c r="F358" s="244"/>
      <c r="G358" s="200" t="s">
        <v>1337</v>
      </c>
      <c r="H358" s="200"/>
      <c r="I358" s="244" t="s">
        <v>1244</v>
      </c>
      <c r="J358" s="215">
        <v>5</v>
      </c>
      <c r="K358" s="243" t="s">
        <v>111</v>
      </c>
      <c r="L358" s="200" t="s">
        <v>1340</v>
      </c>
      <c r="M358" s="213">
        <v>7.1</v>
      </c>
      <c r="N358" s="213"/>
      <c r="O358" s="243" t="str">
        <f>VLOOKUP(Ruimtestaat[[#This Row],[Ruimte code]],Ruimtegroepen[#All],4,FALSE)</f>
        <v>S  (Sanitair)</v>
      </c>
      <c r="P358" s="214"/>
      <c r="Q358" s="215">
        <v>40</v>
      </c>
      <c r="R358" s="215" t="s">
        <v>2</v>
      </c>
      <c r="S358" s="215">
        <f>IF(R358&gt;0,IF(RIGHT(Ruimtestaat[[#This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8" s="215">
        <f>IF(S358&gt;0,VLOOKUP($J358,Ruimtegroepen[],3,FALSE)*VLOOKUP($K358,Vloersoorten[],3,FALSE)*VLOOKUP($R358,Frequenties[],3,FALSE)*VLOOKUP($A358,Locaties[],3,FALSE),0)</f>
        <v>0</v>
      </c>
      <c r="U358" s="215">
        <f>Ruimtestaat[[#This Row],[Uitvoeringen werkdagen]]*Ruimtestaat[[#This Row],[Oppervlak (netto)]]</f>
        <v>1420</v>
      </c>
      <c r="V358" s="259">
        <f>IF(T358&gt;0,Ruimtestaat[[#This Row],[Prest. (m2 /jaar) werkdagen]]/Ruimtestaat[[#This Row],[Norm (m2/uur) werkdagen]],0)</f>
        <v>0</v>
      </c>
      <c r="W358" s="260">
        <f>Ruimtestaat[[#This Row],[uren / jaar werkdagen]]*Tariefsopbouw!$D$38</f>
        <v>0</v>
      </c>
      <c r="X358" s="33"/>
      <c r="Y358" s="33">
        <f>IF(Ruimtestaat[[#This Row],[Frequentie weekend]]&gt;0,VALUE(LEFT(X358,1))*Q358,0)</f>
        <v>0</v>
      </c>
      <c r="Z358" s="33">
        <f>IF($Y358&gt;0,VLOOKUP($J358,Ruimtegroepen[],3,FALSE)*VLOOKUP($K358,Vloersoorten[],3,FALSE)*VLOOKUP($X358,Frequenties[],3,FALSE)*VLOOKUP(#REF!,Locaties[],3,FALSE),0)</f>
        <v>0</v>
      </c>
      <c r="AA358" s="33"/>
      <c r="AB358" s="33"/>
      <c r="AC358" s="33">
        <f>Ruimtestaat[[#This Row],[uren / jaar weekend]]*Tariefsopbouw!$D$40</f>
        <v>0</v>
      </c>
      <c r="AD358" s="88">
        <f>Ruimtestaat[[#This Row],[Prest. (m2 /jaar) weekend]]+Ruimtestaat[[#This Row],[Prest. (m2 /jaar) werkdagen]]</f>
        <v>1420</v>
      </c>
      <c r="AE358" s="88">
        <f>Ruimtestaat[[#This Row],[uren / jaar weekend]]+Ruimtestaat[[#This Row],[uren / jaar werkdagen]]</f>
        <v>0</v>
      </c>
      <c r="AF358" s="89">
        <f>Ruimtestaat[[#This Row],[kosten / jaar weekend]]+Ruimtestaat[[#This Row],[kosten / jaar werkdagen]]</f>
        <v>0</v>
      </c>
    </row>
    <row r="359" spans="1:32" ht="15" customHeight="1">
      <c r="A359" s="200">
        <v>2</v>
      </c>
      <c r="B359" s="21" t="str">
        <f>VLOOKUP(Ruimtestaat[[#This Row],[Code]],Locaties[#All],2,FALSE)</f>
        <v>Stichting Facilitair Beheer Van Renneslaan</v>
      </c>
      <c r="C359" s="243" t="str">
        <f>VLOOKUP(Ruimtestaat[[#This Row],[Code]],Locaties[#All],4,FALSE)</f>
        <v>Catharina van Renneslaan 35</v>
      </c>
      <c r="D359" s="243" t="str">
        <f>VLOOKUP(Ruimtestaat[[#This Row],[Code]],Locaties[#All],5,FALSE)</f>
        <v>7604 KV</v>
      </c>
      <c r="E359" s="243" t="str">
        <f>VLOOKUP(Ruimtestaat[[#This Row],[Code]],Locaties[#All],6,FALSE)</f>
        <v>Almelo</v>
      </c>
      <c r="F359" s="244"/>
      <c r="G359" s="200" t="s">
        <v>1337</v>
      </c>
      <c r="H359" s="200"/>
      <c r="I359" s="244" t="s">
        <v>1282</v>
      </c>
      <c r="J359" s="200">
        <v>6</v>
      </c>
      <c r="K359" s="243" t="s">
        <v>112</v>
      </c>
      <c r="L359" s="200" t="s">
        <v>1341</v>
      </c>
      <c r="M359" s="213">
        <v>15</v>
      </c>
      <c r="N359" s="213"/>
      <c r="O359" s="243" t="str">
        <f>VLOOKUP(Ruimtestaat[[#This Row],[Ruimte code]],Ruimtegroepen[#All],4,FALSE)</f>
        <v>V  (Verkeersruimte)</v>
      </c>
      <c r="P359" s="214"/>
      <c r="Q359" s="215">
        <v>40</v>
      </c>
      <c r="R359" s="215" t="s">
        <v>2</v>
      </c>
      <c r="S359" s="215">
        <f>IF(R359&gt;0,IF(RIGHT(Ruimtestaat[[#This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59" s="215">
        <f>IF(S359&gt;0,VLOOKUP($J359,Ruimtegroepen[],3,FALSE)*VLOOKUP($K359,Vloersoorten[],3,FALSE)*VLOOKUP($R359,Frequenties[],3,FALSE)*VLOOKUP($A359,Locaties[],3,FALSE),0)</f>
        <v>0</v>
      </c>
      <c r="U359" s="215">
        <f>Ruimtestaat[[#This Row],[Uitvoeringen werkdagen]]*Ruimtestaat[[#This Row],[Oppervlak (netto)]]</f>
        <v>3000</v>
      </c>
      <c r="V359" s="259">
        <f>IF(T359&gt;0,Ruimtestaat[[#This Row],[Prest. (m2 /jaar) werkdagen]]/Ruimtestaat[[#This Row],[Norm (m2/uur) werkdagen]],0)</f>
        <v>0</v>
      </c>
      <c r="W359" s="260">
        <f>Ruimtestaat[[#This Row],[uren / jaar werkdagen]]*Tariefsopbouw!$D$38</f>
        <v>0</v>
      </c>
      <c r="X359" s="33"/>
      <c r="Y359" s="33">
        <f>IF(Ruimtestaat[[#This Row],[Frequentie weekend]]&gt;0,VALUE(LEFT(X359,1))*Q359,0)</f>
        <v>0</v>
      </c>
      <c r="Z359" s="33">
        <f>IF($Y359&gt;0,VLOOKUP($J359,Ruimtegroepen[],3,FALSE)*VLOOKUP($K359,Vloersoorten[],3,FALSE)*VLOOKUP($X359,Frequenties[],3,FALSE)*VLOOKUP(#REF!,Locaties[],3,FALSE),0)</f>
        <v>0</v>
      </c>
      <c r="AA359" s="33"/>
      <c r="AB359" s="33"/>
      <c r="AC359" s="33">
        <f>Ruimtestaat[[#This Row],[uren / jaar weekend]]*Tariefsopbouw!$D$40</f>
        <v>0</v>
      </c>
      <c r="AD359" s="88">
        <f>Ruimtestaat[[#This Row],[Prest. (m2 /jaar) weekend]]+Ruimtestaat[[#This Row],[Prest. (m2 /jaar) werkdagen]]</f>
        <v>3000</v>
      </c>
      <c r="AE359" s="88">
        <f>Ruimtestaat[[#This Row],[uren / jaar weekend]]+Ruimtestaat[[#This Row],[uren / jaar werkdagen]]</f>
        <v>0</v>
      </c>
      <c r="AF359" s="89">
        <f>Ruimtestaat[[#This Row],[kosten / jaar weekend]]+Ruimtestaat[[#This Row],[kosten / jaar werkdagen]]</f>
        <v>0</v>
      </c>
    </row>
    <row r="360" spans="1:32" ht="15" customHeight="1">
      <c r="A360" s="200">
        <v>2</v>
      </c>
      <c r="B360" s="21" t="str">
        <f>VLOOKUP(Ruimtestaat[[#This Row],[Code]],Locaties[#All],2,FALSE)</f>
        <v>Stichting Facilitair Beheer Van Renneslaan</v>
      </c>
      <c r="C360" s="243" t="str">
        <f>VLOOKUP(Ruimtestaat[[#This Row],[Code]],Locaties[#All],4,FALSE)</f>
        <v>Catharina van Renneslaan 35</v>
      </c>
      <c r="D360" s="243" t="str">
        <f>VLOOKUP(Ruimtestaat[[#This Row],[Code]],Locaties[#All],5,FALSE)</f>
        <v>7604 KV</v>
      </c>
      <c r="E360" s="243" t="str">
        <f>VLOOKUP(Ruimtestaat[[#This Row],[Code]],Locaties[#All],6,FALSE)</f>
        <v>Almelo</v>
      </c>
      <c r="F360" s="244"/>
      <c r="G360" s="200" t="s">
        <v>1337</v>
      </c>
      <c r="H360" s="200"/>
      <c r="I360" s="244" t="s">
        <v>1283</v>
      </c>
      <c r="J360" s="200">
        <v>10</v>
      </c>
      <c r="K360" s="243" t="s">
        <v>111</v>
      </c>
      <c r="L360" s="200" t="s">
        <v>1340</v>
      </c>
      <c r="M360" s="213">
        <v>23.1</v>
      </c>
      <c r="N360" s="213"/>
      <c r="O360" s="243" t="str">
        <f>VLOOKUP(Ruimtestaat[[#This Row],[Ruimte code]],Ruimtegroepen[#All],4,FALSE)</f>
        <v>V  (Verkeersruimte)</v>
      </c>
      <c r="P360" s="214"/>
      <c r="Q360" s="215">
        <v>40</v>
      </c>
      <c r="R360" s="215" t="s">
        <v>2</v>
      </c>
      <c r="S360" s="215">
        <f>IF(R360&gt;0,IF(RIGHT(Ruimtestaat[[#This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0" s="215">
        <f>IF(S360&gt;0,VLOOKUP($J360,Ruimtegroepen[],3,FALSE)*VLOOKUP($K360,Vloersoorten[],3,FALSE)*VLOOKUP($R360,Frequenties[],3,FALSE)*VLOOKUP($A360,Locaties[],3,FALSE),0)</f>
        <v>0</v>
      </c>
      <c r="U360" s="215">
        <f>Ruimtestaat[[#This Row],[Uitvoeringen werkdagen]]*Ruimtestaat[[#This Row],[Oppervlak (netto)]]</f>
        <v>4620</v>
      </c>
      <c r="V360" s="259">
        <f>IF(T360&gt;0,Ruimtestaat[[#This Row],[Prest. (m2 /jaar) werkdagen]]/Ruimtestaat[[#This Row],[Norm (m2/uur) werkdagen]],0)</f>
        <v>0</v>
      </c>
      <c r="W360" s="260">
        <f>Ruimtestaat[[#This Row],[uren / jaar werkdagen]]*Tariefsopbouw!$D$38</f>
        <v>0</v>
      </c>
      <c r="X360" s="33"/>
      <c r="Y360" s="33">
        <f>IF(Ruimtestaat[[#This Row],[Frequentie weekend]]&gt;0,VALUE(LEFT(X360,1))*Q360,0)</f>
        <v>0</v>
      </c>
      <c r="Z360" s="33">
        <f>IF($Y360&gt;0,VLOOKUP($J360,Ruimtegroepen[],3,FALSE)*VLOOKUP($K360,Vloersoorten[],3,FALSE)*VLOOKUP($X360,Frequenties[],3,FALSE)*VLOOKUP(#REF!,Locaties[],3,FALSE),0)</f>
        <v>0</v>
      </c>
      <c r="AA360" s="33"/>
      <c r="AB360" s="33"/>
      <c r="AC360" s="33">
        <f>Ruimtestaat[[#This Row],[uren / jaar weekend]]*Tariefsopbouw!$D$40</f>
        <v>0</v>
      </c>
      <c r="AD360" s="88">
        <f>Ruimtestaat[[#This Row],[Prest. (m2 /jaar) weekend]]+Ruimtestaat[[#This Row],[Prest. (m2 /jaar) werkdagen]]</f>
        <v>4620</v>
      </c>
      <c r="AE360" s="88">
        <f>Ruimtestaat[[#This Row],[uren / jaar weekend]]+Ruimtestaat[[#This Row],[uren / jaar werkdagen]]</f>
        <v>0</v>
      </c>
      <c r="AF360" s="89">
        <f>Ruimtestaat[[#This Row],[kosten / jaar weekend]]+Ruimtestaat[[#This Row],[kosten / jaar werkdagen]]</f>
        <v>0</v>
      </c>
    </row>
    <row r="361" spans="1:32" ht="15" customHeight="1">
      <c r="A361" s="200">
        <v>2</v>
      </c>
      <c r="B361" s="21" t="str">
        <f>VLOOKUP(Ruimtestaat[[#This Row],[Code]],Locaties[#All],2,FALSE)</f>
        <v>Stichting Facilitair Beheer Van Renneslaan</v>
      </c>
      <c r="C361" s="243" t="str">
        <f>VLOOKUP(Ruimtestaat[[#This Row],[Code]],Locaties[#All],4,FALSE)</f>
        <v>Catharina van Renneslaan 35</v>
      </c>
      <c r="D361" s="243" t="str">
        <f>VLOOKUP(Ruimtestaat[[#This Row],[Code]],Locaties[#All],5,FALSE)</f>
        <v>7604 KV</v>
      </c>
      <c r="E361" s="243" t="str">
        <f>VLOOKUP(Ruimtestaat[[#This Row],[Code]],Locaties[#All],6,FALSE)</f>
        <v>Almelo</v>
      </c>
      <c r="F361" s="244"/>
      <c r="G361" s="200" t="s">
        <v>1338</v>
      </c>
      <c r="H361" s="200"/>
      <c r="I361" s="244" t="s">
        <v>1284</v>
      </c>
      <c r="J361" s="200">
        <v>9</v>
      </c>
      <c r="K361" s="243" t="s">
        <v>111</v>
      </c>
      <c r="L361" s="200" t="s">
        <v>1340</v>
      </c>
      <c r="M361" s="213">
        <v>38.9</v>
      </c>
      <c r="N361" s="213"/>
      <c r="O361" s="243" t="str">
        <f>VLOOKUP(Ruimtestaat[[#This Row],[Ruimte code]],Ruimtegroepen[#All],4,FALSE)</f>
        <v>V  (Verkeersruimte)</v>
      </c>
      <c r="P361" s="214"/>
      <c r="Q361" s="215">
        <v>40</v>
      </c>
      <c r="R361" s="215" t="s">
        <v>2</v>
      </c>
      <c r="S361" s="215">
        <f>IF(R361&gt;0,IF(RIGHT(Ruimtestaat[[#This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1" s="215">
        <f>IF(S361&gt;0,VLOOKUP($J361,Ruimtegroepen[],3,FALSE)*VLOOKUP($K361,Vloersoorten[],3,FALSE)*VLOOKUP($R361,Frequenties[],3,FALSE)*VLOOKUP($A361,Locaties[],3,FALSE),0)</f>
        <v>0</v>
      </c>
      <c r="U361" s="215">
        <f>Ruimtestaat[[#This Row],[Uitvoeringen werkdagen]]*Ruimtestaat[[#This Row],[Oppervlak (netto)]]</f>
        <v>7780</v>
      </c>
      <c r="V361" s="259">
        <f>IF(T361&gt;0,Ruimtestaat[[#This Row],[Prest. (m2 /jaar) werkdagen]]/Ruimtestaat[[#This Row],[Norm (m2/uur) werkdagen]],0)</f>
        <v>0</v>
      </c>
      <c r="W361" s="260">
        <f>Ruimtestaat[[#This Row],[uren / jaar werkdagen]]*Tariefsopbouw!$D$38</f>
        <v>0</v>
      </c>
      <c r="X361" s="33"/>
      <c r="Y361" s="33">
        <f>IF(Ruimtestaat[[#This Row],[Frequentie weekend]]&gt;0,VALUE(LEFT(X361,1))*Q361,0)</f>
        <v>0</v>
      </c>
      <c r="Z361" s="33">
        <f>IF($Y361&gt;0,VLOOKUP($J361,Ruimtegroepen[],3,FALSE)*VLOOKUP($K361,Vloersoorten[],3,FALSE)*VLOOKUP($X361,Frequenties[],3,FALSE)*VLOOKUP(#REF!,Locaties[],3,FALSE),0)</f>
        <v>0</v>
      </c>
      <c r="AA361" s="33"/>
      <c r="AB361" s="33"/>
      <c r="AC361" s="33">
        <f>Ruimtestaat[[#This Row],[uren / jaar weekend]]*Tariefsopbouw!$D$40</f>
        <v>0</v>
      </c>
      <c r="AD361" s="88">
        <f>Ruimtestaat[[#This Row],[Prest. (m2 /jaar) weekend]]+Ruimtestaat[[#This Row],[Prest. (m2 /jaar) werkdagen]]</f>
        <v>7780</v>
      </c>
      <c r="AE361" s="88">
        <f>Ruimtestaat[[#This Row],[uren / jaar weekend]]+Ruimtestaat[[#This Row],[uren / jaar werkdagen]]</f>
        <v>0</v>
      </c>
      <c r="AF361" s="89">
        <f>Ruimtestaat[[#This Row],[kosten / jaar weekend]]+Ruimtestaat[[#This Row],[kosten / jaar werkdagen]]</f>
        <v>0</v>
      </c>
    </row>
    <row r="362" spans="1:32" ht="15" customHeight="1">
      <c r="A362" s="200">
        <v>2</v>
      </c>
      <c r="B362" s="21" t="str">
        <f>VLOOKUP(Ruimtestaat[[#This Row],[Code]],Locaties[#All],2,FALSE)</f>
        <v>Stichting Facilitair Beheer Van Renneslaan</v>
      </c>
      <c r="C362" s="243" t="str">
        <f>VLOOKUP(Ruimtestaat[[#This Row],[Code]],Locaties[#All],4,FALSE)</f>
        <v>Catharina van Renneslaan 35</v>
      </c>
      <c r="D362" s="243" t="str">
        <f>VLOOKUP(Ruimtestaat[[#This Row],[Code]],Locaties[#All],5,FALSE)</f>
        <v>7604 KV</v>
      </c>
      <c r="E362" s="243" t="str">
        <f>VLOOKUP(Ruimtestaat[[#This Row],[Code]],Locaties[#All],6,FALSE)</f>
        <v>Almelo</v>
      </c>
      <c r="F362" s="244"/>
      <c r="G362" s="200" t="s">
        <v>1338</v>
      </c>
      <c r="H362" s="200"/>
      <c r="I362" s="244" t="s">
        <v>1285</v>
      </c>
      <c r="J362" s="243">
        <v>5</v>
      </c>
      <c r="K362" s="243" t="s">
        <v>111</v>
      </c>
      <c r="L362" s="200" t="s">
        <v>1340</v>
      </c>
      <c r="M362" s="213">
        <v>18.899999999999999</v>
      </c>
      <c r="N362" s="213"/>
      <c r="O362" s="243" t="str">
        <f>VLOOKUP(Ruimtestaat[[#This Row],[Ruimte code]],Ruimtegroepen[#All],4,FALSE)</f>
        <v>S  (Sanitair)</v>
      </c>
      <c r="P362" s="214"/>
      <c r="Q362" s="215">
        <v>40</v>
      </c>
      <c r="R362" s="215" t="s">
        <v>2</v>
      </c>
      <c r="S362" s="215">
        <f>IF(R362&gt;0,IF(RIGHT(Ruimtestaat[[#This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2" s="215">
        <f>IF(S362&gt;0,VLOOKUP($J362,Ruimtegroepen[],3,FALSE)*VLOOKUP($K362,Vloersoorten[],3,FALSE)*VLOOKUP($R362,Frequenties[],3,FALSE)*VLOOKUP($A362,Locaties[],3,FALSE),0)</f>
        <v>0</v>
      </c>
      <c r="U362" s="215">
        <f>Ruimtestaat[[#This Row],[Uitvoeringen werkdagen]]*Ruimtestaat[[#This Row],[Oppervlak (netto)]]</f>
        <v>3779.9999999999995</v>
      </c>
      <c r="V362" s="259">
        <f>IF(T362&gt;0,Ruimtestaat[[#This Row],[Prest. (m2 /jaar) werkdagen]]/Ruimtestaat[[#This Row],[Norm (m2/uur) werkdagen]],0)</f>
        <v>0</v>
      </c>
      <c r="W362" s="260">
        <f>Ruimtestaat[[#This Row],[uren / jaar werkdagen]]*Tariefsopbouw!$D$38</f>
        <v>0</v>
      </c>
      <c r="X362" s="33"/>
      <c r="Y362" s="33">
        <f>IF(Ruimtestaat[[#This Row],[Frequentie weekend]]&gt;0,VALUE(LEFT(X362,1))*Q362,0)</f>
        <v>0</v>
      </c>
      <c r="Z362" s="33">
        <f>IF($Y362&gt;0,VLOOKUP($J362,Ruimtegroepen[],3,FALSE)*VLOOKUP($K362,Vloersoorten[],3,FALSE)*VLOOKUP($X362,Frequenties[],3,FALSE)*VLOOKUP(#REF!,Locaties[],3,FALSE),0)</f>
        <v>0</v>
      </c>
      <c r="AA362" s="33"/>
      <c r="AB362" s="33"/>
      <c r="AC362" s="33">
        <f>Ruimtestaat[[#This Row],[uren / jaar weekend]]*Tariefsopbouw!$D$40</f>
        <v>0</v>
      </c>
      <c r="AD362" s="88">
        <f>Ruimtestaat[[#This Row],[Prest. (m2 /jaar) weekend]]+Ruimtestaat[[#This Row],[Prest. (m2 /jaar) werkdagen]]</f>
        <v>3779.9999999999995</v>
      </c>
      <c r="AE362" s="88">
        <f>Ruimtestaat[[#This Row],[uren / jaar weekend]]+Ruimtestaat[[#This Row],[uren / jaar werkdagen]]</f>
        <v>0</v>
      </c>
      <c r="AF362" s="89">
        <f>Ruimtestaat[[#This Row],[kosten / jaar weekend]]+Ruimtestaat[[#This Row],[kosten / jaar werkdagen]]</f>
        <v>0</v>
      </c>
    </row>
    <row r="363" spans="1:32" ht="15" customHeight="1">
      <c r="A363" s="200">
        <v>2</v>
      </c>
      <c r="B363" s="21" t="str">
        <f>VLOOKUP(Ruimtestaat[[#This Row],[Code]],Locaties[#All],2,FALSE)</f>
        <v>Stichting Facilitair Beheer Van Renneslaan</v>
      </c>
      <c r="C363" s="243" t="str">
        <f>VLOOKUP(Ruimtestaat[[#This Row],[Code]],Locaties[#All],4,FALSE)</f>
        <v>Catharina van Renneslaan 35</v>
      </c>
      <c r="D363" s="243" t="str">
        <f>VLOOKUP(Ruimtestaat[[#This Row],[Code]],Locaties[#All],5,FALSE)</f>
        <v>7604 KV</v>
      </c>
      <c r="E363" s="243" t="str">
        <f>VLOOKUP(Ruimtestaat[[#This Row],[Code]],Locaties[#All],6,FALSE)</f>
        <v>Almelo</v>
      </c>
      <c r="F363" s="244"/>
      <c r="G363" s="200" t="s">
        <v>1338</v>
      </c>
      <c r="H363" s="200"/>
      <c r="I363" s="244" t="s">
        <v>1069</v>
      </c>
      <c r="J363" s="200">
        <v>10</v>
      </c>
      <c r="K363" s="243" t="s">
        <v>112</v>
      </c>
      <c r="L363" s="200" t="s">
        <v>1341</v>
      </c>
      <c r="M363" s="213">
        <v>7.5</v>
      </c>
      <c r="N363" s="213"/>
      <c r="O363" s="243" t="str">
        <f>VLOOKUP(Ruimtestaat[[#This Row],[Ruimte code]],Ruimtegroepen[#All],4,FALSE)</f>
        <v>V  (Verkeersruimte)</v>
      </c>
      <c r="P363" s="214"/>
      <c r="Q363" s="215">
        <v>40</v>
      </c>
      <c r="R363" s="215" t="s">
        <v>2</v>
      </c>
      <c r="S363" s="215">
        <f>IF(R363&gt;0,IF(RIGHT(Ruimtestaat[[#This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3" s="215">
        <f>IF(S363&gt;0,VLOOKUP($J363,Ruimtegroepen[],3,FALSE)*VLOOKUP($K363,Vloersoorten[],3,FALSE)*VLOOKUP($R363,Frequenties[],3,FALSE)*VLOOKUP($A363,Locaties[],3,FALSE),0)</f>
        <v>0</v>
      </c>
      <c r="U363" s="215">
        <f>Ruimtestaat[[#This Row],[Uitvoeringen werkdagen]]*Ruimtestaat[[#This Row],[Oppervlak (netto)]]</f>
        <v>1500</v>
      </c>
      <c r="V363" s="259">
        <f>IF(T363&gt;0,Ruimtestaat[[#This Row],[Prest. (m2 /jaar) werkdagen]]/Ruimtestaat[[#This Row],[Norm (m2/uur) werkdagen]],0)</f>
        <v>0</v>
      </c>
      <c r="W363" s="260">
        <f>Ruimtestaat[[#This Row],[uren / jaar werkdagen]]*Tariefsopbouw!$D$38</f>
        <v>0</v>
      </c>
      <c r="X363" s="33"/>
      <c r="Y363" s="33">
        <f>IF(Ruimtestaat[[#This Row],[Frequentie weekend]]&gt;0,VALUE(LEFT(X363,1))*Q363,0)</f>
        <v>0</v>
      </c>
      <c r="Z363" s="33">
        <f>IF($Y363&gt;0,VLOOKUP($J363,Ruimtegroepen[],3,FALSE)*VLOOKUP($K363,Vloersoorten[],3,FALSE)*VLOOKUP($X363,Frequenties[],3,FALSE)*VLOOKUP(#REF!,Locaties[],3,FALSE),0)</f>
        <v>0</v>
      </c>
      <c r="AA363" s="33"/>
      <c r="AB363" s="33"/>
      <c r="AC363" s="33">
        <f>Ruimtestaat[[#This Row],[uren / jaar weekend]]*Tariefsopbouw!$D$40</f>
        <v>0</v>
      </c>
      <c r="AD363" s="88">
        <f>Ruimtestaat[[#This Row],[Prest. (m2 /jaar) weekend]]+Ruimtestaat[[#This Row],[Prest. (m2 /jaar) werkdagen]]</f>
        <v>1500</v>
      </c>
      <c r="AE363" s="88">
        <f>Ruimtestaat[[#This Row],[uren / jaar weekend]]+Ruimtestaat[[#This Row],[uren / jaar werkdagen]]</f>
        <v>0</v>
      </c>
      <c r="AF363" s="89">
        <f>Ruimtestaat[[#This Row],[kosten / jaar weekend]]+Ruimtestaat[[#This Row],[kosten / jaar werkdagen]]</f>
        <v>0</v>
      </c>
    </row>
    <row r="364" spans="1:32" ht="15" customHeight="1">
      <c r="A364" s="200">
        <v>2</v>
      </c>
      <c r="B364" s="21" t="str">
        <f>VLOOKUP(Ruimtestaat[[#This Row],[Code]],Locaties[#All],2,FALSE)</f>
        <v>Stichting Facilitair Beheer Van Renneslaan</v>
      </c>
      <c r="C364" s="243" t="str">
        <f>VLOOKUP(Ruimtestaat[[#This Row],[Code]],Locaties[#All],4,FALSE)</f>
        <v>Catharina van Renneslaan 35</v>
      </c>
      <c r="D364" s="243" t="str">
        <f>VLOOKUP(Ruimtestaat[[#This Row],[Code]],Locaties[#All],5,FALSE)</f>
        <v>7604 KV</v>
      </c>
      <c r="E364" s="243" t="str">
        <f>VLOOKUP(Ruimtestaat[[#This Row],[Code]],Locaties[#All],6,FALSE)</f>
        <v>Almelo</v>
      </c>
      <c r="F364" s="244" t="s">
        <v>1342</v>
      </c>
      <c r="G364" s="200" t="s">
        <v>1338</v>
      </c>
      <c r="H364" s="200"/>
      <c r="I364" s="244" t="s">
        <v>1286</v>
      </c>
      <c r="J364" s="200">
        <v>8</v>
      </c>
      <c r="K364" s="243" t="s">
        <v>1040</v>
      </c>
      <c r="L364" s="200" t="s">
        <v>999</v>
      </c>
      <c r="M364" s="213">
        <v>260.7</v>
      </c>
      <c r="N364" s="213"/>
      <c r="O364" s="243" t="str">
        <f>VLOOKUP(Ruimtestaat[[#This Row],[Ruimte code]],Ruimtegroepen[#All],4,FALSE)</f>
        <v>L  (Lesruimte)</v>
      </c>
      <c r="P364" s="214"/>
      <c r="Q364" s="215">
        <v>40</v>
      </c>
      <c r="R364" s="215" t="s">
        <v>2</v>
      </c>
      <c r="S364" s="215">
        <f>IF(R364&gt;0,IF(RIGHT(Ruimtestaat[[#This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4" s="215">
        <f>IF(S364&gt;0,VLOOKUP($J364,Ruimtegroepen[],3,FALSE)*VLOOKUP($K364,Vloersoorten[],3,FALSE)*VLOOKUP($R364,Frequenties[],3,FALSE)*VLOOKUP($A364,Locaties[],3,FALSE),0)</f>
        <v>0</v>
      </c>
      <c r="U364" s="215">
        <f>Ruimtestaat[[#This Row],[Uitvoeringen werkdagen]]*Ruimtestaat[[#This Row],[Oppervlak (netto)]]</f>
        <v>52140</v>
      </c>
      <c r="V364" s="259">
        <f>IF(T364&gt;0,Ruimtestaat[[#This Row],[Prest. (m2 /jaar) werkdagen]]/Ruimtestaat[[#This Row],[Norm (m2/uur) werkdagen]],0)</f>
        <v>0</v>
      </c>
      <c r="W364" s="260">
        <f>Ruimtestaat[[#This Row],[uren / jaar werkdagen]]*Tariefsopbouw!$D$38</f>
        <v>0</v>
      </c>
      <c r="X364" s="33"/>
      <c r="Y364" s="33">
        <f>IF(Ruimtestaat[[#This Row],[Frequentie weekend]]&gt;0,VALUE(LEFT(X364,1))*Q364,0)</f>
        <v>0</v>
      </c>
      <c r="Z364" s="33">
        <f>IF($Y364&gt;0,VLOOKUP($J364,Ruimtegroepen[],3,FALSE)*VLOOKUP($K364,Vloersoorten[],3,FALSE)*VLOOKUP($X364,Frequenties[],3,FALSE)*VLOOKUP(#REF!,Locaties[],3,FALSE),0)</f>
        <v>0</v>
      </c>
      <c r="AA364" s="33"/>
      <c r="AB364" s="33"/>
      <c r="AC364" s="33">
        <f>Ruimtestaat[[#This Row],[uren / jaar weekend]]*Tariefsopbouw!$D$40</f>
        <v>0</v>
      </c>
      <c r="AD364" s="88">
        <f>Ruimtestaat[[#This Row],[Prest. (m2 /jaar) weekend]]+Ruimtestaat[[#This Row],[Prest. (m2 /jaar) werkdagen]]</f>
        <v>52140</v>
      </c>
      <c r="AE364" s="88">
        <f>Ruimtestaat[[#This Row],[uren / jaar weekend]]+Ruimtestaat[[#This Row],[uren / jaar werkdagen]]</f>
        <v>0</v>
      </c>
      <c r="AF364" s="89">
        <f>Ruimtestaat[[#This Row],[kosten / jaar weekend]]+Ruimtestaat[[#This Row],[kosten / jaar werkdagen]]</f>
        <v>0</v>
      </c>
    </row>
    <row r="365" spans="1:32" ht="15" customHeight="1">
      <c r="A365" s="200">
        <v>2</v>
      </c>
      <c r="B365" s="21" t="str">
        <f>VLOOKUP(Ruimtestaat[[#This Row],[Code]],Locaties[#All],2,FALSE)</f>
        <v>Stichting Facilitair Beheer Van Renneslaan</v>
      </c>
      <c r="C365" s="243" t="str">
        <f>VLOOKUP(Ruimtestaat[[#This Row],[Code]],Locaties[#All],4,FALSE)</f>
        <v>Catharina van Renneslaan 35</v>
      </c>
      <c r="D365" s="243" t="str">
        <f>VLOOKUP(Ruimtestaat[[#This Row],[Code]],Locaties[#All],5,FALSE)</f>
        <v>7604 KV</v>
      </c>
      <c r="E365" s="243" t="str">
        <f>VLOOKUP(Ruimtestaat[[#This Row],[Code]],Locaties[#All],6,FALSE)</f>
        <v>Almelo</v>
      </c>
      <c r="F365" s="244" t="s">
        <v>1342</v>
      </c>
      <c r="G365" s="200" t="s">
        <v>1338</v>
      </c>
      <c r="H365" s="200"/>
      <c r="I365" s="244" t="s">
        <v>1287</v>
      </c>
      <c r="J365" s="200">
        <v>2</v>
      </c>
      <c r="K365" s="243" t="s">
        <v>1040</v>
      </c>
      <c r="L365" s="200" t="s">
        <v>999</v>
      </c>
      <c r="M365" s="213">
        <v>21.1</v>
      </c>
      <c r="N365" s="213"/>
      <c r="O365" s="243" t="str">
        <f>VLOOKUP(Ruimtestaat[[#This Row],[Ruimte code]],Ruimtegroepen[#All],4,FALSE)</f>
        <v>B  (Bureauruimte)</v>
      </c>
      <c r="P365" s="214"/>
      <c r="Q365" s="215">
        <v>40</v>
      </c>
      <c r="R365" s="215" t="s">
        <v>18</v>
      </c>
      <c r="S365" s="215">
        <f>IF(R365&gt;0,IF(RIGHT(Ruimtestaat[[#This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65" s="215">
        <f>IF(S365&gt;0,VLOOKUP($J365,Ruimtegroepen[],3,FALSE)*VLOOKUP($K365,Vloersoorten[],3,FALSE)*VLOOKUP($R365,Frequenties[],3,FALSE)*VLOOKUP($A365,Locaties[],3,FALSE),0)</f>
        <v>0</v>
      </c>
      <c r="U365" s="215">
        <f>Ruimtestaat[[#This Row],[Uitvoeringen werkdagen]]*Ruimtestaat[[#This Row],[Oppervlak (netto)]]</f>
        <v>2532</v>
      </c>
      <c r="V365" s="259">
        <f>IF(T365&gt;0,Ruimtestaat[[#This Row],[Prest. (m2 /jaar) werkdagen]]/Ruimtestaat[[#This Row],[Norm (m2/uur) werkdagen]],0)</f>
        <v>0</v>
      </c>
      <c r="W365" s="260">
        <f>Ruimtestaat[[#This Row],[uren / jaar werkdagen]]*Tariefsopbouw!$D$38</f>
        <v>0</v>
      </c>
      <c r="X365" s="33"/>
      <c r="Y365" s="33">
        <f>IF(Ruimtestaat[[#This Row],[Frequentie weekend]]&gt;0,VALUE(LEFT(X365,1))*Q365,0)</f>
        <v>0</v>
      </c>
      <c r="Z365" s="33">
        <f>IF($Y365&gt;0,VLOOKUP($J365,Ruimtegroepen[],3,FALSE)*VLOOKUP($K365,Vloersoorten[],3,FALSE)*VLOOKUP($X365,Frequenties[],3,FALSE)*VLOOKUP(#REF!,Locaties[],3,FALSE),0)</f>
        <v>0</v>
      </c>
      <c r="AA365" s="33"/>
      <c r="AB365" s="33"/>
      <c r="AC365" s="33">
        <f>Ruimtestaat[[#This Row],[uren / jaar weekend]]*Tariefsopbouw!$D$40</f>
        <v>0</v>
      </c>
      <c r="AD365" s="88">
        <f>Ruimtestaat[[#This Row],[Prest. (m2 /jaar) weekend]]+Ruimtestaat[[#This Row],[Prest. (m2 /jaar) werkdagen]]</f>
        <v>2532</v>
      </c>
      <c r="AE365" s="88">
        <f>Ruimtestaat[[#This Row],[uren / jaar weekend]]+Ruimtestaat[[#This Row],[uren / jaar werkdagen]]</f>
        <v>0</v>
      </c>
      <c r="AF365" s="89">
        <f>Ruimtestaat[[#This Row],[kosten / jaar weekend]]+Ruimtestaat[[#This Row],[kosten / jaar werkdagen]]</f>
        <v>0</v>
      </c>
    </row>
    <row r="366" spans="1:32" ht="15" customHeight="1">
      <c r="A366" s="200">
        <v>2</v>
      </c>
      <c r="B366" s="21" t="str">
        <f>VLOOKUP(Ruimtestaat[[#This Row],[Code]],Locaties[#All],2,FALSE)</f>
        <v>Stichting Facilitair Beheer Van Renneslaan</v>
      </c>
      <c r="C366" s="243" t="str">
        <f>VLOOKUP(Ruimtestaat[[#This Row],[Code]],Locaties[#All],4,FALSE)</f>
        <v>Catharina van Renneslaan 35</v>
      </c>
      <c r="D366" s="243" t="str">
        <f>VLOOKUP(Ruimtestaat[[#This Row],[Code]],Locaties[#All],5,FALSE)</f>
        <v>7604 KV</v>
      </c>
      <c r="E366" s="243" t="str">
        <f>VLOOKUP(Ruimtestaat[[#This Row],[Code]],Locaties[#All],6,FALSE)</f>
        <v>Almelo</v>
      </c>
      <c r="F366" s="244" t="s">
        <v>1342</v>
      </c>
      <c r="G366" s="200" t="s">
        <v>1338</v>
      </c>
      <c r="H366" s="200"/>
      <c r="I366" s="244" t="s">
        <v>1288</v>
      </c>
      <c r="J366" s="200">
        <v>2</v>
      </c>
      <c r="K366" s="243" t="s">
        <v>1040</v>
      </c>
      <c r="L366" s="200" t="s">
        <v>999</v>
      </c>
      <c r="M366" s="213">
        <v>12.7</v>
      </c>
      <c r="N366" s="213"/>
      <c r="O366" s="243" t="str">
        <f>VLOOKUP(Ruimtestaat[[#This Row],[Ruimte code]],Ruimtegroepen[#All],4,FALSE)</f>
        <v>B  (Bureauruimte)</v>
      </c>
      <c r="P366" s="214"/>
      <c r="Q366" s="215">
        <v>40</v>
      </c>
      <c r="R366" s="215" t="s">
        <v>18</v>
      </c>
      <c r="S366" s="215">
        <f>IF(R366&gt;0,IF(RIGHT(Ruimtestaat[[#This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66" s="215">
        <f>IF(S366&gt;0,VLOOKUP($J366,Ruimtegroepen[],3,FALSE)*VLOOKUP($K366,Vloersoorten[],3,FALSE)*VLOOKUP($R366,Frequenties[],3,FALSE)*VLOOKUP($A366,Locaties[],3,FALSE),0)</f>
        <v>0</v>
      </c>
      <c r="U366" s="215">
        <f>Ruimtestaat[[#This Row],[Uitvoeringen werkdagen]]*Ruimtestaat[[#This Row],[Oppervlak (netto)]]</f>
        <v>1524</v>
      </c>
      <c r="V366" s="259">
        <f>IF(T366&gt;0,Ruimtestaat[[#This Row],[Prest. (m2 /jaar) werkdagen]]/Ruimtestaat[[#This Row],[Norm (m2/uur) werkdagen]],0)</f>
        <v>0</v>
      </c>
      <c r="W366" s="260">
        <f>Ruimtestaat[[#This Row],[uren / jaar werkdagen]]*Tariefsopbouw!$D$38</f>
        <v>0</v>
      </c>
      <c r="X366" s="33"/>
      <c r="Y366" s="33">
        <f>IF(Ruimtestaat[[#This Row],[Frequentie weekend]]&gt;0,VALUE(LEFT(X366,1))*Q366,0)</f>
        <v>0</v>
      </c>
      <c r="Z366" s="33">
        <f>IF($Y366&gt;0,VLOOKUP($J366,Ruimtegroepen[],3,FALSE)*VLOOKUP($K366,Vloersoorten[],3,FALSE)*VLOOKUP($X366,Frequenties[],3,FALSE)*VLOOKUP(#REF!,Locaties[],3,FALSE),0)</f>
        <v>0</v>
      </c>
      <c r="AA366" s="33"/>
      <c r="AB366" s="33"/>
      <c r="AC366" s="33">
        <f>Ruimtestaat[[#This Row],[uren / jaar weekend]]*Tariefsopbouw!$D$40</f>
        <v>0</v>
      </c>
      <c r="AD366" s="88">
        <f>Ruimtestaat[[#This Row],[Prest. (m2 /jaar) weekend]]+Ruimtestaat[[#This Row],[Prest. (m2 /jaar) werkdagen]]</f>
        <v>1524</v>
      </c>
      <c r="AE366" s="88">
        <f>Ruimtestaat[[#This Row],[uren / jaar weekend]]+Ruimtestaat[[#This Row],[uren / jaar werkdagen]]</f>
        <v>0</v>
      </c>
      <c r="AF366" s="89">
        <f>Ruimtestaat[[#This Row],[kosten / jaar weekend]]+Ruimtestaat[[#This Row],[kosten / jaar werkdagen]]</f>
        <v>0</v>
      </c>
    </row>
    <row r="367" spans="1:32" ht="15" customHeight="1">
      <c r="A367" s="200">
        <v>2</v>
      </c>
      <c r="B367" s="21" t="str">
        <f>VLOOKUP(Ruimtestaat[[#This Row],[Code]],Locaties[#All],2,FALSE)</f>
        <v>Stichting Facilitair Beheer Van Renneslaan</v>
      </c>
      <c r="C367" s="243" t="str">
        <f>VLOOKUP(Ruimtestaat[[#This Row],[Code]],Locaties[#All],4,FALSE)</f>
        <v>Catharina van Renneslaan 35</v>
      </c>
      <c r="D367" s="243" t="str">
        <f>VLOOKUP(Ruimtestaat[[#This Row],[Code]],Locaties[#All],5,FALSE)</f>
        <v>7604 KV</v>
      </c>
      <c r="E367" s="243" t="str">
        <f>VLOOKUP(Ruimtestaat[[#This Row],[Code]],Locaties[#All],6,FALSE)</f>
        <v>Almelo</v>
      </c>
      <c r="F367" s="244" t="s">
        <v>1342</v>
      </c>
      <c r="G367" s="200" t="s">
        <v>1338</v>
      </c>
      <c r="H367" s="200"/>
      <c r="I367" s="244" t="s">
        <v>1289</v>
      </c>
      <c r="J367" s="200">
        <v>2</v>
      </c>
      <c r="K367" s="243" t="s">
        <v>1040</v>
      </c>
      <c r="L367" s="200" t="s">
        <v>999</v>
      </c>
      <c r="M367" s="213">
        <v>58.4</v>
      </c>
      <c r="N367" s="213"/>
      <c r="O367" s="243" t="str">
        <f>VLOOKUP(Ruimtestaat[[#This Row],[Ruimte code]],Ruimtegroepen[#All],4,FALSE)</f>
        <v>B  (Bureauruimte)</v>
      </c>
      <c r="P367" s="214"/>
      <c r="Q367" s="215">
        <v>40</v>
      </c>
      <c r="R367" s="215" t="s">
        <v>18</v>
      </c>
      <c r="S367" s="215">
        <f>IF(R367&gt;0,IF(RIGHT(Ruimtestaat[[#This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67" s="215">
        <f>IF(S367&gt;0,VLOOKUP($J367,Ruimtegroepen[],3,FALSE)*VLOOKUP($K367,Vloersoorten[],3,FALSE)*VLOOKUP($R367,Frequenties[],3,FALSE)*VLOOKUP($A367,Locaties[],3,FALSE),0)</f>
        <v>0</v>
      </c>
      <c r="U367" s="215">
        <f>Ruimtestaat[[#This Row],[Uitvoeringen werkdagen]]*Ruimtestaat[[#This Row],[Oppervlak (netto)]]</f>
        <v>7008</v>
      </c>
      <c r="V367" s="259">
        <f>IF(T367&gt;0,Ruimtestaat[[#This Row],[Prest. (m2 /jaar) werkdagen]]/Ruimtestaat[[#This Row],[Norm (m2/uur) werkdagen]],0)</f>
        <v>0</v>
      </c>
      <c r="W367" s="260">
        <f>Ruimtestaat[[#This Row],[uren / jaar werkdagen]]*Tariefsopbouw!$D$38</f>
        <v>0</v>
      </c>
      <c r="X367" s="33"/>
      <c r="Y367" s="33">
        <f>IF(Ruimtestaat[[#This Row],[Frequentie weekend]]&gt;0,VALUE(LEFT(X367,1))*Q367,0)</f>
        <v>0</v>
      </c>
      <c r="Z367" s="33">
        <f>IF($Y367&gt;0,VLOOKUP($J367,Ruimtegroepen[],3,FALSE)*VLOOKUP($K367,Vloersoorten[],3,FALSE)*VLOOKUP($X367,Frequenties[],3,FALSE)*VLOOKUP(#REF!,Locaties[],3,FALSE),0)</f>
        <v>0</v>
      </c>
      <c r="AA367" s="33"/>
      <c r="AB367" s="33"/>
      <c r="AC367" s="33">
        <f>Ruimtestaat[[#This Row],[uren / jaar weekend]]*Tariefsopbouw!$D$40</f>
        <v>0</v>
      </c>
      <c r="AD367" s="88">
        <f>Ruimtestaat[[#This Row],[Prest. (m2 /jaar) weekend]]+Ruimtestaat[[#This Row],[Prest. (m2 /jaar) werkdagen]]</f>
        <v>7008</v>
      </c>
      <c r="AE367" s="88">
        <f>Ruimtestaat[[#This Row],[uren / jaar weekend]]+Ruimtestaat[[#This Row],[uren / jaar werkdagen]]</f>
        <v>0</v>
      </c>
      <c r="AF367" s="89">
        <f>Ruimtestaat[[#This Row],[kosten / jaar weekend]]+Ruimtestaat[[#This Row],[kosten / jaar werkdagen]]</f>
        <v>0</v>
      </c>
    </row>
    <row r="368" spans="1:32" ht="15" customHeight="1">
      <c r="A368" s="200">
        <v>2</v>
      </c>
      <c r="B368" s="21" t="str">
        <f>VLOOKUP(Ruimtestaat[[#This Row],[Code]],Locaties[#All],2,FALSE)</f>
        <v>Stichting Facilitair Beheer Van Renneslaan</v>
      </c>
      <c r="C368" s="243" t="str">
        <f>VLOOKUP(Ruimtestaat[[#This Row],[Code]],Locaties[#All],4,FALSE)</f>
        <v>Catharina van Renneslaan 35</v>
      </c>
      <c r="D368" s="243" t="str">
        <f>VLOOKUP(Ruimtestaat[[#This Row],[Code]],Locaties[#All],5,FALSE)</f>
        <v>7604 KV</v>
      </c>
      <c r="E368" s="243" t="str">
        <f>VLOOKUP(Ruimtestaat[[#This Row],[Code]],Locaties[#All],6,FALSE)</f>
        <v>Almelo</v>
      </c>
      <c r="F368" s="244"/>
      <c r="G368" s="200" t="s">
        <v>1338</v>
      </c>
      <c r="H368" s="200"/>
      <c r="I368" s="244" t="s">
        <v>1290</v>
      </c>
      <c r="J368" s="200">
        <v>11</v>
      </c>
      <c r="K368" s="243" t="s">
        <v>112</v>
      </c>
      <c r="L368" s="200" t="s">
        <v>1341</v>
      </c>
      <c r="M368" s="213">
        <v>173.5</v>
      </c>
      <c r="N368" s="213"/>
      <c r="O368" s="243" t="str">
        <f>VLOOKUP(Ruimtestaat[[#This Row],[Ruimte code]],Ruimtegroepen[#All],4,FALSE)</f>
        <v>L  (Lesruimte)</v>
      </c>
      <c r="P368" s="214"/>
      <c r="Q368" s="215">
        <v>40</v>
      </c>
      <c r="R368" s="215" t="s">
        <v>2</v>
      </c>
      <c r="S368" s="215">
        <f>IF(R368&gt;0,IF(RIGHT(Ruimtestaat[[#This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8" s="215">
        <f>IF(S368&gt;0,VLOOKUP($J368,Ruimtegroepen[],3,FALSE)*VLOOKUP($K368,Vloersoorten[],3,FALSE)*VLOOKUP($R368,Frequenties[],3,FALSE)*VLOOKUP($A368,Locaties[],3,FALSE),0)</f>
        <v>0</v>
      </c>
      <c r="U368" s="215">
        <f>Ruimtestaat[[#This Row],[Uitvoeringen werkdagen]]*Ruimtestaat[[#This Row],[Oppervlak (netto)]]</f>
        <v>34700</v>
      </c>
      <c r="V368" s="259">
        <f>IF(T368&gt;0,Ruimtestaat[[#This Row],[Prest. (m2 /jaar) werkdagen]]/Ruimtestaat[[#This Row],[Norm (m2/uur) werkdagen]],0)</f>
        <v>0</v>
      </c>
      <c r="W368" s="260">
        <f>Ruimtestaat[[#This Row],[uren / jaar werkdagen]]*Tariefsopbouw!$D$38</f>
        <v>0</v>
      </c>
      <c r="X368" s="33"/>
      <c r="Y368" s="33">
        <f>IF(Ruimtestaat[[#This Row],[Frequentie weekend]]&gt;0,VALUE(LEFT(X368,1))*Q368,0)</f>
        <v>0</v>
      </c>
      <c r="Z368" s="33">
        <f>IF($Y368&gt;0,VLOOKUP($J368,Ruimtegroepen[],3,FALSE)*VLOOKUP($K368,Vloersoorten[],3,FALSE)*VLOOKUP($X368,Frequenties[],3,FALSE)*VLOOKUP(#REF!,Locaties[],3,FALSE),0)</f>
        <v>0</v>
      </c>
      <c r="AA368" s="33"/>
      <c r="AB368" s="33"/>
      <c r="AC368" s="33">
        <f>Ruimtestaat[[#This Row],[uren / jaar weekend]]*Tariefsopbouw!$D$40</f>
        <v>0</v>
      </c>
      <c r="AD368" s="88">
        <f>Ruimtestaat[[#This Row],[Prest. (m2 /jaar) weekend]]+Ruimtestaat[[#This Row],[Prest. (m2 /jaar) werkdagen]]</f>
        <v>34700</v>
      </c>
      <c r="AE368" s="88">
        <f>Ruimtestaat[[#This Row],[uren / jaar weekend]]+Ruimtestaat[[#This Row],[uren / jaar werkdagen]]</f>
        <v>0</v>
      </c>
      <c r="AF368" s="89">
        <f>Ruimtestaat[[#This Row],[kosten / jaar weekend]]+Ruimtestaat[[#This Row],[kosten / jaar werkdagen]]</f>
        <v>0</v>
      </c>
    </row>
    <row r="369" spans="1:32" ht="15" customHeight="1">
      <c r="A369" s="200">
        <v>2</v>
      </c>
      <c r="B369" s="21" t="str">
        <f>VLOOKUP(Ruimtestaat[[#This Row],[Code]],Locaties[#All],2,FALSE)</f>
        <v>Stichting Facilitair Beheer Van Renneslaan</v>
      </c>
      <c r="C369" s="243" t="str">
        <f>VLOOKUP(Ruimtestaat[[#This Row],[Code]],Locaties[#All],4,FALSE)</f>
        <v>Catharina van Renneslaan 35</v>
      </c>
      <c r="D369" s="243" t="str">
        <f>VLOOKUP(Ruimtestaat[[#This Row],[Code]],Locaties[#All],5,FALSE)</f>
        <v>7604 KV</v>
      </c>
      <c r="E369" s="243" t="str">
        <f>VLOOKUP(Ruimtestaat[[#This Row],[Code]],Locaties[#All],6,FALSE)</f>
        <v>Almelo</v>
      </c>
      <c r="F369" s="244"/>
      <c r="G369" s="200" t="s">
        <v>1338</v>
      </c>
      <c r="H369" s="200"/>
      <c r="I369" s="244" t="s">
        <v>1291</v>
      </c>
      <c r="J369" s="200">
        <v>11</v>
      </c>
      <c r="K369" s="243" t="s">
        <v>112</v>
      </c>
      <c r="L369" s="200" t="s">
        <v>1341</v>
      </c>
      <c r="M369" s="213">
        <v>57.2</v>
      </c>
      <c r="N369" s="213"/>
      <c r="O369" s="243" t="str">
        <f>VLOOKUP(Ruimtestaat[[#This Row],[Ruimte code]],Ruimtegroepen[#All],4,FALSE)</f>
        <v>L  (Lesruimte)</v>
      </c>
      <c r="P369" s="214"/>
      <c r="Q369" s="215">
        <v>40</v>
      </c>
      <c r="R369" s="215" t="s">
        <v>2</v>
      </c>
      <c r="S369" s="215">
        <f>IF(R369&gt;0,IF(RIGHT(Ruimtestaat[[#This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69" s="215">
        <f>IF(S369&gt;0,VLOOKUP($J369,Ruimtegroepen[],3,FALSE)*VLOOKUP($K369,Vloersoorten[],3,FALSE)*VLOOKUP($R369,Frequenties[],3,FALSE)*VLOOKUP($A369,Locaties[],3,FALSE),0)</f>
        <v>0</v>
      </c>
      <c r="U369" s="215">
        <f>Ruimtestaat[[#This Row],[Uitvoeringen werkdagen]]*Ruimtestaat[[#This Row],[Oppervlak (netto)]]</f>
        <v>11440</v>
      </c>
      <c r="V369" s="259">
        <f>IF(T369&gt;0,Ruimtestaat[[#This Row],[Prest. (m2 /jaar) werkdagen]]/Ruimtestaat[[#This Row],[Norm (m2/uur) werkdagen]],0)</f>
        <v>0</v>
      </c>
      <c r="W369" s="260">
        <f>Ruimtestaat[[#This Row],[uren / jaar werkdagen]]*Tariefsopbouw!$D$38</f>
        <v>0</v>
      </c>
      <c r="X369" s="33"/>
      <c r="Y369" s="33">
        <f>IF(Ruimtestaat[[#This Row],[Frequentie weekend]]&gt;0,VALUE(LEFT(X369,1))*Q369,0)</f>
        <v>0</v>
      </c>
      <c r="Z369" s="33">
        <f>IF($Y369&gt;0,VLOOKUP($J369,Ruimtegroepen[],3,FALSE)*VLOOKUP($K369,Vloersoorten[],3,FALSE)*VLOOKUP($X369,Frequenties[],3,FALSE)*VLOOKUP(#REF!,Locaties[],3,FALSE),0)</f>
        <v>0</v>
      </c>
      <c r="AA369" s="33"/>
      <c r="AB369" s="33"/>
      <c r="AC369" s="33">
        <f>Ruimtestaat[[#This Row],[uren / jaar weekend]]*Tariefsopbouw!$D$40</f>
        <v>0</v>
      </c>
      <c r="AD369" s="88">
        <f>Ruimtestaat[[#This Row],[Prest. (m2 /jaar) weekend]]+Ruimtestaat[[#This Row],[Prest. (m2 /jaar) werkdagen]]</f>
        <v>11440</v>
      </c>
      <c r="AE369" s="88">
        <f>Ruimtestaat[[#This Row],[uren / jaar weekend]]+Ruimtestaat[[#This Row],[uren / jaar werkdagen]]</f>
        <v>0</v>
      </c>
      <c r="AF369" s="89">
        <f>Ruimtestaat[[#This Row],[kosten / jaar weekend]]+Ruimtestaat[[#This Row],[kosten / jaar werkdagen]]</f>
        <v>0</v>
      </c>
    </row>
    <row r="370" spans="1:32" ht="15" customHeight="1">
      <c r="A370" s="200">
        <v>2</v>
      </c>
      <c r="B370" s="21" t="str">
        <f>VLOOKUP(Ruimtestaat[[#This Row],[Code]],Locaties[#All],2,FALSE)</f>
        <v>Stichting Facilitair Beheer Van Renneslaan</v>
      </c>
      <c r="C370" s="243" t="str">
        <f>VLOOKUP(Ruimtestaat[[#This Row],[Code]],Locaties[#All],4,FALSE)</f>
        <v>Catharina van Renneslaan 35</v>
      </c>
      <c r="D370" s="243" t="str">
        <f>VLOOKUP(Ruimtestaat[[#This Row],[Code]],Locaties[#All],5,FALSE)</f>
        <v>7604 KV</v>
      </c>
      <c r="E370" s="243" t="str">
        <f>VLOOKUP(Ruimtestaat[[#This Row],[Code]],Locaties[#All],6,FALSE)</f>
        <v>Almelo</v>
      </c>
      <c r="F370" s="244"/>
      <c r="G370" s="200" t="s">
        <v>1338</v>
      </c>
      <c r="H370" s="200"/>
      <c r="I370" s="244" t="s">
        <v>1292</v>
      </c>
      <c r="J370" s="243">
        <v>11</v>
      </c>
      <c r="K370" s="243" t="s">
        <v>112</v>
      </c>
      <c r="L370" s="200" t="s">
        <v>1341</v>
      </c>
      <c r="M370" s="213">
        <v>273.5</v>
      </c>
      <c r="N370" s="213"/>
      <c r="O370" s="243" t="str">
        <f>VLOOKUP(Ruimtestaat[[#This Row],[Ruimte code]],Ruimtegroepen[#All],4,FALSE)</f>
        <v>L  (Lesruimte)</v>
      </c>
      <c r="P370" s="214"/>
      <c r="Q370" s="215">
        <v>40</v>
      </c>
      <c r="R370" s="215" t="s">
        <v>2</v>
      </c>
      <c r="S370" s="215">
        <f>IF(R370&gt;0,IF(RIGHT(Ruimtestaat[[#This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0" s="215">
        <f>IF(S370&gt;0,VLOOKUP($J370,Ruimtegroepen[],3,FALSE)*VLOOKUP($K370,Vloersoorten[],3,FALSE)*VLOOKUP($R370,Frequenties[],3,FALSE)*VLOOKUP($A370,Locaties[],3,FALSE),0)</f>
        <v>0</v>
      </c>
      <c r="U370" s="215">
        <f>Ruimtestaat[[#This Row],[Uitvoeringen werkdagen]]*Ruimtestaat[[#This Row],[Oppervlak (netto)]]</f>
        <v>54700</v>
      </c>
      <c r="V370" s="259">
        <f>IF(T370&gt;0,Ruimtestaat[[#This Row],[Prest. (m2 /jaar) werkdagen]]/Ruimtestaat[[#This Row],[Norm (m2/uur) werkdagen]],0)</f>
        <v>0</v>
      </c>
      <c r="W370" s="260">
        <f>Ruimtestaat[[#This Row],[uren / jaar werkdagen]]*Tariefsopbouw!$D$38</f>
        <v>0</v>
      </c>
      <c r="X370" s="33"/>
      <c r="Y370" s="33">
        <f>IF(Ruimtestaat[[#This Row],[Frequentie weekend]]&gt;0,VALUE(LEFT(X370,1))*Q370,0)</f>
        <v>0</v>
      </c>
      <c r="Z370" s="33">
        <f>IF($Y370&gt;0,VLOOKUP($J370,Ruimtegroepen[],3,FALSE)*VLOOKUP($K370,Vloersoorten[],3,FALSE)*VLOOKUP($X370,Frequenties[],3,FALSE)*VLOOKUP(#REF!,Locaties[],3,FALSE),0)</f>
        <v>0</v>
      </c>
      <c r="AA370" s="33"/>
      <c r="AB370" s="33"/>
      <c r="AC370" s="33">
        <f>Ruimtestaat[[#This Row],[uren / jaar weekend]]*Tariefsopbouw!$D$40</f>
        <v>0</v>
      </c>
      <c r="AD370" s="88">
        <f>Ruimtestaat[[#This Row],[Prest. (m2 /jaar) weekend]]+Ruimtestaat[[#This Row],[Prest. (m2 /jaar) werkdagen]]</f>
        <v>54700</v>
      </c>
      <c r="AE370" s="88">
        <f>Ruimtestaat[[#This Row],[uren / jaar weekend]]+Ruimtestaat[[#This Row],[uren / jaar werkdagen]]</f>
        <v>0</v>
      </c>
      <c r="AF370" s="89">
        <f>Ruimtestaat[[#This Row],[kosten / jaar weekend]]+Ruimtestaat[[#This Row],[kosten / jaar werkdagen]]</f>
        <v>0</v>
      </c>
    </row>
    <row r="371" spans="1:32" ht="15" customHeight="1">
      <c r="A371" s="200">
        <v>2</v>
      </c>
      <c r="B371" s="21" t="str">
        <f>VLOOKUP(Ruimtestaat[[#This Row],[Code]],Locaties[#All],2,FALSE)</f>
        <v>Stichting Facilitair Beheer Van Renneslaan</v>
      </c>
      <c r="C371" s="243" t="str">
        <f>VLOOKUP(Ruimtestaat[[#This Row],[Code]],Locaties[#All],4,FALSE)</f>
        <v>Catharina van Renneslaan 35</v>
      </c>
      <c r="D371" s="243" t="str">
        <f>VLOOKUP(Ruimtestaat[[#This Row],[Code]],Locaties[#All],5,FALSE)</f>
        <v>7604 KV</v>
      </c>
      <c r="E371" s="243" t="str">
        <f>VLOOKUP(Ruimtestaat[[#This Row],[Code]],Locaties[#All],6,FALSE)</f>
        <v>Almelo</v>
      </c>
      <c r="F371" s="244"/>
      <c r="G371" s="200" t="s">
        <v>1338</v>
      </c>
      <c r="H371" s="200"/>
      <c r="I371" s="244" t="s">
        <v>1293</v>
      </c>
      <c r="J371" s="243">
        <v>20</v>
      </c>
      <c r="K371" s="243" t="s">
        <v>1040</v>
      </c>
      <c r="L371" s="200" t="s">
        <v>999</v>
      </c>
      <c r="M371" s="213">
        <v>17.100000000000001</v>
      </c>
      <c r="N371" s="213"/>
      <c r="O371" s="243" t="str">
        <f>VLOOKUP(Ruimtestaat[[#This Row],[Ruimte code]],Ruimtegroepen[#All],4,FALSE)</f>
        <v>V  (Verkeersruimte)</v>
      </c>
      <c r="P371" s="214"/>
      <c r="Q371" s="215">
        <v>40</v>
      </c>
      <c r="R371" s="215" t="s">
        <v>15</v>
      </c>
      <c r="S371" s="215">
        <f>IF(R371&gt;0,IF(RIGHT(Ruimtestaat[[#This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371" s="215">
        <f>IF(S371&gt;0,VLOOKUP($J371,Ruimtegroepen[],3,FALSE)*VLOOKUP($K371,Vloersoorten[],3,FALSE)*VLOOKUP($R371,Frequenties[],3,FALSE)*VLOOKUP($A371,Locaties[],3,FALSE),0)</f>
        <v>0</v>
      </c>
      <c r="U371" s="215">
        <f>Ruimtestaat[[#This Row],[Uitvoeringen werkdagen]]*Ruimtestaat[[#This Row],[Oppervlak (netto)]]</f>
        <v>684</v>
      </c>
      <c r="V371" s="259">
        <f>IF(T371&gt;0,Ruimtestaat[[#This Row],[Prest. (m2 /jaar) werkdagen]]/Ruimtestaat[[#This Row],[Norm (m2/uur) werkdagen]],0)</f>
        <v>0</v>
      </c>
      <c r="W371" s="260">
        <f>Ruimtestaat[[#This Row],[uren / jaar werkdagen]]*Tariefsopbouw!$D$38</f>
        <v>0</v>
      </c>
      <c r="X371" s="33"/>
      <c r="Y371" s="33">
        <f>IF(Ruimtestaat[[#This Row],[Frequentie weekend]]&gt;0,VALUE(LEFT(X371,1))*Q371,0)</f>
        <v>0</v>
      </c>
      <c r="Z371" s="33">
        <f>IF($Y371&gt;0,VLOOKUP($J371,Ruimtegroepen[],3,FALSE)*VLOOKUP($K371,Vloersoorten[],3,FALSE)*VLOOKUP($X371,Frequenties[],3,FALSE)*VLOOKUP(#REF!,Locaties[],3,FALSE),0)</f>
        <v>0</v>
      </c>
      <c r="AA371" s="33"/>
      <c r="AB371" s="33"/>
      <c r="AC371" s="33">
        <f>Ruimtestaat[[#This Row],[uren / jaar weekend]]*Tariefsopbouw!$D$40</f>
        <v>0</v>
      </c>
      <c r="AD371" s="88">
        <f>Ruimtestaat[[#This Row],[Prest. (m2 /jaar) weekend]]+Ruimtestaat[[#This Row],[Prest. (m2 /jaar) werkdagen]]</f>
        <v>684</v>
      </c>
      <c r="AE371" s="88">
        <f>Ruimtestaat[[#This Row],[uren / jaar weekend]]+Ruimtestaat[[#This Row],[uren / jaar werkdagen]]</f>
        <v>0</v>
      </c>
      <c r="AF371" s="89">
        <f>Ruimtestaat[[#This Row],[kosten / jaar weekend]]+Ruimtestaat[[#This Row],[kosten / jaar werkdagen]]</f>
        <v>0</v>
      </c>
    </row>
    <row r="372" spans="1:32" ht="15" customHeight="1">
      <c r="A372" s="200">
        <v>2</v>
      </c>
      <c r="B372" s="21" t="str">
        <f>VLOOKUP(Ruimtestaat[[#This Row],[Code]],Locaties[#All],2,FALSE)</f>
        <v>Stichting Facilitair Beheer Van Renneslaan</v>
      </c>
      <c r="C372" s="243" t="str">
        <f>VLOOKUP(Ruimtestaat[[#This Row],[Code]],Locaties[#All],4,FALSE)</f>
        <v>Catharina van Renneslaan 35</v>
      </c>
      <c r="D372" s="243" t="str">
        <f>VLOOKUP(Ruimtestaat[[#This Row],[Code]],Locaties[#All],5,FALSE)</f>
        <v>7604 KV</v>
      </c>
      <c r="E372" s="243" t="str">
        <f>VLOOKUP(Ruimtestaat[[#This Row],[Code]],Locaties[#All],6,FALSE)</f>
        <v>Almelo</v>
      </c>
      <c r="F372" s="244"/>
      <c r="G372" s="200" t="s">
        <v>1338</v>
      </c>
      <c r="H372" s="200"/>
      <c r="I372" s="244" t="s">
        <v>1294</v>
      </c>
      <c r="J372" s="200">
        <v>20</v>
      </c>
      <c r="K372" s="243" t="s">
        <v>112</v>
      </c>
      <c r="L372" s="200" t="s">
        <v>1341</v>
      </c>
      <c r="M372" s="213">
        <v>17.600000000000001</v>
      </c>
      <c r="N372" s="213"/>
      <c r="O372" s="243" t="str">
        <f>VLOOKUP(Ruimtestaat[[#This Row],[Ruimte code]],Ruimtegroepen[#All],4,FALSE)</f>
        <v>V  (Verkeersruimte)</v>
      </c>
      <c r="P372" s="214"/>
      <c r="Q372" s="215">
        <v>40</v>
      </c>
      <c r="R372" s="215" t="s">
        <v>15</v>
      </c>
      <c r="S372" s="215">
        <f>IF(R372&gt;0,IF(RIGHT(Ruimtestaat[[#This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372" s="215">
        <f>IF(S372&gt;0,VLOOKUP($J372,Ruimtegroepen[],3,FALSE)*VLOOKUP($K372,Vloersoorten[],3,FALSE)*VLOOKUP($R372,Frequenties[],3,FALSE)*VLOOKUP($A372,Locaties[],3,FALSE),0)</f>
        <v>0</v>
      </c>
      <c r="U372" s="215">
        <f>Ruimtestaat[[#This Row],[Uitvoeringen werkdagen]]*Ruimtestaat[[#This Row],[Oppervlak (netto)]]</f>
        <v>704</v>
      </c>
      <c r="V372" s="259">
        <f>IF(T372&gt;0,Ruimtestaat[[#This Row],[Prest. (m2 /jaar) werkdagen]]/Ruimtestaat[[#This Row],[Norm (m2/uur) werkdagen]],0)</f>
        <v>0</v>
      </c>
      <c r="W372" s="260">
        <f>Ruimtestaat[[#This Row],[uren / jaar werkdagen]]*Tariefsopbouw!$D$38</f>
        <v>0</v>
      </c>
      <c r="X372" s="33"/>
      <c r="Y372" s="33">
        <f>IF(Ruimtestaat[[#This Row],[Frequentie weekend]]&gt;0,VALUE(LEFT(X372,1))*Q372,0)</f>
        <v>0</v>
      </c>
      <c r="Z372" s="33">
        <f>IF($Y372&gt;0,VLOOKUP($J372,Ruimtegroepen[],3,FALSE)*VLOOKUP($K372,Vloersoorten[],3,FALSE)*VLOOKUP($X372,Frequenties[],3,FALSE)*VLOOKUP(#REF!,Locaties[],3,FALSE),0)</f>
        <v>0</v>
      </c>
      <c r="AA372" s="33"/>
      <c r="AB372" s="33"/>
      <c r="AC372" s="33">
        <f>Ruimtestaat[[#This Row],[uren / jaar weekend]]*Tariefsopbouw!$D$40</f>
        <v>0</v>
      </c>
      <c r="AD372" s="88">
        <f>Ruimtestaat[[#This Row],[Prest. (m2 /jaar) weekend]]+Ruimtestaat[[#This Row],[Prest. (m2 /jaar) werkdagen]]</f>
        <v>704</v>
      </c>
      <c r="AE372" s="88">
        <f>Ruimtestaat[[#This Row],[uren / jaar weekend]]+Ruimtestaat[[#This Row],[uren / jaar werkdagen]]</f>
        <v>0</v>
      </c>
      <c r="AF372" s="89">
        <f>Ruimtestaat[[#This Row],[kosten / jaar weekend]]+Ruimtestaat[[#This Row],[kosten / jaar werkdagen]]</f>
        <v>0</v>
      </c>
    </row>
    <row r="373" spans="1:32" ht="15" customHeight="1">
      <c r="A373" s="200">
        <v>2</v>
      </c>
      <c r="B373" s="21" t="str">
        <f>VLOOKUP(Ruimtestaat[[#This Row],[Code]],Locaties[#All],2,FALSE)</f>
        <v>Stichting Facilitair Beheer Van Renneslaan</v>
      </c>
      <c r="C373" s="243" t="str">
        <f>VLOOKUP(Ruimtestaat[[#This Row],[Code]],Locaties[#All],4,FALSE)</f>
        <v>Catharina van Renneslaan 35</v>
      </c>
      <c r="D373" s="243" t="str">
        <f>VLOOKUP(Ruimtestaat[[#This Row],[Code]],Locaties[#All],5,FALSE)</f>
        <v>7604 KV</v>
      </c>
      <c r="E373" s="243" t="str">
        <f>VLOOKUP(Ruimtestaat[[#This Row],[Code]],Locaties[#All],6,FALSE)</f>
        <v>Almelo</v>
      </c>
      <c r="F373" s="244"/>
      <c r="G373" s="200" t="s">
        <v>1338</v>
      </c>
      <c r="H373" s="200"/>
      <c r="I373" s="244" t="s">
        <v>1295</v>
      </c>
      <c r="J373" s="200">
        <v>1</v>
      </c>
      <c r="K373" s="243" t="s">
        <v>112</v>
      </c>
      <c r="L373" s="200" t="s">
        <v>1341</v>
      </c>
      <c r="M373" s="213">
        <v>14.8</v>
      </c>
      <c r="N373" s="213"/>
      <c r="O373" s="243" t="str">
        <f>VLOOKUP(Ruimtestaat[[#This Row],[Ruimte code]],Ruimtegroepen[#All],4,FALSE)</f>
        <v>V  (Verkeersruimte)</v>
      </c>
      <c r="P373" s="214"/>
      <c r="Q373" s="215">
        <v>40</v>
      </c>
      <c r="R373" s="215" t="s">
        <v>16</v>
      </c>
      <c r="S373" s="215">
        <f>IF(R373&gt;0,IF(RIGHT(Ruimtestaat[[#This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73" s="215">
        <f>IF(S373&gt;0,VLOOKUP($J373,Ruimtegroepen[],3,FALSE)*VLOOKUP($K373,Vloersoorten[],3,FALSE)*VLOOKUP($R373,Frequenties[],3,FALSE)*VLOOKUP($A373,Locaties[],3,FALSE),0)</f>
        <v>0</v>
      </c>
      <c r="U373" s="215">
        <f>Ruimtestaat[[#This Row],[Uitvoeringen werkdagen]]*Ruimtestaat[[#This Row],[Oppervlak (netto)]]</f>
        <v>177.60000000000002</v>
      </c>
      <c r="V373" s="259">
        <f>IF(T373&gt;0,Ruimtestaat[[#This Row],[Prest. (m2 /jaar) werkdagen]]/Ruimtestaat[[#This Row],[Norm (m2/uur) werkdagen]],0)</f>
        <v>0</v>
      </c>
      <c r="W373" s="260">
        <f>Ruimtestaat[[#This Row],[uren / jaar werkdagen]]*Tariefsopbouw!$D$38</f>
        <v>0</v>
      </c>
      <c r="X373" s="33"/>
      <c r="Y373" s="33">
        <f>IF(Ruimtestaat[[#This Row],[Frequentie weekend]]&gt;0,VALUE(LEFT(X373,1))*Q373,0)</f>
        <v>0</v>
      </c>
      <c r="Z373" s="33">
        <f>IF($Y373&gt;0,VLOOKUP($J373,Ruimtegroepen[],3,FALSE)*VLOOKUP($K373,Vloersoorten[],3,FALSE)*VLOOKUP($X373,Frequenties[],3,FALSE)*VLOOKUP(#REF!,Locaties[],3,FALSE),0)</f>
        <v>0</v>
      </c>
      <c r="AA373" s="33"/>
      <c r="AB373" s="33"/>
      <c r="AC373" s="33">
        <f>Ruimtestaat[[#This Row],[uren / jaar weekend]]*Tariefsopbouw!$D$40</f>
        <v>0</v>
      </c>
      <c r="AD373" s="88">
        <f>Ruimtestaat[[#This Row],[Prest. (m2 /jaar) weekend]]+Ruimtestaat[[#This Row],[Prest. (m2 /jaar) werkdagen]]</f>
        <v>177.60000000000002</v>
      </c>
      <c r="AE373" s="88">
        <f>Ruimtestaat[[#This Row],[uren / jaar weekend]]+Ruimtestaat[[#This Row],[uren / jaar werkdagen]]</f>
        <v>0</v>
      </c>
      <c r="AF373" s="89">
        <f>Ruimtestaat[[#This Row],[kosten / jaar weekend]]+Ruimtestaat[[#This Row],[kosten / jaar werkdagen]]</f>
        <v>0</v>
      </c>
    </row>
    <row r="374" spans="1:32" ht="15" customHeight="1">
      <c r="A374" s="200">
        <v>2</v>
      </c>
      <c r="B374" s="21" t="str">
        <f>VLOOKUP(Ruimtestaat[[#This Row],[Code]],Locaties[#All],2,FALSE)</f>
        <v>Stichting Facilitair Beheer Van Renneslaan</v>
      </c>
      <c r="C374" s="243" t="str">
        <f>VLOOKUP(Ruimtestaat[[#This Row],[Code]],Locaties[#All],4,FALSE)</f>
        <v>Catharina van Renneslaan 35</v>
      </c>
      <c r="D374" s="243" t="str">
        <f>VLOOKUP(Ruimtestaat[[#This Row],[Code]],Locaties[#All],5,FALSE)</f>
        <v>7604 KV</v>
      </c>
      <c r="E374" s="243" t="str">
        <f>VLOOKUP(Ruimtestaat[[#This Row],[Code]],Locaties[#All],6,FALSE)</f>
        <v>Almelo</v>
      </c>
      <c r="F374" s="244"/>
      <c r="G374" s="200" t="s">
        <v>1338</v>
      </c>
      <c r="H374" s="200"/>
      <c r="I374" s="244" t="s">
        <v>1296</v>
      </c>
      <c r="J374" s="263">
        <v>1</v>
      </c>
      <c r="K374" s="243" t="s">
        <v>112</v>
      </c>
      <c r="L374" s="200" t="s">
        <v>1341</v>
      </c>
      <c r="M374" s="213">
        <v>16.399999999999999</v>
      </c>
      <c r="N374" s="213"/>
      <c r="O374" s="243" t="str">
        <f>VLOOKUP(Ruimtestaat[[#This Row],[Ruimte code]],Ruimtegroepen[#All],4,FALSE)</f>
        <v>V  (Verkeersruimte)</v>
      </c>
      <c r="P374" s="214"/>
      <c r="Q374" s="215">
        <v>40</v>
      </c>
      <c r="R374" s="215" t="s">
        <v>16</v>
      </c>
      <c r="S374" s="215">
        <f>IF(R374&gt;0,IF(RIGHT(Ruimtestaat[[#This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374" s="215">
        <f>IF(S374&gt;0,VLOOKUP($J374,Ruimtegroepen[],3,FALSE)*VLOOKUP($K374,Vloersoorten[],3,FALSE)*VLOOKUP($R374,Frequenties[],3,FALSE)*VLOOKUP($A374,Locaties[],3,FALSE),0)</f>
        <v>0</v>
      </c>
      <c r="U374" s="215">
        <f>Ruimtestaat[[#This Row],[Uitvoeringen werkdagen]]*Ruimtestaat[[#This Row],[Oppervlak (netto)]]</f>
        <v>196.79999999999998</v>
      </c>
      <c r="V374" s="259">
        <f>IF(T374&gt;0,Ruimtestaat[[#This Row],[Prest. (m2 /jaar) werkdagen]]/Ruimtestaat[[#This Row],[Norm (m2/uur) werkdagen]],0)</f>
        <v>0</v>
      </c>
      <c r="W374" s="260">
        <f>Ruimtestaat[[#This Row],[uren / jaar werkdagen]]*Tariefsopbouw!$D$38</f>
        <v>0</v>
      </c>
      <c r="X374" s="33"/>
      <c r="Y374" s="33">
        <f>IF(Ruimtestaat[[#This Row],[Frequentie weekend]]&gt;0,VALUE(LEFT(X374,1))*Q374,0)</f>
        <v>0</v>
      </c>
      <c r="Z374" s="33">
        <f>IF($Y374&gt;0,VLOOKUP($J374,Ruimtegroepen[],3,FALSE)*VLOOKUP($K374,Vloersoorten[],3,FALSE)*VLOOKUP($X374,Frequenties[],3,FALSE)*VLOOKUP(#REF!,Locaties[],3,FALSE),0)</f>
        <v>0</v>
      </c>
      <c r="AA374" s="33"/>
      <c r="AB374" s="33"/>
      <c r="AC374" s="33">
        <f>Ruimtestaat[[#This Row],[uren / jaar weekend]]*Tariefsopbouw!$D$40</f>
        <v>0</v>
      </c>
      <c r="AD374" s="88">
        <f>Ruimtestaat[[#This Row],[Prest. (m2 /jaar) weekend]]+Ruimtestaat[[#This Row],[Prest. (m2 /jaar) werkdagen]]</f>
        <v>196.79999999999998</v>
      </c>
      <c r="AE374" s="88">
        <f>Ruimtestaat[[#This Row],[uren / jaar weekend]]+Ruimtestaat[[#This Row],[uren / jaar werkdagen]]</f>
        <v>0</v>
      </c>
      <c r="AF374" s="89">
        <f>Ruimtestaat[[#This Row],[kosten / jaar weekend]]+Ruimtestaat[[#This Row],[kosten / jaar werkdagen]]</f>
        <v>0</v>
      </c>
    </row>
    <row r="375" spans="1:32" ht="15" customHeight="1">
      <c r="A375" s="200">
        <v>2</v>
      </c>
      <c r="B375" s="21" t="str">
        <f>VLOOKUP(Ruimtestaat[[#This Row],[Code]],Locaties[#All],2,FALSE)</f>
        <v>Stichting Facilitair Beheer Van Renneslaan</v>
      </c>
      <c r="C375" s="243" t="str">
        <f>VLOOKUP(Ruimtestaat[[#This Row],[Code]],Locaties[#All],4,FALSE)</f>
        <v>Catharina van Renneslaan 35</v>
      </c>
      <c r="D375" s="243" t="str">
        <f>VLOOKUP(Ruimtestaat[[#This Row],[Code]],Locaties[#All],5,FALSE)</f>
        <v>7604 KV</v>
      </c>
      <c r="E375" s="243" t="str">
        <f>VLOOKUP(Ruimtestaat[[#This Row],[Code]],Locaties[#All],6,FALSE)</f>
        <v>Almelo</v>
      </c>
      <c r="F375" s="244"/>
      <c r="G375" s="200" t="s">
        <v>1338</v>
      </c>
      <c r="H375" s="200"/>
      <c r="I375" s="244" t="s">
        <v>1297</v>
      </c>
      <c r="J375" s="200">
        <v>6</v>
      </c>
      <c r="K375" s="243" t="s">
        <v>112</v>
      </c>
      <c r="L375" s="200" t="s">
        <v>1341</v>
      </c>
      <c r="M375" s="213">
        <v>18.8</v>
      </c>
      <c r="N375" s="213"/>
      <c r="O375" s="243" t="str">
        <f>VLOOKUP(Ruimtestaat[[#This Row],[Ruimte code]],Ruimtegroepen[#All],4,FALSE)</f>
        <v>V  (Verkeersruimte)</v>
      </c>
      <c r="P375" s="214"/>
      <c r="Q375" s="215">
        <v>40</v>
      </c>
      <c r="R375" s="215" t="s">
        <v>2</v>
      </c>
      <c r="S375" s="215">
        <f>IF(R375&gt;0,IF(RIGHT(Ruimtestaat[[#This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5" s="215">
        <f>IF(S375&gt;0,VLOOKUP($J375,Ruimtegroepen[],3,FALSE)*VLOOKUP($K375,Vloersoorten[],3,FALSE)*VLOOKUP($R375,Frequenties[],3,FALSE)*VLOOKUP($A375,Locaties[],3,FALSE),0)</f>
        <v>0</v>
      </c>
      <c r="U375" s="215">
        <f>Ruimtestaat[[#This Row],[Uitvoeringen werkdagen]]*Ruimtestaat[[#This Row],[Oppervlak (netto)]]</f>
        <v>3760</v>
      </c>
      <c r="V375" s="259">
        <f>IF(T375&gt;0,Ruimtestaat[[#This Row],[Prest. (m2 /jaar) werkdagen]]/Ruimtestaat[[#This Row],[Norm (m2/uur) werkdagen]],0)</f>
        <v>0</v>
      </c>
      <c r="W375" s="260">
        <f>Ruimtestaat[[#This Row],[uren / jaar werkdagen]]*Tariefsopbouw!$D$38</f>
        <v>0</v>
      </c>
      <c r="X375" s="33"/>
      <c r="Y375" s="33">
        <f>IF(Ruimtestaat[[#This Row],[Frequentie weekend]]&gt;0,VALUE(LEFT(X375,1))*Q375,0)</f>
        <v>0</v>
      </c>
      <c r="Z375" s="33">
        <f>IF($Y375&gt;0,VLOOKUP($J375,Ruimtegroepen[],3,FALSE)*VLOOKUP($K375,Vloersoorten[],3,FALSE)*VLOOKUP($X375,Frequenties[],3,FALSE)*VLOOKUP(#REF!,Locaties[],3,FALSE),0)</f>
        <v>0</v>
      </c>
      <c r="AA375" s="33"/>
      <c r="AB375" s="33"/>
      <c r="AC375" s="33">
        <f>Ruimtestaat[[#This Row],[uren / jaar weekend]]*Tariefsopbouw!$D$40</f>
        <v>0</v>
      </c>
      <c r="AD375" s="88">
        <f>Ruimtestaat[[#This Row],[Prest. (m2 /jaar) weekend]]+Ruimtestaat[[#This Row],[Prest. (m2 /jaar) werkdagen]]</f>
        <v>3760</v>
      </c>
      <c r="AE375" s="88">
        <f>Ruimtestaat[[#This Row],[uren / jaar weekend]]+Ruimtestaat[[#This Row],[uren / jaar werkdagen]]</f>
        <v>0</v>
      </c>
      <c r="AF375" s="89">
        <f>Ruimtestaat[[#This Row],[kosten / jaar weekend]]+Ruimtestaat[[#This Row],[kosten / jaar werkdagen]]</f>
        <v>0</v>
      </c>
    </row>
    <row r="376" spans="1:32" ht="15" customHeight="1">
      <c r="A376" s="200">
        <v>2</v>
      </c>
      <c r="B376" s="21" t="str">
        <f>VLOOKUP(Ruimtestaat[[#This Row],[Code]],Locaties[#All],2,FALSE)</f>
        <v>Stichting Facilitair Beheer Van Renneslaan</v>
      </c>
      <c r="C376" s="243" t="str">
        <f>VLOOKUP(Ruimtestaat[[#This Row],[Code]],Locaties[#All],4,FALSE)</f>
        <v>Catharina van Renneslaan 35</v>
      </c>
      <c r="D376" s="243" t="str">
        <f>VLOOKUP(Ruimtestaat[[#This Row],[Code]],Locaties[#All],5,FALSE)</f>
        <v>7604 KV</v>
      </c>
      <c r="E376" s="243" t="str">
        <f>VLOOKUP(Ruimtestaat[[#This Row],[Code]],Locaties[#All],6,FALSE)</f>
        <v>Almelo</v>
      </c>
      <c r="F376" s="244"/>
      <c r="G376" s="200" t="s">
        <v>1338</v>
      </c>
      <c r="H376" s="200"/>
      <c r="I376" s="244" t="s">
        <v>1298</v>
      </c>
      <c r="J376" s="200">
        <v>14</v>
      </c>
      <c r="K376" s="243" t="s">
        <v>1040</v>
      </c>
      <c r="L376" s="200" t="s">
        <v>999</v>
      </c>
      <c r="M376" s="213">
        <v>134.5</v>
      </c>
      <c r="N376" s="213"/>
      <c r="O376" s="243" t="str">
        <f>VLOOKUP(Ruimtestaat[[#This Row],[Ruimte code]],Ruimtegroepen[#All],4,FALSE)</f>
        <v>V  (Verkeersruimte)</v>
      </c>
      <c r="P376" s="214"/>
      <c r="Q376" s="215">
        <v>40</v>
      </c>
      <c r="R376" s="215" t="s">
        <v>2</v>
      </c>
      <c r="S376" s="215">
        <f>IF(R376&gt;0,IF(RIGHT(Ruimtestaat[[#This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76" s="215">
        <f>IF(S376&gt;0,VLOOKUP($J376,Ruimtegroepen[],3,FALSE)*VLOOKUP($K376,Vloersoorten[],3,FALSE)*VLOOKUP($R376,Frequenties[],3,FALSE)*VLOOKUP($A376,Locaties[],3,FALSE),0)</f>
        <v>0</v>
      </c>
      <c r="U376" s="215">
        <f>Ruimtestaat[[#This Row],[Uitvoeringen werkdagen]]*Ruimtestaat[[#This Row],[Oppervlak (netto)]]</f>
        <v>26900</v>
      </c>
      <c r="V376" s="259">
        <f>IF(T376&gt;0,Ruimtestaat[[#This Row],[Prest. (m2 /jaar) werkdagen]]/Ruimtestaat[[#This Row],[Norm (m2/uur) werkdagen]],0)</f>
        <v>0</v>
      </c>
      <c r="W376" s="260">
        <f>Ruimtestaat[[#This Row],[uren / jaar werkdagen]]*Tariefsopbouw!$D$38</f>
        <v>0</v>
      </c>
      <c r="X376" s="33"/>
      <c r="Y376" s="33">
        <f>IF(Ruimtestaat[[#This Row],[Frequentie weekend]]&gt;0,VALUE(LEFT(X376,1))*Q376,0)</f>
        <v>0</v>
      </c>
      <c r="Z376" s="33">
        <f>IF($Y376&gt;0,VLOOKUP($J376,Ruimtegroepen[],3,FALSE)*VLOOKUP($K376,Vloersoorten[],3,FALSE)*VLOOKUP($X376,Frequenties[],3,FALSE)*VLOOKUP(#REF!,Locaties[],3,FALSE),0)</f>
        <v>0</v>
      </c>
      <c r="AA376" s="33"/>
      <c r="AB376" s="33"/>
      <c r="AC376" s="33">
        <f>Ruimtestaat[[#This Row],[uren / jaar weekend]]*Tariefsopbouw!$D$40</f>
        <v>0</v>
      </c>
      <c r="AD376" s="88">
        <f>Ruimtestaat[[#This Row],[Prest. (m2 /jaar) weekend]]+Ruimtestaat[[#This Row],[Prest. (m2 /jaar) werkdagen]]</f>
        <v>26900</v>
      </c>
      <c r="AE376" s="88">
        <f>Ruimtestaat[[#This Row],[uren / jaar weekend]]+Ruimtestaat[[#This Row],[uren / jaar werkdagen]]</f>
        <v>0</v>
      </c>
      <c r="AF376" s="89">
        <f>Ruimtestaat[[#This Row],[kosten / jaar weekend]]+Ruimtestaat[[#This Row],[kosten / jaar werkdagen]]</f>
        <v>0</v>
      </c>
    </row>
    <row r="377" spans="1:32" ht="15" customHeight="1">
      <c r="A377" s="200">
        <v>2</v>
      </c>
      <c r="B377" s="21" t="str">
        <f>VLOOKUP(Ruimtestaat[[#This Row],[Code]],Locaties[#All],2,FALSE)</f>
        <v>Stichting Facilitair Beheer Van Renneslaan</v>
      </c>
      <c r="C377" s="243" t="str">
        <f>VLOOKUP(Ruimtestaat[[#This Row],[Code]],Locaties[#All],4,FALSE)</f>
        <v>Catharina van Renneslaan 35</v>
      </c>
      <c r="D377" s="243" t="str">
        <f>VLOOKUP(Ruimtestaat[[#This Row],[Code]],Locaties[#All],5,FALSE)</f>
        <v>7604 KV</v>
      </c>
      <c r="E377" s="243" t="str">
        <f>VLOOKUP(Ruimtestaat[[#This Row],[Code]],Locaties[#All],6,FALSE)</f>
        <v>Almelo</v>
      </c>
      <c r="F377" s="244"/>
      <c r="G377" s="200" t="s">
        <v>1338</v>
      </c>
      <c r="H377" s="200"/>
      <c r="I377" s="244" t="s">
        <v>1299</v>
      </c>
      <c r="J377" s="200">
        <v>2</v>
      </c>
      <c r="K377" s="243" t="s">
        <v>1040</v>
      </c>
      <c r="L377" s="200" t="s">
        <v>999</v>
      </c>
      <c r="M377" s="213">
        <v>27.7</v>
      </c>
      <c r="N377" s="213"/>
      <c r="O377" s="243" t="str">
        <f>VLOOKUP(Ruimtestaat[[#This Row],[Ruimte code]],Ruimtegroepen[#All],4,FALSE)</f>
        <v>B  (Bureauruimte)</v>
      </c>
      <c r="P377" s="214"/>
      <c r="Q377" s="215">
        <v>40</v>
      </c>
      <c r="R377" s="215" t="s">
        <v>18</v>
      </c>
      <c r="S377" s="215">
        <f>IF(R377&gt;0,IF(RIGHT(Ruimtestaat[[#This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77" s="215">
        <f>IF(S377&gt;0,VLOOKUP($J377,Ruimtegroepen[],3,FALSE)*VLOOKUP($K377,Vloersoorten[],3,FALSE)*VLOOKUP($R377,Frequenties[],3,FALSE)*VLOOKUP($A377,Locaties[],3,FALSE),0)</f>
        <v>0</v>
      </c>
      <c r="U377" s="215">
        <f>Ruimtestaat[[#This Row],[Uitvoeringen werkdagen]]*Ruimtestaat[[#This Row],[Oppervlak (netto)]]</f>
        <v>3324</v>
      </c>
      <c r="V377" s="259">
        <f>IF(T377&gt;0,Ruimtestaat[[#This Row],[Prest. (m2 /jaar) werkdagen]]/Ruimtestaat[[#This Row],[Norm (m2/uur) werkdagen]],0)</f>
        <v>0</v>
      </c>
      <c r="W377" s="260">
        <f>Ruimtestaat[[#This Row],[uren / jaar werkdagen]]*Tariefsopbouw!$D$38</f>
        <v>0</v>
      </c>
      <c r="X377" s="33"/>
      <c r="Y377" s="33">
        <f>IF(Ruimtestaat[[#This Row],[Frequentie weekend]]&gt;0,VALUE(LEFT(X377,1))*Q377,0)</f>
        <v>0</v>
      </c>
      <c r="Z377" s="33">
        <f>IF($Y377&gt;0,VLOOKUP($J377,Ruimtegroepen[],3,FALSE)*VLOOKUP($K377,Vloersoorten[],3,FALSE)*VLOOKUP($X377,Frequenties[],3,FALSE)*VLOOKUP(#REF!,Locaties[],3,FALSE),0)</f>
        <v>0</v>
      </c>
      <c r="AA377" s="33"/>
      <c r="AB377" s="33"/>
      <c r="AC377" s="33">
        <f>Ruimtestaat[[#This Row],[uren / jaar weekend]]*Tariefsopbouw!$D$40</f>
        <v>0</v>
      </c>
      <c r="AD377" s="88">
        <f>Ruimtestaat[[#This Row],[Prest. (m2 /jaar) weekend]]+Ruimtestaat[[#This Row],[Prest. (m2 /jaar) werkdagen]]</f>
        <v>3324</v>
      </c>
      <c r="AE377" s="88">
        <f>Ruimtestaat[[#This Row],[uren / jaar weekend]]+Ruimtestaat[[#This Row],[uren / jaar werkdagen]]</f>
        <v>0</v>
      </c>
      <c r="AF377" s="89">
        <f>Ruimtestaat[[#This Row],[kosten / jaar weekend]]+Ruimtestaat[[#This Row],[kosten / jaar werkdagen]]</f>
        <v>0</v>
      </c>
    </row>
    <row r="378" spans="1:32" ht="15" customHeight="1">
      <c r="A378" s="200">
        <v>2</v>
      </c>
      <c r="B378" s="21" t="str">
        <f>VLOOKUP(Ruimtestaat[[#This Row],[Code]],Locaties[#All],2,FALSE)</f>
        <v>Stichting Facilitair Beheer Van Renneslaan</v>
      </c>
      <c r="C378" s="243" t="str">
        <f>VLOOKUP(Ruimtestaat[[#This Row],[Code]],Locaties[#All],4,FALSE)</f>
        <v>Catharina van Renneslaan 35</v>
      </c>
      <c r="D378" s="243" t="str">
        <f>VLOOKUP(Ruimtestaat[[#This Row],[Code]],Locaties[#All],5,FALSE)</f>
        <v>7604 KV</v>
      </c>
      <c r="E378" s="243" t="str">
        <f>VLOOKUP(Ruimtestaat[[#This Row],[Code]],Locaties[#All],6,FALSE)</f>
        <v>Almelo</v>
      </c>
      <c r="F378" s="244" t="s">
        <v>1343</v>
      </c>
      <c r="G378" s="200" t="s">
        <v>1338</v>
      </c>
      <c r="H378" s="200"/>
      <c r="I378" s="244" t="s">
        <v>1300</v>
      </c>
      <c r="J378" s="200">
        <v>2</v>
      </c>
      <c r="K378" s="243" t="s">
        <v>1040</v>
      </c>
      <c r="L378" s="200" t="s">
        <v>999</v>
      </c>
      <c r="M378" s="213">
        <v>18.100000000000001</v>
      </c>
      <c r="N378" s="213"/>
      <c r="O378" s="243" t="str">
        <f>VLOOKUP(Ruimtestaat[[#This Row],[Ruimte code]],Ruimtegroepen[#All],4,FALSE)</f>
        <v>B  (Bureauruimte)</v>
      </c>
      <c r="P378" s="214"/>
      <c r="Q378" s="215">
        <v>40</v>
      </c>
      <c r="R378" s="215" t="s">
        <v>18</v>
      </c>
      <c r="S378" s="215">
        <f>IF(R378&gt;0,IF(RIGHT(Ruimtestaat[[#This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78" s="215">
        <f>IF(S378&gt;0,VLOOKUP($J378,Ruimtegroepen[],3,FALSE)*VLOOKUP($K378,Vloersoorten[],3,FALSE)*VLOOKUP($R378,Frequenties[],3,FALSE)*VLOOKUP($A378,Locaties[],3,FALSE),0)</f>
        <v>0</v>
      </c>
      <c r="U378" s="215">
        <f>Ruimtestaat[[#This Row],[Uitvoeringen werkdagen]]*Ruimtestaat[[#This Row],[Oppervlak (netto)]]</f>
        <v>2172</v>
      </c>
      <c r="V378" s="259">
        <f>IF(T378&gt;0,Ruimtestaat[[#This Row],[Prest. (m2 /jaar) werkdagen]]/Ruimtestaat[[#This Row],[Norm (m2/uur) werkdagen]],0)</f>
        <v>0</v>
      </c>
      <c r="W378" s="260">
        <f>Ruimtestaat[[#This Row],[uren / jaar werkdagen]]*Tariefsopbouw!$D$38</f>
        <v>0</v>
      </c>
      <c r="X378" s="33"/>
      <c r="Y378" s="33">
        <f>IF(Ruimtestaat[[#This Row],[Frequentie weekend]]&gt;0,VALUE(LEFT(X378,1))*Q378,0)</f>
        <v>0</v>
      </c>
      <c r="Z378" s="33">
        <f>IF($Y378&gt;0,VLOOKUP($J378,Ruimtegroepen[],3,FALSE)*VLOOKUP($K378,Vloersoorten[],3,FALSE)*VLOOKUP($X378,Frequenties[],3,FALSE)*VLOOKUP(#REF!,Locaties[],3,FALSE),0)</f>
        <v>0</v>
      </c>
      <c r="AA378" s="33"/>
      <c r="AB378" s="33"/>
      <c r="AC378" s="33">
        <f>Ruimtestaat[[#This Row],[uren / jaar weekend]]*Tariefsopbouw!$D$40</f>
        <v>0</v>
      </c>
      <c r="AD378" s="88">
        <f>Ruimtestaat[[#This Row],[Prest. (m2 /jaar) weekend]]+Ruimtestaat[[#This Row],[Prest. (m2 /jaar) werkdagen]]</f>
        <v>2172</v>
      </c>
      <c r="AE378" s="88">
        <f>Ruimtestaat[[#This Row],[uren / jaar weekend]]+Ruimtestaat[[#This Row],[uren / jaar werkdagen]]</f>
        <v>0</v>
      </c>
      <c r="AF378" s="89">
        <f>Ruimtestaat[[#This Row],[kosten / jaar weekend]]+Ruimtestaat[[#This Row],[kosten / jaar werkdagen]]</f>
        <v>0</v>
      </c>
    </row>
    <row r="379" spans="1:32" ht="15" customHeight="1">
      <c r="A379" s="200">
        <v>2</v>
      </c>
      <c r="B379" s="21" t="str">
        <f>VLOOKUP(Ruimtestaat[[#This Row],[Code]],Locaties[#All],2,FALSE)</f>
        <v>Stichting Facilitair Beheer Van Renneslaan</v>
      </c>
      <c r="C379" s="243" t="str">
        <f>VLOOKUP(Ruimtestaat[[#This Row],[Code]],Locaties[#All],4,FALSE)</f>
        <v>Catharina van Renneslaan 35</v>
      </c>
      <c r="D379" s="243" t="str">
        <f>VLOOKUP(Ruimtestaat[[#This Row],[Code]],Locaties[#All],5,FALSE)</f>
        <v>7604 KV</v>
      </c>
      <c r="E379" s="243" t="str">
        <f>VLOOKUP(Ruimtestaat[[#This Row],[Code]],Locaties[#All],6,FALSE)</f>
        <v>Almelo</v>
      </c>
      <c r="F379" s="244" t="s">
        <v>1342</v>
      </c>
      <c r="G379" s="200" t="s">
        <v>1338</v>
      </c>
      <c r="H379" s="200"/>
      <c r="I379" s="244" t="s">
        <v>1301</v>
      </c>
      <c r="J379" s="200">
        <v>2</v>
      </c>
      <c r="K379" s="243" t="s">
        <v>1040</v>
      </c>
      <c r="L379" s="200" t="s">
        <v>999</v>
      </c>
      <c r="M379" s="213">
        <v>21.5</v>
      </c>
      <c r="N379" s="213"/>
      <c r="O379" s="243" t="str">
        <f>VLOOKUP(Ruimtestaat[[#This Row],[Ruimte code]],Ruimtegroepen[#All],4,FALSE)</f>
        <v>B  (Bureauruimte)</v>
      </c>
      <c r="P379" s="214"/>
      <c r="Q379" s="215">
        <v>40</v>
      </c>
      <c r="R379" s="215" t="s">
        <v>18</v>
      </c>
      <c r="S379" s="215">
        <f>IF(R379&gt;0,IF(RIGHT(Ruimtestaat[[#This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379" s="215">
        <f>IF(S379&gt;0,VLOOKUP($J379,Ruimtegroepen[],3,FALSE)*VLOOKUP($K379,Vloersoorten[],3,FALSE)*VLOOKUP($R379,Frequenties[],3,FALSE)*VLOOKUP($A379,Locaties[],3,FALSE),0)</f>
        <v>0</v>
      </c>
      <c r="U379" s="215">
        <f>Ruimtestaat[[#This Row],[Uitvoeringen werkdagen]]*Ruimtestaat[[#This Row],[Oppervlak (netto)]]</f>
        <v>2580</v>
      </c>
      <c r="V379" s="259">
        <f>IF(T379&gt;0,Ruimtestaat[[#This Row],[Prest. (m2 /jaar) werkdagen]]/Ruimtestaat[[#This Row],[Norm (m2/uur) werkdagen]],0)</f>
        <v>0</v>
      </c>
      <c r="W379" s="260">
        <f>Ruimtestaat[[#This Row],[uren / jaar werkdagen]]*Tariefsopbouw!$D$38</f>
        <v>0</v>
      </c>
      <c r="X379" s="33"/>
      <c r="Y379" s="33">
        <f>IF(Ruimtestaat[[#This Row],[Frequentie weekend]]&gt;0,VALUE(LEFT(X379,1))*Q379,0)</f>
        <v>0</v>
      </c>
      <c r="Z379" s="33">
        <f>IF($Y379&gt;0,VLOOKUP($J379,Ruimtegroepen[],3,FALSE)*VLOOKUP($K379,Vloersoorten[],3,FALSE)*VLOOKUP($X379,Frequenties[],3,FALSE)*VLOOKUP(#REF!,Locaties[],3,FALSE),0)</f>
        <v>0</v>
      </c>
      <c r="AA379" s="33"/>
      <c r="AB379" s="33"/>
      <c r="AC379" s="33">
        <f>Ruimtestaat[[#This Row],[uren / jaar weekend]]*Tariefsopbouw!$D$40</f>
        <v>0</v>
      </c>
      <c r="AD379" s="88">
        <f>Ruimtestaat[[#This Row],[Prest. (m2 /jaar) weekend]]+Ruimtestaat[[#This Row],[Prest. (m2 /jaar) werkdagen]]</f>
        <v>2580</v>
      </c>
      <c r="AE379" s="88">
        <f>Ruimtestaat[[#This Row],[uren / jaar weekend]]+Ruimtestaat[[#This Row],[uren / jaar werkdagen]]</f>
        <v>0</v>
      </c>
      <c r="AF379" s="89">
        <f>Ruimtestaat[[#This Row],[kosten / jaar weekend]]+Ruimtestaat[[#This Row],[kosten / jaar werkdagen]]</f>
        <v>0</v>
      </c>
    </row>
    <row r="380" spans="1:32" ht="15" customHeight="1">
      <c r="A380" s="200">
        <v>2</v>
      </c>
      <c r="B380" s="21" t="str">
        <f>VLOOKUP(Ruimtestaat[[#This Row],[Code]],Locaties[#All],2,FALSE)</f>
        <v>Stichting Facilitair Beheer Van Renneslaan</v>
      </c>
      <c r="C380" s="243" t="str">
        <f>VLOOKUP(Ruimtestaat[[#This Row],[Code]],Locaties[#All],4,FALSE)</f>
        <v>Catharina van Renneslaan 35</v>
      </c>
      <c r="D380" s="243" t="str">
        <f>VLOOKUP(Ruimtestaat[[#This Row],[Code]],Locaties[#All],5,FALSE)</f>
        <v>7604 KV</v>
      </c>
      <c r="E380" s="243" t="str">
        <f>VLOOKUP(Ruimtestaat[[#This Row],[Code]],Locaties[#All],6,FALSE)</f>
        <v>Almelo</v>
      </c>
      <c r="F380" s="244"/>
      <c r="G380" s="200" t="s">
        <v>1338</v>
      </c>
      <c r="H380" s="200"/>
      <c r="I380" s="244" t="s">
        <v>1302</v>
      </c>
      <c r="J380" s="200">
        <v>21</v>
      </c>
      <c r="K380" s="243" t="s">
        <v>112</v>
      </c>
      <c r="L380" s="200" t="s">
        <v>1341</v>
      </c>
      <c r="M380" s="213"/>
      <c r="N380" s="213">
        <v>57.2</v>
      </c>
      <c r="O380" s="243" t="str">
        <f>VLOOKUP(Ruimtestaat[[#This Row],[Ruimte code]],Ruimtegroepen[#All],4,FALSE)</f>
        <v>Niet in onderhoud</v>
      </c>
      <c r="P380" s="214"/>
      <c r="Q380" s="215"/>
      <c r="R380" s="215"/>
      <c r="S380" s="215">
        <f>IF(R380&gt;0,IF(RIGHT(Ruimtestaat[[#This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0" s="215">
        <f>IF(S380&gt;0,VLOOKUP($J380,Ruimtegroepen[],3,FALSE)*VLOOKUP($K380,Vloersoorten[],3,FALSE)*VLOOKUP($R380,Frequenties[],3,FALSE)*VLOOKUP($A380,Locaties[],3,FALSE),0)</f>
        <v>0</v>
      </c>
      <c r="U380" s="215">
        <f>Ruimtestaat[[#This Row],[Uitvoeringen werkdagen]]*Ruimtestaat[[#This Row],[Oppervlak (netto)]]</f>
        <v>0</v>
      </c>
      <c r="V380" s="259">
        <f>IF(T380&gt;0,Ruimtestaat[[#This Row],[Prest. (m2 /jaar) werkdagen]]/Ruimtestaat[[#This Row],[Norm (m2/uur) werkdagen]],0)</f>
        <v>0</v>
      </c>
      <c r="W380" s="260">
        <f>Ruimtestaat[[#This Row],[uren / jaar werkdagen]]*Tariefsopbouw!$D$38</f>
        <v>0</v>
      </c>
      <c r="X380" s="33"/>
      <c r="Y380" s="33">
        <f>IF(Ruimtestaat[[#This Row],[Frequentie weekend]]&gt;0,VALUE(LEFT(X380,1))*Q380,0)</f>
        <v>0</v>
      </c>
      <c r="Z380" s="33">
        <f>IF($Y380&gt;0,VLOOKUP($J380,Ruimtegroepen[],3,FALSE)*VLOOKUP($K380,Vloersoorten[],3,FALSE)*VLOOKUP($X380,Frequenties[],3,FALSE)*VLOOKUP(#REF!,Locaties[],3,FALSE),0)</f>
        <v>0</v>
      </c>
      <c r="AA380" s="33"/>
      <c r="AB380" s="33"/>
      <c r="AC380" s="33">
        <f>Ruimtestaat[[#This Row],[uren / jaar weekend]]*Tariefsopbouw!$D$40</f>
        <v>0</v>
      </c>
      <c r="AD380" s="88">
        <f>Ruimtestaat[[#This Row],[Prest. (m2 /jaar) weekend]]+Ruimtestaat[[#This Row],[Prest. (m2 /jaar) werkdagen]]</f>
        <v>0</v>
      </c>
      <c r="AE380" s="88">
        <f>Ruimtestaat[[#This Row],[uren / jaar weekend]]+Ruimtestaat[[#This Row],[uren / jaar werkdagen]]</f>
        <v>0</v>
      </c>
      <c r="AF380" s="89">
        <f>Ruimtestaat[[#This Row],[kosten / jaar weekend]]+Ruimtestaat[[#This Row],[kosten / jaar werkdagen]]</f>
        <v>0</v>
      </c>
    </row>
    <row r="381" spans="1:32" ht="15" customHeight="1">
      <c r="A381" s="200">
        <v>2</v>
      </c>
      <c r="B381" s="21" t="str">
        <f>VLOOKUP(Ruimtestaat[[#This Row],[Code]],Locaties[#All],2,FALSE)</f>
        <v>Stichting Facilitair Beheer Van Renneslaan</v>
      </c>
      <c r="C381" s="243" t="str">
        <f>VLOOKUP(Ruimtestaat[[#This Row],[Code]],Locaties[#All],4,FALSE)</f>
        <v>Catharina van Renneslaan 35</v>
      </c>
      <c r="D381" s="243" t="str">
        <f>VLOOKUP(Ruimtestaat[[#This Row],[Code]],Locaties[#All],5,FALSE)</f>
        <v>7604 KV</v>
      </c>
      <c r="E381" s="243" t="str">
        <f>VLOOKUP(Ruimtestaat[[#This Row],[Code]],Locaties[#All],6,FALSE)</f>
        <v>Almelo</v>
      </c>
      <c r="F381" s="244"/>
      <c r="G381" s="200" t="s">
        <v>1338</v>
      </c>
      <c r="H381" s="200"/>
      <c r="I381" s="244" t="s">
        <v>1303</v>
      </c>
      <c r="J381" s="243">
        <v>5</v>
      </c>
      <c r="K381" s="243" t="s">
        <v>111</v>
      </c>
      <c r="L381" s="200" t="s">
        <v>1340</v>
      </c>
      <c r="M381" s="213">
        <v>14.3</v>
      </c>
      <c r="N381" s="213"/>
      <c r="O381" s="243" t="str">
        <f>VLOOKUP(Ruimtestaat[[#This Row],[Ruimte code]],Ruimtegroepen[#All],4,FALSE)</f>
        <v>S  (Sanitair)</v>
      </c>
      <c r="P381" s="214"/>
      <c r="Q381" s="215">
        <v>40</v>
      </c>
      <c r="R381" s="215" t="s">
        <v>2</v>
      </c>
      <c r="S381" s="215">
        <f>IF(R381&gt;0,IF(RIGHT(Ruimtestaat[[#This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1" s="215">
        <f>IF(S381&gt;0,VLOOKUP($J381,Ruimtegroepen[],3,FALSE)*VLOOKUP($K381,Vloersoorten[],3,FALSE)*VLOOKUP($R381,Frequenties[],3,FALSE)*VLOOKUP($A381,Locaties[],3,FALSE),0)</f>
        <v>0</v>
      </c>
      <c r="U381" s="215">
        <f>Ruimtestaat[[#This Row],[Uitvoeringen werkdagen]]*Ruimtestaat[[#This Row],[Oppervlak (netto)]]</f>
        <v>2860</v>
      </c>
      <c r="V381" s="259">
        <f>IF(T381&gt;0,Ruimtestaat[[#This Row],[Prest. (m2 /jaar) werkdagen]]/Ruimtestaat[[#This Row],[Norm (m2/uur) werkdagen]],0)</f>
        <v>0</v>
      </c>
      <c r="W381" s="260">
        <f>Ruimtestaat[[#This Row],[uren / jaar werkdagen]]*Tariefsopbouw!$D$38</f>
        <v>0</v>
      </c>
      <c r="X381" s="33"/>
      <c r="Y381" s="33">
        <f>IF(Ruimtestaat[[#This Row],[Frequentie weekend]]&gt;0,VALUE(LEFT(X381,1))*Q381,0)</f>
        <v>0</v>
      </c>
      <c r="Z381" s="33">
        <f>IF($Y381&gt;0,VLOOKUP($J381,Ruimtegroepen[],3,FALSE)*VLOOKUP($K381,Vloersoorten[],3,FALSE)*VLOOKUP($X381,Frequenties[],3,FALSE)*VLOOKUP(#REF!,Locaties[],3,FALSE),0)</f>
        <v>0</v>
      </c>
      <c r="AA381" s="33"/>
      <c r="AB381" s="33"/>
      <c r="AC381" s="33">
        <f>Ruimtestaat[[#This Row],[uren / jaar weekend]]*Tariefsopbouw!$D$40</f>
        <v>0</v>
      </c>
      <c r="AD381" s="88">
        <f>Ruimtestaat[[#This Row],[Prest. (m2 /jaar) weekend]]+Ruimtestaat[[#This Row],[Prest. (m2 /jaar) werkdagen]]</f>
        <v>2860</v>
      </c>
      <c r="AE381" s="88">
        <f>Ruimtestaat[[#This Row],[uren / jaar weekend]]+Ruimtestaat[[#This Row],[uren / jaar werkdagen]]</f>
        <v>0</v>
      </c>
      <c r="AF381" s="89">
        <f>Ruimtestaat[[#This Row],[kosten / jaar weekend]]+Ruimtestaat[[#This Row],[kosten / jaar werkdagen]]</f>
        <v>0</v>
      </c>
    </row>
    <row r="382" spans="1:32" ht="15" customHeight="1">
      <c r="A382" s="200">
        <v>2</v>
      </c>
      <c r="B382" s="21" t="str">
        <f>VLOOKUP(Ruimtestaat[[#This Row],[Code]],Locaties[#All],2,FALSE)</f>
        <v>Stichting Facilitair Beheer Van Renneslaan</v>
      </c>
      <c r="C382" s="243" t="str">
        <f>VLOOKUP(Ruimtestaat[[#This Row],[Code]],Locaties[#All],4,FALSE)</f>
        <v>Catharina van Renneslaan 35</v>
      </c>
      <c r="D382" s="243" t="str">
        <f>VLOOKUP(Ruimtestaat[[#This Row],[Code]],Locaties[#All],5,FALSE)</f>
        <v>7604 KV</v>
      </c>
      <c r="E382" s="243" t="str">
        <f>VLOOKUP(Ruimtestaat[[#This Row],[Code]],Locaties[#All],6,FALSE)</f>
        <v>Almelo</v>
      </c>
      <c r="F382" s="244"/>
      <c r="G382" s="200" t="s">
        <v>1338</v>
      </c>
      <c r="H382" s="200"/>
      <c r="I382" s="244" t="s">
        <v>1069</v>
      </c>
      <c r="J382" s="200">
        <v>10</v>
      </c>
      <c r="K382" s="243" t="s">
        <v>112</v>
      </c>
      <c r="L382" s="200" t="s">
        <v>1341</v>
      </c>
      <c r="M382" s="213">
        <v>7.5</v>
      </c>
      <c r="N382" s="213"/>
      <c r="O382" s="243" t="str">
        <f>VLOOKUP(Ruimtestaat[[#This Row],[Ruimte code]],Ruimtegroepen[#All],4,FALSE)</f>
        <v>V  (Verkeersruimte)</v>
      </c>
      <c r="P382" s="214"/>
      <c r="Q382" s="215">
        <v>40</v>
      </c>
      <c r="R382" s="215" t="s">
        <v>2</v>
      </c>
      <c r="S382" s="215">
        <f>IF(R382&gt;0,IF(RIGHT(Ruimtestaat[[#This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2" s="215">
        <f>IF(S382&gt;0,VLOOKUP($J382,Ruimtegroepen[],3,FALSE)*VLOOKUP($K382,Vloersoorten[],3,FALSE)*VLOOKUP($R382,Frequenties[],3,FALSE)*VLOOKUP($A382,Locaties[],3,FALSE),0)</f>
        <v>0</v>
      </c>
      <c r="U382" s="215">
        <f>Ruimtestaat[[#This Row],[Uitvoeringen werkdagen]]*Ruimtestaat[[#This Row],[Oppervlak (netto)]]</f>
        <v>1500</v>
      </c>
      <c r="V382" s="259">
        <f>IF(T382&gt;0,Ruimtestaat[[#This Row],[Prest. (m2 /jaar) werkdagen]]/Ruimtestaat[[#This Row],[Norm (m2/uur) werkdagen]],0)</f>
        <v>0</v>
      </c>
      <c r="W382" s="260">
        <f>Ruimtestaat[[#This Row],[uren / jaar werkdagen]]*Tariefsopbouw!$D$38</f>
        <v>0</v>
      </c>
      <c r="X382" s="33"/>
      <c r="Y382" s="33">
        <f>IF(Ruimtestaat[[#This Row],[Frequentie weekend]]&gt;0,VALUE(LEFT(X382,1))*Q382,0)</f>
        <v>0</v>
      </c>
      <c r="Z382" s="33">
        <f>IF($Y382&gt;0,VLOOKUP($J382,Ruimtegroepen[],3,FALSE)*VLOOKUP($K382,Vloersoorten[],3,FALSE)*VLOOKUP($X382,Frequenties[],3,FALSE)*VLOOKUP(#REF!,Locaties[],3,FALSE),0)</f>
        <v>0</v>
      </c>
      <c r="AA382" s="33"/>
      <c r="AB382" s="33"/>
      <c r="AC382" s="33">
        <f>Ruimtestaat[[#This Row],[uren / jaar weekend]]*Tariefsopbouw!$D$40</f>
        <v>0</v>
      </c>
      <c r="AD382" s="88">
        <f>Ruimtestaat[[#This Row],[Prest. (m2 /jaar) weekend]]+Ruimtestaat[[#This Row],[Prest. (m2 /jaar) werkdagen]]</f>
        <v>1500</v>
      </c>
      <c r="AE382" s="88">
        <f>Ruimtestaat[[#This Row],[uren / jaar weekend]]+Ruimtestaat[[#This Row],[uren / jaar werkdagen]]</f>
        <v>0</v>
      </c>
      <c r="AF382" s="89">
        <f>Ruimtestaat[[#This Row],[kosten / jaar weekend]]+Ruimtestaat[[#This Row],[kosten / jaar werkdagen]]</f>
        <v>0</v>
      </c>
    </row>
    <row r="383" spans="1:32" ht="15" customHeight="1">
      <c r="A383" s="200">
        <v>2</v>
      </c>
      <c r="B383" s="21" t="str">
        <f>VLOOKUP(Ruimtestaat[[#This Row],[Code]],Locaties[#All],2,FALSE)</f>
        <v>Stichting Facilitair Beheer Van Renneslaan</v>
      </c>
      <c r="C383" s="243" t="str">
        <f>VLOOKUP(Ruimtestaat[[#This Row],[Code]],Locaties[#All],4,FALSE)</f>
        <v>Catharina van Renneslaan 35</v>
      </c>
      <c r="D383" s="243" t="str">
        <f>VLOOKUP(Ruimtestaat[[#This Row],[Code]],Locaties[#All],5,FALSE)</f>
        <v>7604 KV</v>
      </c>
      <c r="E383" s="243" t="str">
        <f>VLOOKUP(Ruimtestaat[[#This Row],[Code]],Locaties[#All],6,FALSE)</f>
        <v>Almelo</v>
      </c>
      <c r="F383" s="244"/>
      <c r="G383" s="200" t="s">
        <v>1338</v>
      </c>
      <c r="H383" s="200"/>
      <c r="I383" s="244" t="s">
        <v>1297</v>
      </c>
      <c r="J383" s="200">
        <v>6</v>
      </c>
      <c r="K383" s="243" t="s">
        <v>112</v>
      </c>
      <c r="L383" s="200" t="s">
        <v>1341</v>
      </c>
      <c r="M383" s="213">
        <v>101.9</v>
      </c>
      <c r="N383" s="213"/>
      <c r="O383" s="243" t="str">
        <f>VLOOKUP(Ruimtestaat[[#This Row],[Ruimte code]],Ruimtegroepen[#All],4,FALSE)</f>
        <v>V  (Verkeersruimte)</v>
      </c>
      <c r="P383" s="214"/>
      <c r="Q383" s="215">
        <v>40</v>
      </c>
      <c r="R383" s="215" t="s">
        <v>2</v>
      </c>
      <c r="S383" s="215">
        <f>IF(R383&gt;0,IF(RIGHT(Ruimtestaat[[#This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3" s="215">
        <f>IF(S383&gt;0,VLOOKUP($J383,Ruimtegroepen[],3,FALSE)*VLOOKUP($K383,Vloersoorten[],3,FALSE)*VLOOKUP($R383,Frequenties[],3,FALSE)*VLOOKUP($A383,Locaties[],3,FALSE),0)</f>
        <v>0</v>
      </c>
      <c r="U383" s="215">
        <f>Ruimtestaat[[#This Row],[Uitvoeringen werkdagen]]*Ruimtestaat[[#This Row],[Oppervlak (netto)]]</f>
        <v>20380</v>
      </c>
      <c r="V383" s="259">
        <f>IF(T383&gt;0,Ruimtestaat[[#This Row],[Prest. (m2 /jaar) werkdagen]]/Ruimtestaat[[#This Row],[Norm (m2/uur) werkdagen]],0)</f>
        <v>0</v>
      </c>
      <c r="W383" s="260">
        <f>Ruimtestaat[[#This Row],[uren / jaar werkdagen]]*Tariefsopbouw!$D$38</f>
        <v>0</v>
      </c>
      <c r="X383" s="33"/>
      <c r="Y383" s="33">
        <f>IF(Ruimtestaat[[#This Row],[Frequentie weekend]]&gt;0,VALUE(LEFT(X383,1))*Q383,0)</f>
        <v>0</v>
      </c>
      <c r="Z383" s="33">
        <f>IF($Y383&gt;0,VLOOKUP($J383,Ruimtegroepen[],3,FALSE)*VLOOKUP($K383,Vloersoorten[],3,FALSE)*VLOOKUP($X383,Frequenties[],3,FALSE)*VLOOKUP(#REF!,Locaties[],3,FALSE),0)</f>
        <v>0</v>
      </c>
      <c r="AA383" s="33"/>
      <c r="AB383" s="33"/>
      <c r="AC383" s="33">
        <f>Ruimtestaat[[#This Row],[uren / jaar weekend]]*Tariefsopbouw!$D$40</f>
        <v>0</v>
      </c>
      <c r="AD383" s="88">
        <f>Ruimtestaat[[#This Row],[Prest. (m2 /jaar) weekend]]+Ruimtestaat[[#This Row],[Prest. (m2 /jaar) werkdagen]]</f>
        <v>20380</v>
      </c>
      <c r="AE383" s="88">
        <f>Ruimtestaat[[#This Row],[uren / jaar weekend]]+Ruimtestaat[[#This Row],[uren / jaar werkdagen]]</f>
        <v>0</v>
      </c>
      <c r="AF383" s="89">
        <f>Ruimtestaat[[#This Row],[kosten / jaar weekend]]+Ruimtestaat[[#This Row],[kosten / jaar werkdagen]]</f>
        <v>0</v>
      </c>
    </row>
    <row r="384" spans="1:32" ht="15" customHeight="1">
      <c r="A384" s="200">
        <v>2</v>
      </c>
      <c r="B384" s="21" t="str">
        <f>VLOOKUP(Ruimtestaat[[#This Row],[Code]],Locaties[#All],2,FALSE)</f>
        <v>Stichting Facilitair Beheer Van Renneslaan</v>
      </c>
      <c r="C384" s="243" t="str">
        <f>VLOOKUP(Ruimtestaat[[#This Row],[Code]],Locaties[#All],4,FALSE)</f>
        <v>Catharina van Renneslaan 35</v>
      </c>
      <c r="D384" s="243" t="str">
        <f>VLOOKUP(Ruimtestaat[[#This Row],[Code]],Locaties[#All],5,FALSE)</f>
        <v>7604 KV</v>
      </c>
      <c r="E384" s="243" t="str">
        <f>VLOOKUP(Ruimtestaat[[#This Row],[Code]],Locaties[#All],6,FALSE)</f>
        <v>Almelo</v>
      </c>
      <c r="F384" s="244"/>
      <c r="G384" s="200" t="s">
        <v>1338</v>
      </c>
      <c r="H384" s="200"/>
      <c r="I384" s="244" t="s">
        <v>1094</v>
      </c>
      <c r="J384" s="200">
        <v>21</v>
      </c>
      <c r="K384" s="243" t="s">
        <v>111</v>
      </c>
      <c r="L384" s="200" t="s">
        <v>1340</v>
      </c>
      <c r="M384" s="213"/>
      <c r="N384" s="213">
        <v>3.1</v>
      </c>
      <c r="O384" s="243" t="str">
        <f>VLOOKUP(Ruimtestaat[[#This Row],[Ruimte code]],Ruimtegroepen[#All],4,FALSE)</f>
        <v>Niet in onderhoud</v>
      </c>
      <c r="P384" s="214"/>
      <c r="Q384" s="215"/>
      <c r="R384" s="215"/>
      <c r="S384" s="215">
        <f>IF(R384&gt;0,IF(RIGHT(Ruimtestaat[[#This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84" s="215">
        <f>IF(S384&gt;0,VLOOKUP($J384,Ruimtegroepen[],3,FALSE)*VLOOKUP($K384,Vloersoorten[],3,FALSE)*VLOOKUP($R384,Frequenties[],3,FALSE)*VLOOKUP($A384,Locaties[],3,FALSE),0)</f>
        <v>0</v>
      </c>
      <c r="U384" s="215">
        <f>Ruimtestaat[[#This Row],[Uitvoeringen werkdagen]]*Ruimtestaat[[#This Row],[Oppervlak (netto)]]</f>
        <v>0</v>
      </c>
      <c r="V384" s="259">
        <f>IF(T384&gt;0,Ruimtestaat[[#This Row],[Prest. (m2 /jaar) werkdagen]]/Ruimtestaat[[#This Row],[Norm (m2/uur) werkdagen]],0)</f>
        <v>0</v>
      </c>
      <c r="W384" s="260">
        <f>Ruimtestaat[[#This Row],[uren / jaar werkdagen]]*Tariefsopbouw!$D$38</f>
        <v>0</v>
      </c>
      <c r="X384" s="33"/>
      <c r="Y384" s="33">
        <f>IF(Ruimtestaat[[#This Row],[Frequentie weekend]]&gt;0,VALUE(LEFT(X384,1))*Q384,0)</f>
        <v>0</v>
      </c>
      <c r="Z384" s="33">
        <f>IF($Y384&gt;0,VLOOKUP($J384,Ruimtegroepen[],3,FALSE)*VLOOKUP($K384,Vloersoorten[],3,FALSE)*VLOOKUP($X384,Frequenties[],3,FALSE)*VLOOKUP(#REF!,Locaties[],3,FALSE),0)</f>
        <v>0</v>
      </c>
      <c r="AA384" s="33"/>
      <c r="AB384" s="33"/>
      <c r="AC384" s="33">
        <f>Ruimtestaat[[#This Row],[uren / jaar weekend]]*Tariefsopbouw!$D$40</f>
        <v>0</v>
      </c>
      <c r="AD384" s="88">
        <f>Ruimtestaat[[#This Row],[Prest. (m2 /jaar) weekend]]+Ruimtestaat[[#This Row],[Prest. (m2 /jaar) werkdagen]]</f>
        <v>0</v>
      </c>
      <c r="AE384" s="88">
        <f>Ruimtestaat[[#This Row],[uren / jaar weekend]]+Ruimtestaat[[#This Row],[uren / jaar werkdagen]]</f>
        <v>0</v>
      </c>
      <c r="AF384" s="89">
        <f>Ruimtestaat[[#This Row],[kosten / jaar weekend]]+Ruimtestaat[[#This Row],[kosten / jaar werkdagen]]</f>
        <v>0</v>
      </c>
    </row>
    <row r="385" spans="1:32" ht="15" customHeight="1">
      <c r="A385" s="200">
        <v>2</v>
      </c>
      <c r="B385" s="21" t="str">
        <f>VLOOKUP(Ruimtestaat[[#This Row],[Code]],Locaties[#All],2,FALSE)</f>
        <v>Stichting Facilitair Beheer Van Renneslaan</v>
      </c>
      <c r="C385" s="243" t="str">
        <f>VLOOKUP(Ruimtestaat[[#This Row],[Code]],Locaties[#All],4,FALSE)</f>
        <v>Catharina van Renneslaan 35</v>
      </c>
      <c r="D385" s="243" t="str">
        <f>VLOOKUP(Ruimtestaat[[#This Row],[Code]],Locaties[#All],5,FALSE)</f>
        <v>7604 KV</v>
      </c>
      <c r="E385" s="243" t="str">
        <f>VLOOKUP(Ruimtestaat[[#This Row],[Code]],Locaties[#All],6,FALSE)</f>
        <v>Almelo</v>
      </c>
      <c r="F385" s="244"/>
      <c r="G385" s="200" t="s">
        <v>1338</v>
      </c>
      <c r="H385" s="200"/>
      <c r="I385" s="244" t="s">
        <v>1285</v>
      </c>
      <c r="J385" s="243">
        <v>5</v>
      </c>
      <c r="K385" s="243" t="s">
        <v>111</v>
      </c>
      <c r="L385" s="200" t="s">
        <v>1340</v>
      </c>
      <c r="M385" s="213">
        <v>18.600000000000001</v>
      </c>
      <c r="N385" s="213"/>
      <c r="O385" s="243" t="str">
        <f>VLOOKUP(Ruimtestaat[[#This Row],[Ruimte code]],Ruimtegroepen[#All],4,FALSE)</f>
        <v>S  (Sanitair)</v>
      </c>
      <c r="P385" s="214"/>
      <c r="Q385" s="215">
        <v>40</v>
      </c>
      <c r="R385" s="215" t="s">
        <v>2</v>
      </c>
      <c r="S385" s="215">
        <f>IF(R385&gt;0,IF(RIGHT(Ruimtestaat[[#This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5" s="215">
        <f>IF(S385&gt;0,VLOOKUP($J385,Ruimtegroepen[],3,FALSE)*VLOOKUP($K385,Vloersoorten[],3,FALSE)*VLOOKUP($R385,Frequenties[],3,FALSE)*VLOOKUP($A385,Locaties[],3,FALSE),0)</f>
        <v>0</v>
      </c>
      <c r="U385" s="215">
        <f>Ruimtestaat[[#This Row],[Uitvoeringen werkdagen]]*Ruimtestaat[[#This Row],[Oppervlak (netto)]]</f>
        <v>3720.0000000000005</v>
      </c>
      <c r="V385" s="259">
        <f>IF(T385&gt;0,Ruimtestaat[[#This Row],[Prest. (m2 /jaar) werkdagen]]/Ruimtestaat[[#This Row],[Norm (m2/uur) werkdagen]],0)</f>
        <v>0</v>
      </c>
      <c r="W385" s="260">
        <f>Ruimtestaat[[#This Row],[uren / jaar werkdagen]]*Tariefsopbouw!$D$38</f>
        <v>0</v>
      </c>
      <c r="X385" s="33"/>
      <c r="Y385" s="33">
        <f>IF(Ruimtestaat[[#This Row],[Frequentie weekend]]&gt;0,VALUE(LEFT(X385,1))*Q385,0)</f>
        <v>0</v>
      </c>
      <c r="Z385" s="33">
        <f>IF($Y385&gt;0,VLOOKUP($J385,Ruimtegroepen[],3,FALSE)*VLOOKUP($K385,Vloersoorten[],3,FALSE)*VLOOKUP($X385,Frequenties[],3,FALSE)*VLOOKUP(#REF!,Locaties[],3,FALSE),0)</f>
        <v>0</v>
      </c>
      <c r="AA385" s="33"/>
      <c r="AB385" s="33"/>
      <c r="AC385" s="33">
        <f>Ruimtestaat[[#This Row],[uren / jaar weekend]]*Tariefsopbouw!$D$40</f>
        <v>0</v>
      </c>
      <c r="AD385" s="88">
        <f>Ruimtestaat[[#This Row],[Prest. (m2 /jaar) weekend]]+Ruimtestaat[[#This Row],[Prest. (m2 /jaar) werkdagen]]</f>
        <v>3720.0000000000005</v>
      </c>
      <c r="AE385" s="88">
        <f>Ruimtestaat[[#This Row],[uren / jaar weekend]]+Ruimtestaat[[#This Row],[uren / jaar werkdagen]]</f>
        <v>0</v>
      </c>
      <c r="AF385" s="89">
        <f>Ruimtestaat[[#This Row],[kosten / jaar weekend]]+Ruimtestaat[[#This Row],[kosten / jaar werkdagen]]</f>
        <v>0</v>
      </c>
    </row>
    <row r="386" spans="1:32" ht="15" customHeight="1">
      <c r="A386" s="200">
        <v>2</v>
      </c>
      <c r="B386" s="21" t="str">
        <f>VLOOKUP(Ruimtestaat[[#This Row],[Code]],Locaties[#All],2,FALSE)</f>
        <v>Stichting Facilitair Beheer Van Renneslaan</v>
      </c>
      <c r="C386" s="243" t="str">
        <f>VLOOKUP(Ruimtestaat[[#This Row],[Code]],Locaties[#All],4,FALSE)</f>
        <v>Catharina van Renneslaan 35</v>
      </c>
      <c r="D386" s="243" t="str">
        <f>VLOOKUP(Ruimtestaat[[#This Row],[Code]],Locaties[#All],5,FALSE)</f>
        <v>7604 KV</v>
      </c>
      <c r="E386" s="243" t="str">
        <f>VLOOKUP(Ruimtestaat[[#This Row],[Code]],Locaties[#All],6,FALSE)</f>
        <v>Almelo</v>
      </c>
      <c r="F386" s="244"/>
      <c r="G386" s="200" t="s">
        <v>1338</v>
      </c>
      <c r="H386" s="200"/>
      <c r="I386" s="244" t="s">
        <v>1304</v>
      </c>
      <c r="J386" s="200">
        <v>6</v>
      </c>
      <c r="K386" s="243" t="s">
        <v>112</v>
      </c>
      <c r="L386" s="200" t="s">
        <v>1341</v>
      </c>
      <c r="M386" s="213">
        <v>18.899999999999999</v>
      </c>
      <c r="N386" s="213"/>
      <c r="O386" s="243" t="str">
        <f>VLOOKUP(Ruimtestaat[[#This Row],[Ruimte code]],Ruimtegroepen[#All],4,FALSE)</f>
        <v>V  (Verkeersruimte)</v>
      </c>
      <c r="P386" s="214"/>
      <c r="Q386" s="215">
        <v>40</v>
      </c>
      <c r="R386" s="215" t="s">
        <v>2</v>
      </c>
      <c r="S386" s="215">
        <f>IF(R386&gt;0,IF(RIGHT(Ruimtestaat[[#This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6" s="215">
        <f>IF(S386&gt;0,VLOOKUP($J386,Ruimtegroepen[],3,FALSE)*VLOOKUP($K386,Vloersoorten[],3,FALSE)*VLOOKUP($R386,Frequenties[],3,FALSE)*VLOOKUP($A386,Locaties[],3,FALSE),0)</f>
        <v>0</v>
      </c>
      <c r="U386" s="215">
        <f>Ruimtestaat[[#This Row],[Uitvoeringen werkdagen]]*Ruimtestaat[[#This Row],[Oppervlak (netto)]]</f>
        <v>3779.9999999999995</v>
      </c>
      <c r="V386" s="259">
        <f>IF(T386&gt;0,Ruimtestaat[[#This Row],[Prest. (m2 /jaar) werkdagen]]/Ruimtestaat[[#This Row],[Norm (m2/uur) werkdagen]],0)</f>
        <v>0</v>
      </c>
      <c r="W386" s="260">
        <f>Ruimtestaat[[#This Row],[uren / jaar werkdagen]]*Tariefsopbouw!$D$38</f>
        <v>0</v>
      </c>
      <c r="X386" s="33"/>
      <c r="Y386" s="33">
        <f>IF(Ruimtestaat[[#This Row],[Frequentie weekend]]&gt;0,VALUE(LEFT(X386,1))*Q386,0)</f>
        <v>0</v>
      </c>
      <c r="Z386" s="33">
        <f>IF($Y386&gt;0,VLOOKUP($J386,Ruimtegroepen[],3,FALSE)*VLOOKUP($K386,Vloersoorten[],3,FALSE)*VLOOKUP($X386,Frequenties[],3,FALSE)*VLOOKUP(#REF!,Locaties[],3,FALSE),0)</f>
        <v>0</v>
      </c>
      <c r="AA386" s="33"/>
      <c r="AB386" s="33"/>
      <c r="AC386" s="33">
        <f>Ruimtestaat[[#This Row],[uren / jaar weekend]]*Tariefsopbouw!$D$40</f>
        <v>0</v>
      </c>
      <c r="AD386" s="88">
        <f>Ruimtestaat[[#This Row],[Prest. (m2 /jaar) weekend]]+Ruimtestaat[[#This Row],[Prest. (m2 /jaar) werkdagen]]</f>
        <v>3779.9999999999995</v>
      </c>
      <c r="AE386" s="88">
        <f>Ruimtestaat[[#This Row],[uren / jaar weekend]]+Ruimtestaat[[#This Row],[uren / jaar werkdagen]]</f>
        <v>0</v>
      </c>
      <c r="AF386" s="89">
        <f>Ruimtestaat[[#This Row],[kosten / jaar weekend]]+Ruimtestaat[[#This Row],[kosten / jaar werkdagen]]</f>
        <v>0</v>
      </c>
    </row>
    <row r="387" spans="1:32" ht="15" customHeight="1">
      <c r="A387" s="200">
        <v>2</v>
      </c>
      <c r="B387" s="21" t="str">
        <f>VLOOKUP(Ruimtestaat[[#This Row],[Code]],Locaties[#All],2,FALSE)</f>
        <v>Stichting Facilitair Beheer Van Renneslaan</v>
      </c>
      <c r="C387" s="243" t="str">
        <f>VLOOKUP(Ruimtestaat[[#This Row],[Code]],Locaties[#All],4,FALSE)</f>
        <v>Catharina van Renneslaan 35</v>
      </c>
      <c r="D387" s="243" t="str">
        <f>VLOOKUP(Ruimtestaat[[#This Row],[Code]],Locaties[#All],5,FALSE)</f>
        <v>7604 KV</v>
      </c>
      <c r="E387" s="243" t="str">
        <f>VLOOKUP(Ruimtestaat[[#This Row],[Code]],Locaties[#All],6,FALSE)</f>
        <v>Almelo</v>
      </c>
      <c r="F387" s="244" t="s">
        <v>1343</v>
      </c>
      <c r="G387" s="200" t="s">
        <v>1338</v>
      </c>
      <c r="H387" s="200"/>
      <c r="I387" s="244" t="s">
        <v>1305</v>
      </c>
      <c r="J387" s="200">
        <v>16</v>
      </c>
      <c r="K387" s="243" t="s">
        <v>1040</v>
      </c>
      <c r="L387" s="200" t="s">
        <v>999</v>
      </c>
      <c r="M387" s="213">
        <v>159.30000000000001</v>
      </c>
      <c r="N387" s="213"/>
      <c r="O387" s="243" t="str">
        <f>VLOOKUP(Ruimtestaat[[#This Row],[Ruimte code]],Ruimtegroepen[#All],4,FALSE)</f>
        <v>L  (Lesruimte)</v>
      </c>
      <c r="P387" s="214"/>
      <c r="Q387" s="215">
        <v>40</v>
      </c>
      <c r="R387" s="215" t="s">
        <v>2</v>
      </c>
      <c r="S387" s="215">
        <f>IF(R387&gt;0,IF(RIGHT(Ruimtestaat[[#This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7" s="215">
        <f>IF(S387&gt;0,VLOOKUP($J387,Ruimtegroepen[],3,FALSE)*VLOOKUP($K387,Vloersoorten[],3,FALSE)*VLOOKUP($R387,Frequenties[],3,FALSE)*VLOOKUP($A387,Locaties[],3,FALSE),0)</f>
        <v>0</v>
      </c>
      <c r="U387" s="215">
        <f>Ruimtestaat[[#This Row],[Uitvoeringen werkdagen]]*Ruimtestaat[[#This Row],[Oppervlak (netto)]]</f>
        <v>31860.000000000004</v>
      </c>
      <c r="V387" s="259">
        <f>IF(T387&gt;0,Ruimtestaat[[#This Row],[Prest. (m2 /jaar) werkdagen]]/Ruimtestaat[[#This Row],[Norm (m2/uur) werkdagen]],0)</f>
        <v>0</v>
      </c>
      <c r="W387" s="260">
        <f>Ruimtestaat[[#This Row],[uren / jaar werkdagen]]*Tariefsopbouw!$D$38</f>
        <v>0</v>
      </c>
      <c r="X387" s="33"/>
      <c r="Y387" s="33">
        <f>IF(Ruimtestaat[[#This Row],[Frequentie weekend]]&gt;0,VALUE(LEFT(X387,1))*Q387,0)</f>
        <v>0</v>
      </c>
      <c r="Z387" s="33">
        <f>IF($Y387&gt;0,VLOOKUP($J387,Ruimtegroepen[],3,FALSE)*VLOOKUP($K387,Vloersoorten[],3,FALSE)*VLOOKUP($X387,Frequenties[],3,FALSE)*VLOOKUP(#REF!,Locaties[],3,FALSE),0)</f>
        <v>0</v>
      </c>
      <c r="AA387" s="33"/>
      <c r="AB387" s="33"/>
      <c r="AC387" s="33">
        <f>Ruimtestaat[[#This Row],[uren / jaar weekend]]*Tariefsopbouw!$D$40</f>
        <v>0</v>
      </c>
      <c r="AD387" s="88">
        <f>Ruimtestaat[[#This Row],[Prest. (m2 /jaar) weekend]]+Ruimtestaat[[#This Row],[Prest. (m2 /jaar) werkdagen]]</f>
        <v>31860.000000000004</v>
      </c>
      <c r="AE387" s="88">
        <f>Ruimtestaat[[#This Row],[uren / jaar weekend]]+Ruimtestaat[[#This Row],[uren / jaar werkdagen]]</f>
        <v>0</v>
      </c>
      <c r="AF387" s="89">
        <f>Ruimtestaat[[#This Row],[kosten / jaar weekend]]+Ruimtestaat[[#This Row],[kosten / jaar werkdagen]]</f>
        <v>0</v>
      </c>
    </row>
    <row r="388" spans="1:32" ht="15" customHeight="1">
      <c r="A388" s="200">
        <v>2</v>
      </c>
      <c r="B388" s="21" t="str">
        <f>VLOOKUP(Ruimtestaat[[#This Row],[Code]],Locaties[#All],2,FALSE)</f>
        <v>Stichting Facilitair Beheer Van Renneslaan</v>
      </c>
      <c r="C388" s="243" t="str">
        <f>VLOOKUP(Ruimtestaat[[#This Row],[Code]],Locaties[#All],4,FALSE)</f>
        <v>Catharina van Renneslaan 35</v>
      </c>
      <c r="D388" s="243" t="str">
        <f>VLOOKUP(Ruimtestaat[[#This Row],[Code]],Locaties[#All],5,FALSE)</f>
        <v>7604 KV</v>
      </c>
      <c r="E388" s="243" t="str">
        <f>VLOOKUP(Ruimtestaat[[#This Row],[Code]],Locaties[#All],6,FALSE)</f>
        <v>Almelo</v>
      </c>
      <c r="F388" s="244" t="s">
        <v>1343</v>
      </c>
      <c r="G388" s="200" t="s">
        <v>1338</v>
      </c>
      <c r="H388" s="200"/>
      <c r="I388" s="244" t="s">
        <v>1306</v>
      </c>
      <c r="J388" s="200">
        <v>8</v>
      </c>
      <c r="K388" s="243" t="s">
        <v>1040</v>
      </c>
      <c r="L388" s="200" t="s">
        <v>999</v>
      </c>
      <c r="M388" s="213">
        <v>13.1</v>
      </c>
      <c r="N388" s="213"/>
      <c r="O388" s="243" t="str">
        <f>VLOOKUP(Ruimtestaat[[#This Row],[Ruimte code]],Ruimtegroepen[#All],4,FALSE)</f>
        <v>L  (Lesruimte)</v>
      </c>
      <c r="P388" s="214"/>
      <c r="Q388" s="215">
        <v>40</v>
      </c>
      <c r="R388" s="215" t="s">
        <v>2</v>
      </c>
      <c r="S388" s="215">
        <f>IF(R388&gt;0,IF(RIGHT(Ruimtestaat[[#This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8" s="215">
        <f>IF(S388&gt;0,VLOOKUP($J388,Ruimtegroepen[],3,FALSE)*VLOOKUP($K388,Vloersoorten[],3,FALSE)*VLOOKUP($R388,Frequenties[],3,FALSE)*VLOOKUP($A388,Locaties[],3,FALSE),0)</f>
        <v>0</v>
      </c>
      <c r="U388" s="215">
        <f>Ruimtestaat[[#This Row],[Uitvoeringen werkdagen]]*Ruimtestaat[[#This Row],[Oppervlak (netto)]]</f>
        <v>2620</v>
      </c>
      <c r="V388" s="259">
        <f>IF(T388&gt;0,Ruimtestaat[[#This Row],[Prest. (m2 /jaar) werkdagen]]/Ruimtestaat[[#This Row],[Norm (m2/uur) werkdagen]],0)</f>
        <v>0</v>
      </c>
      <c r="W388" s="260">
        <f>Ruimtestaat[[#This Row],[uren / jaar werkdagen]]*Tariefsopbouw!$D$38</f>
        <v>0</v>
      </c>
      <c r="X388" s="33"/>
      <c r="Y388" s="33">
        <f>IF(Ruimtestaat[[#This Row],[Frequentie weekend]]&gt;0,VALUE(LEFT(X388,1))*Q388,0)</f>
        <v>0</v>
      </c>
      <c r="Z388" s="33">
        <f>IF($Y388&gt;0,VLOOKUP($J388,Ruimtegroepen[],3,FALSE)*VLOOKUP($K388,Vloersoorten[],3,FALSE)*VLOOKUP($X388,Frequenties[],3,FALSE)*VLOOKUP(#REF!,Locaties[],3,FALSE),0)</f>
        <v>0</v>
      </c>
      <c r="AA388" s="33"/>
      <c r="AB388" s="33"/>
      <c r="AC388" s="33">
        <f>Ruimtestaat[[#This Row],[uren / jaar weekend]]*Tariefsopbouw!$D$40</f>
        <v>0</v>
      </c>
      <c r="AD388" s="88">
        <f>Ruimtestaat[[#This Row],[Prest. (m2 /jaar) weekend]]+Ruimtestaat[[#This Row],[Prest. (m2 /jaar) werkdagen]]</f>
        <v>2620</v>
      </c>
      <c r="AE388" s="88">
        <f>Ruimtestaat[[#This Row],[uren / jaar weekend]]+Ruimtestaat[[#This Row],[uren / jaar werkdagen]]</f>
        <v>0</v>
      </c>
      <c r="AF388" s="89">
        <f>Ruimtestaat[[#This Row],[kosten / jaar weekend]]+Ruimtestaat[[#This Row],[kosten / jaar werkdagen]]</f>
        <v>0</v>
      </c>
    </row>
    <row r="389" spans="1:32" ht="15" customHeight="1">
      <c r="A389" s="200">
        <v>2</v>
      </c>
      <c r="B389" s="21" t="str">
        <f>VLOOKUP(Ruimtestaat[[#This Row],[Code]],Locaties[#All],2,FALSE)</f>
        <v>Stichting Facilitair Beheer Van Renneslaan</v>
      </c>
      <c r="C389" s="243" t="str">
        <f>VLOOKUP(Ruimtestaat[[#This Row],[Code]],Locaties[#All],4,FALSE)</f>
        <v>Catharina van Renneslaan 35</v>
      </c>
      <c r="D389" s="243" t="str">
        <f>VLOOKUP(Ruimtestaat[[#This Row],[Code]],Locaties[#All],5,FALSE)</f>
        <v>7604 KV</v>
      </c>
      <c r="E389" s="243" t="str">
        <f>VLOOKUP(Ruimtestaat[[#This Row],[Code]],Locaties[#All],6,FALSE)</f>
        <v>Almelo</v>
      </c>
      <c r="F389" s="244" t="s">
        <v>1343</v>
      </c>
      <c r="G389" s="200" t="s">
        <v>1338</v>
      </c>
      <c r="H389" s="200"/>
      <c r="I389" s="244" t="s">
        <v>1307</v>
      </c>
      <c r="J389" s="200">
        <v>16</v>
      </c>
      <c r="K389" s="243" t="s">
        <v>1040</v>
      </c>
      <c r="L389" s="200" t="s">
        <v>999</v>
      </c>
      <c r="M389" s="213">
        <v>40.700000000000003</v>
      </c>
      <c r="N389" s="213"/>
      <c r="O389" s="243" t="str">
        <f>VLOOKUP(Ruimtestaat[[#This Row],[Ruimte code]],Ruimtegroepen[#All],4,FALSE)</f>
        <v>L  (Lesruimte)</v>
      </c>
      <c r="P389" s="214"/>
      <c r="Q389" s="215">
        <v>40</v>
      </c>
      <c r="R389" s="215" t="s">
        <v>2</v>
      </c>
      <c r="S389" s="215">
        <f>IF(R389&gt;0,IF(RIGHT(Ruimtestaat[[#This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89" s="215">
        <f>IF(S389&gt;0,VLOOKUP($J389,Ruimtegroepen[],3,FALSE)*VLOOKUP($K389,Vloersoorten[],3,FALSE)*VLOOKUP($R389,Frequenties[],3,FALSE)*VLOOKUP($A389,Locaties[],3,FALSE),0)</f>
        <v>0</v>
      </c>
      <c r="U389" s="215">
        <f>Ruimtestaat[[#This Row],[Uitvoeringen werkdagen]]*Ruimtestaat[[#This Row],[Oppervlak (netto)]]</f>
        <v>8140.0000000000009</v>
      </c>
      <c r="V389" s="259">
        <f>IF(T389&gt;0,Ruimtestaat[[#This Row],[Prest. (m2 /jaar) werkdagen]]/Ruimtestaat[[#This Row],[Norm (m2/uur) werkdagen]],0)</f>
        <v>0</v>
      </c>
      <c r="W389" s="260">
        <f>Ruimtestaat[[#This Row],[uren / jaar werkdagen]]*Tariefsopbouw!$D$38</f>
        <v>0</v>
      </c>
      <c r="X389" s="33"/>
      <c r="Y389" s="33">
        <f>IF(Ruimtestaat[[#This Row],[Frequentie weekend]]&gt;0,VALUE(LEFT(X389,1))*Q389,0)</f>
        <v>0</v>
      </c>
      <c r="Z389" s="33">
        <f>IF($Y389&gt;0,VLOOKUP($J389,Ruimtegroepen[],3,FALSE)*VLOOKUP($K389,Vloersoorten[],3,FALSE)*VLOOKUP($X389,Frequenties[],3,FALSE)*VLOOKUP(#REF!,Locaties[],3,FALSE),0)</f>
        <v>0</v>
      </c>
      <c r="AA389" s="33"/>
      <c r="AB389" s="33"/>
      <c r="AC389" s="33">
        <f>Ruimtestaat[[#This Row],[uren / jaar weekend]]*Tariefsopbouw!$D$40</f>
        <v>0</v>
      </c>
      <c r="AD389" s="88">
        <f>Ruimtestaat[[#This Row],[Prest. (m2 /jaar) weekend]]+Ruimtestaat[[#This Row],[Prest. (m2 /jaar) werkdagen]]</f>
        <v>8140.0000000000009</v>
      </c>
      <c r="AE389" s="88">
        <f>Ruimtestaat[[#This Row],[uren / jaar weekend]]+Ruimtestaat[[#This Row],[uren / jaar werkdagen]]</f>
        <v>0</v>
      </c>
      <c r="AF389" s="89">
        <f>Ruimtestaat[[#This Row],[kosten / jaar weekend]]+Ruimtestaat[[#This Row],[kosten / jaar werkdagen]]</f>
        <v>0</v>
      </c>
    </row>
    <row r="390" spans="1:32" ht="15" customHeight="1">
      <c r="A390" s="200">
        <v>2</v>
      </c>
      <c r="B390" s="21" t="str">
        <f>VLOOKUP(Ruimtestaat[[#This Row],[Code]],Locaties[#All],2,FALSE)</f>
        <v>Stichting Facilitair Beheer Van Renneslaan</v>
      </c>
      <c r="C390" s="243" t="str">
        <f>VLOOKUP(Ruimtestaat[[#This Row],[Code]],Locaties[#All],4,FALSE)</f>
        <v>Catharina van Renneslaan 35</v>
      </c>
      <c r="D390" s="243" t="str">
        <f>VLOOKUP(Ruimtestaat[[#This Row],[Code]],Locaties[#All],5,FALSE)</f>
        <v>7604 KV</v>
      </c>
      <c r="E390" s="243" t="str">
        <f>VLOOKUP(Ruimtestaat[[#This Row],[Code]],Locaties[#All],6,FALSE)</f>
        <v>Almelo</v>
      </c>
      <c r="F390" s="244" t="s">
        <v>1342</v>
      </c>
      <c r="G390" s="200" t="s">
        <v>1338</v>
      </c>
      <c r="H390" s="200"/>
      <c r="I390" s="244" t="s">
        <v>1308</v>
      </c>
      <c r="J390" s="215">
        <v>8</v>
      </c>
      <c r="K390" s="243" t="s">
        <v>1040</v>
      </c>
      <c r="L390" s="200" t="s">
        <v>999</v>
      </c>
      <c r="M390" s="213">
        <v>114.9</v>
      </c>
      <c r="N390" s="213"/>
      <c r="O390" s="243" t="str">
        <f>VLOOKUP(Ruimtestaat[[#This Row],[Ruimte code]],Ruimtegroepen[#All],4,FALSE)</f>
        <v>L  (Lesruimte)</v>
      </c>
      <c r="P390" s="214"/>
      <c r="Q390" s="215">
        <v>40</v>
      </c>
      <c r="R390" s="215" t="s">
        <v>2</v>
      </c>
      <c r="S390" s="215">
        <f>IF(R390&gt;0,IF(RIGHT(Ruimtestaat[[#This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0" s="215">
        <f>IF(S390&gt;0,VLOOKUP($J390,Ruimtegroepen[],3,FALSE)*VLOOKUP($K390,Vloersoorten[],3,FALSE)*VLOOKUP($R390,Frequenties[],3,FALSE)*VLOOKUP($A390,Locaties[],3,FALSE),0)</f>
        <v>0</v>
      </c>
      <c r="U390" s="215">
        <f>Ruimtestaat[[#This Row],[Uitvoeringen werkdagen]]*Ruimtestaat[[#This Row],[Oppervlak (netto)]]</f>
        <v>22980</v>
      </c>
      <c r="V390" s="259">
        <f>IF(T390&gt;0,Ruimtestaat[[#This Row],[Prest. (m2 /jaar) werkdagen]]/Ruimtestaat[[#This Row],[Norm (m2/uur) werkdagen]],0)</f>
        <v>0</v>
      </c>
      <c r="W390" s="260">
        <f>Ruimtestaat[[#This Row],[uren / jaar werkdagen]]*Tariefsopbouw!$D$38</f>
        <v>0</v>
      </c>
      <c r="X390" s="33"/>
      <c r="Y390" s="33">
        <f>IF(Ruimtestaat[[#This Row],[Frequentie weekend]]&gt;0,VALUE(LEFT(X390,1))*Q390,0)</f>
        <v>0</v>
      </c>
      <c r="Z390" s="33">
        <f>IF($Y390&gt;0,VLOOKUP($J390,Ruimtegroepen[],3,FALSE)*VLOOKUP($K390,Vloersoorten[],3,FALSE)*VLOOKUP($X390,Frequenties[],3,FALSE)*VLOOKUP(#REF!,Locaties[],3,FALSE),0)</f>
        <v>0</v>
      </c>
      <c r="AA390" s="33"/>
      <c r="AB390" s="33"/>
      <c r="AC390" s="33">
        <f>Ruimtestaat[[#This Row],[uren / jaar weekend]]*Tariefsopbouw!$D$40</f>
        <v>0</v>
      </c>
      <c r="AD390" s="88">
        <f>Ruimtestaat[[#This Row],[Prest. (m2 /jaar) weekend]]+Ruimtestaat[[#This Row],[Prest. (m2 /jaar) werkdagen]]</f>
        <v>22980</v>
      </c>
      <c r="AE390" s="88">
        <f>Ruimtestaat[[#This Row],[uren / jaar weekend]]+Ruimtestaat[[#This Row],[uren / jaar werkdagen]]</f>
        <v>0</v>
      </c>
      <c r="AF390" s="89">
        <f>Ruimtestaat[[#This Row],[kosten / jaar weekend]]+Ruimtestaat[[#This Row],[kosten / jaar werkdagen]]</f>
        <v>0</v>
      </c>
    </row>
    <row r="391" spans="1:32" ht="15" customHeight="1">
      <c r="A391" s="200">
        <v>2</v>
      </c>
      <c r="B391" s="21" t="str">
        <f>VLOOKUP(Ruimtestaat[[#This Row],[Code]],Locaties[#All],2,FALSE)</f>
        <v>Stichting Facilitair Beheer Van Renneslaan</v>
      </c>
      <c r="C391" s="243" t="str">
        <f>VLOOKUP(Ruimtestaat[[#This Row],[Code]],Locaties[#All],4,FALSE)</f>
        <v>Catharina van Renneslaan 35</v>
      </c>
      <c r="D391" s="243" t="str">
        <f>VLOOKUP(Ruimtestaat[[#This Row],[Code]],Locaties[#All],5,FALSE)</f>
        <v>7604 KV</v>
      </c>
      <c r="E391" s="243" t="str">
        <f>VLOOKUP(Ruimtestaat[[#This Row],[Code]],Locaties[#All],6,FALSE)</f>
        <v>Almelo</v>
      </c>
      <c r="F391" s="244" t="s">
        <v>1342</v>
      </c>
      <c r="G391" s="200" t="s">
        <v>1338</v>
      </c>
      <c r="H391" s="200"/>
      <c r="I391" s="244" t="s">
        <v>1309</v>
      </c>
      <c r="J391" s="243">
        <v>16</v>
      </c>
      <c r="K391" s="243" t="s">
        <v>1040</v>
      </c>
      <c r="L391" s="200" t="s">
        <v>999</v>
      </c>
      <c r="M391" s="213">
        <v>42.8</v>
      </c>
      <c r="N391" s="213"/>
      <c r="O391" s="243" t="str">
        <f>VLOOKUP(Ruimtestaat[[#This Row],[Ruimte code]],Ruimtegroepen[#All],4,FALSE)</f>
        <v>L  (Lesruimte)</v>
      </c>
      <c r="P391" s="214"/>
      <c r="Q391" s="215">
        <v>40</v>
      </c>
      <c r="R391" s="215" t="s">
        <v>2</v>
      </c>
      <c r="S391" s="215">
        <f>IF(R391&gt;0,IF(RIGHT(Ruimtestaat[[#This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1" s="215">
        <f>IF(S391&gt;0,VLOOKUP($J391,Ruimtegroepen[],3,FALSE)*VLOOKUP($K391,Vloersoorten[],3,FALSE)*VLOOKUP($R391,Frequenties[],3,FALSE)*VLOOKUP($A391,Locaties[],3,FALSE),0)</f>
        <v>0</v>
      </c>
      <c r="U391" s="215">
        <f>Ruimtestaat[[#This Row],[Uitvoeringen werkdagen]]*Ruimtestaat[[#This Row],[Oppervlak (netto)]]</f>
        <v>8560</v>
      </c>
      <c r="V391" s="259">
        <f>IF(T391&gt;0,Ruimtestaat[[#This Row],[Prest. (m2 /jaar) werkdagen]]/Ruimtestaat[[#This Row],[Norm (m2/uur) werkdagen]],0)</f>
        <v>0</v>
      </c>
      <c r="W391" s="260">
        <f>Ruimtestaat[[#This Row],[uren / jaar werkdagen]]*Tariefsopbouw!$D$38</f>
        <v>0</v>
      </c>
      <c r="X391" s="33"/>
      <c r="Y391" s="33">
        <f>IF(Ruimtestaat[[#This Row],[Frequentie weekend]]&gt;0,VALUE(LEFT(X391,1))*Q391,0)</f>
        <v>0</v>
      </c>
      <c r="Z391" s="33">
        <f>IF($Y391&gt;0,VLOOKUP($J391,Ruimtegroepen[],3,FALSE)*VLOOKUP($K391,Vloersoorten[],3,FALSE)*VLOOKUP($X391,Frequenties[],3,FALSE)*VLOOKUP(#REF!,Locaties[],3,FALSE),0)</f>
        <v>0</v>
      </c>
      <c r="AA391" s="33"/>
      <c r="AB391" s="33"/>
      <c r="AC391" s="33">
        <f>Ruimtestaat[[#This Row],[uren / jaar weekend]]*Tariefsopbouw!$D$40</f>
        <v>0</v>
      </c>
      <c r="AD391" s="88">
        <f>Ruimtestaat[[#This Row],[Prest. (m2 /jaar) weekend]]+Ruimtestaat[[#This Row],[Prest. (m2 /jaar) werkdagen]]</f>
        <v>8560</v>
      </c>
      <c r="AE391" s="88">
        <f>Ruimtestaat[[#This Row],[uren / jaar weekend]]+Ruimtestaat[[#This Row],[uren / jaar werkdagen]]</f>
        <v>0</v>
      </c>
      <c r="AF391" s="89">
        <f>Ruimtestaat[[#This Row],[kosten / jaar weekend]]+Ruimtestaat[[#This Row],[kosten / jaar werkdagen]]</f>
        <v>0</v>
      </c>
    </row>
    <row r="392" spans="1:32" ht="15" customHeight="1">
      <c r="A392" s="200">
        <v>2</v>
      </c>
      <c r="B392" s="21" t="str">
        <f>VLOOKUP(Ruimtestaat[[#This Row],[Code]],Locaties[#All],2,FALSE)</f>
        <v>Stichting Facilitair Beheer Van Renneslaan</v>
      </c>
      <c r="C392" s="243" t="str">
        <f>VLOOKUP(Ruimtestaat[[#This Row],[Code]],Locaties[#All],4,FALSE)</f>
        <v>Catharina van Renneslaan 35</v>
      </c>
      <c r="D392" s="243" t="str">
        <f>VLOOKUP(Ruimtestaat[[#This Row],[Code]],Locaties[#All],5,FALSE)</f>
        <v>7604 KV</v>
      </c>
      <c r="E392" s="243" t="str">
        <f>VLOOKUP(Ruimtestaat[[#This Row],[Code]],Locaties[#All],6,FALSE)</f>
        <v>Almelo</v>
      </c>
      <c r="F392" s="244" t="s">
        <v>1342</v>
      </c>
      <c r="G392" s="200" t="s">
        <v>1338</v>
      </c>
      <c r="H392" s="200"/>
      <c r="I392" s="244" t="s">
        <v>1310</v>
      </c>
      <c r="J392" s="200">
        <v>16</v>
      </c>
      <c r="K392" s="243" t="s">
        <v>1040</v>
      </c>
      <c r="L392" s="200" t="s">
        <v>999</v>
      </c>
      <c r="M392" s="213">
        <v>104</v>
      </c>
      <c r="N392" s="213"/>
      <c r="O392" s="243" t="str">
        <f>VLOOKUP(Ruimtestaat[[#This Row],[Ruimte code]],Ruimtegroepen[#All],4,FALSE)</f>
        <v>L  (Lesruimte)</v>
      </c>
      <c r="P392" s="214"/>
      <c r="Q392" s="215">
        <v>40</v>
      </c>
      <c r="R392" s="215" t="s">
        <v>2</v>
      </c>
      <c r="S392" s="215">
        <f>IF(R392&gt;0,IF(RIGHT(Ruimtestaat[[#This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2" s="215">
        <f>IF(S392&gt;0,VLOOKUP($J392,Ruimtegroepen[],3,FALSE)*VLOOKUP($K392,Vloersoorten[],3,FALSE)*VLOOKUP($R392,Frequenties[],3,FALSE)*VLOOKUP($A392,Locaties[],3,FALSE),0)</f>
        <v>0</v>
      </c>
      <c r="U392" s="215">
        <f>Ruimtestaat[[#This Row],[Uitvoeringen werkdagen]]*Ruimtestaat[[#This Row],[Oppervlak (netto)]]</f>
        <v>20800</v>
      </c>
      <c r="V392" s="259">
        <f>IF(T392&gt;0,Ruimtestaat[[#This Row],[Prest. (m2 /jaar) werkdagen]]/Ruimtestaat[[#This Row],[Norm (m2/uur) werkdagen]],0)</f>
        <v>0</v>
      </c>
      <c r="W392" s="260">
        <f>Ruimtestaat[[#This Row],[uren / jaar werkdagen]]*Tariefsopbouw!$D$38</f>
        <v>0</v>
      </c>
      <c r="X392" s="33"/>
      <c r="Y392" s="33">
        <f>IF(Ruimtestaat[[#This Row],[Frequentie weekend]]&gt;0,VALUE(LEFT(X392,1))*Q392,0)</f>
        <v>0</v>
      </c>
      <c r="Z392" s="33">
        <f>IF($Y392&gt;0,VLOOKUP($J392,Ruimtegroepen[],3,FALSE)*VLOOKUP($K392,Vloersoorten[],3,FALSE)*VLOOKUP($X392,Frequenties[],3,FALSE)*VLOOKUP(#REF!,Locaties[],3,FALSE),0)</f>
        <v>0</v>
      </c>
      <c r="AA392" s="33"/>
      <c r="AB392" s="33"/>
      <c r="AC392" s="33">
        <f>Ruimtestaat[[#This Row],[uren / jaar weekend]]*Tariefsopbouw!$D$40</f>
        <v>0</v>
      </c>
      <c r="AD392" s="88">
        <f>Ruimtestaat[[#This Row],[Prest. (m2 /jaar) weekend]]+Ruimtestaat[[#This Row],[Prest. (m2 /jaar) werkdagen]]</f>
        <v>20800</v>
      </c>
      <c r="AE392" s="88">
        <f>Ruimtestaat[[#This Row],[uren / jaar weekend]]+Ruimtestaat[[#This Row],[uren / jaar werkdagen]]</f>
        <v>0</v>
      </c>
      <c r="AF392" s="89">
        <f>Ruimtestaat[[#This Row],[kosten / jaar weekend]]+Ruimtestaat[[#This Row],[kosten / jaar werkdagen]]</f>
        <v>0</v>
      </c>
    </row>
    <row r="393" spans="1:32" ht="15" customHeight="1">
      <c r="A393" s="200">
        <v>2</v>
      </c>
      <c r="B393" s="21" t="str">
        <f>VLOOKUP(Ruimtestaat[[#This Row],[Code]],Locaties[#All],2,FALSE)</f>
        <v>Stichting Facilitair Beheer Van Renneslaan</v>
      </c>
      <c r="C393" s="243" t="str">
        <f>VLOOKUP(Ruimtestaat[[#This Row],[Code]],Locaties[#All],4,FALSE)</f>
        <v>Catharina van Renneslaan 35</v>
      </c>
      <c r="D393" s="243" t="str">
        <f>VLOOKUP(Ruimtestaat[[#This Row],[Code]],Locaties[#All],5,FALSE)</f>
        <v>7604 KV</v>
      </c>
      <c r="E393" s="243" t="str">
        <f>VLOOKUP(Ruimtestaat[[#This Row],[Code]],Locaties[#All],6,FALSE)</f>
        <v>Almelo</v>
      </c>
      <c r="F393" s="244" t="s">
        <v>1342</v>
      </c>
      <c r="G393" s="200" t="s">
        <v>1338</v>
      </c>
      <c r="H393" s="200"/>
      <c r="I393" s="244" t="s">
        <v>1311</v>
      </c>
      <c r="J393" s="200">
        <v>16</v>
      </c>
      <c r="K393" s="243" t="s">
        <v>1040</v>
      </c>
      <c r="L393" s="200" t="s">
        <v>999</v>
      </c>
      <c r="M393" s="213">
        <v>114.5</v>
      </c>
      <c r="N393" s="213"/>
      <c r="O393" s="243" t="str">
        <f>VLOOKUP(Ruimtestaat[[#This Row],[Ruimte code]],Ruimtegroepen[#All],4,FALSE)</f>
        <v>L  (Lesruimte)</v>
      </c>
      <c r="P393" s="214"/>
      <c r="Q393" s="215">
        <v>40</v>
      </c>
      <c r="R393" s="215" t="s">
        <v>2</v>
      </c>
      <c r="S393" s="215">
        <f>IF(R393&gt;0,IF(RIGHT(Ruimtestaat[[#This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3" s="215">
        <f>IF(S393&gt;0,VLOOKUP($J393,Ruimtegroepen[],3,FALSE)*VLOOKUP($K393,Vloersoorten[],3,FALSE)*VLOOKUP($R393,Frequenties[],3,FALSE)*VLOOKUP($A393,Locaties[],3,FALSE),0)</f>
        <v>0</v>
      </c>
      <c r="U393" s="215">
        <f>Ruimtestaat[[#This Row],[Uitvoeringen werkdagen]]*Ruimtestaat[[#This Row],[Oppervlak (netto)]]</f>
        <v>22900</v>
      </c>
      <c r="V393" s="259">
        <f>IF(T393&gt;0,Ruimtestaat[[#This Row],[Prest. (m2 /jaar) werkdagen]]/Ruimtestaat[[#This Row],[Norm (m2/uur) werkdagen]],0)</f>
        <v>0</v>
      </c>
      <c r="W393" s="260">
        <f>Ruimtestaat[[#This Row],[uren / jaar werkdagen]]*Tariefsopbouw!$D$38</f>
        <v>0</v>
      </c>
      <c r="X393" s="33"/>
      <c r="Y393" s="33">
        <f>IF(Ruimtestaat[[#This Row],[Frequentie weekend]]&gt;0,VALUE(LEFT(X393,1))*Q393,0)</f>
        <v>0</v>
      </c>
      <c r="Z393" s="33">
        <f>IF($Y393&gt;0,VLOOKUP($J393,Ruimtegroepen[],3,FALSE)*VLOOKUP($K393,Vloersoorten[],3,FALSE)*VLOOKUP($X393,Frequenties[],3,FALSE)*VLOOKUP(#REF!,Locaties[],3,FALSE),0)</f>
        <v>0</v>
      </c>
      <c r="AA393" s="33"/>
      <c r="AB393" s="33"/>
      <c r="AC393" s="33">
        <f>Ruimtestaat[[#This Row],[uren / jaar weekend]]*Tariefsopbouw!$D$40</f>
        <v>0</v>
      </c>
      <c r="AD393" s="88">
        <f>Ruimtestaat[[#This Row],[Prest. (m2 /jaar) weekend]]+Ruimtestaat[[#This Row],[Prest. (m2 /jaar) werkdagen]]</f>
        <v>22900</v>
      </c>
      <c r="AE393" s="88">
        <f>Ruimtestaat[[#This Row],[uren / jaar weekend]]+Ruimtestaat[[#This Row],[uren / jaar werkdagen]]</f>
        <v>0</v>
      </c>
      <c r="AF393" s="89">
        <f>Ruimtestaat[[#This Row],[kosten / jaar weekend]]+Ruimtestaat[[#This Row],[kosten / jaar werkdagen]]</f>
        <v>0</v>
      </c>
    </row>
    <row r="394" spans="1:32" ht="15" customHeight="1">
      <c r="A394" s="200">
        <v>2</v>
      </c>
      <c r="B394" s="21" t="str">
        <f>VLOOKUP(Ruimtestaat[[#This Row],[Code]],Locaties[#All],2,FALSE)</f>
        <v>Stichting Facilitair Beheer Van Renneslaan</v>
      </c>
      <c r="C394" s="243" t="str">
        <f>VLOOKUP(Ruimtestaat[[#This Row],[Code]],Locaties[#All],4,FALSE)</f>
        <v>Catharina van Renneslaan 35</v>
      </c>
      <c r="D394" s="243" t="str">
        <f>VLOOKUP(Ruimtestaat[[#This Row],[Code]],Locaties[#All],5,FALSE)</f>
        <v>7604 KV</v>
      </c>
      <c r="E394" s="243" t="str">
        <f>VLOOKUP(Ruimtestaat[[#This Row],[Code]],Locaties[#All],6,FALSE)</f>
        <v>Almelo</v>
      </c>
      <c r="F394" s="244" t="s">
        <v>1342</v>
      </c>
      <c r="G394" s="200" t="s">
        <v>1338</v>
      </c>
      <c r="H394" s="200"/>
      <c r="I394" s="244" t="s">
        <v>1312</v>
      </c>
      <c r="J394" s="200">
        <v>16</v>
      </c>
      <c r="K394" s="243" t="s">
        <v>1040</v>
      </c>
      <c r="L394" s="200" t="s">
        <v>999</v>
      </c>
      <c r="M394" s="213">
        <v>35.5</v>
      </c>
      <c r="N394" s="213"/>
      <c r="O394" s="243" t="str">
        <f>VLOOKUP(Ruimtestaat[[#This Row],[Ruimte code]],Ruimtegroepen[#All],4,FALSE)</f>
        <v>L  (Lesruimte)</v>
      </c>
      <c r="P394" s="214"/>
      <c r="Q394" s="215">
        <v>40</v>
      </c>
      <c r="R394" s="215" t="s">
        <v>2</v>
      </c>
      <c r="S394" s="215">
        <f>IF(R394&gt;0,IF(RIGHT(Ruimtestaat[[#This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4" s="215">
        <f>IF(S394&gt;0,VLOOKUP($J394,Ruimtegroepen[],3,FALSE)*VLOOKUP($K394,Vloersoorten[],3,FALSE)*VLOOKUP($R394,Frequenties[],3,FALSE)*VLOOKUP($A394,Locaties[],3,FALSE),0)</f>
        <v>0</v>
      </c>
      <c r="U394" s="215">
        <f>Ruimtestaat[[#This Row],[Uitvoeringen werkdagen]]*Ruimtestaat[[#This Row],[Oppervlak (netto)]]</f>
        <v>7100</v>
      </c>
      <c r="V394" s="259">
        <f>IF(T394&gt;0,Ruimtestaat[[#This Row],[Prest. (m2 /jaar) werkdagen]]/Ruimtestaat[[#This Row],[Norm (m2/uur) werkdagen]],0)</f>
        <v>0</v>
      </c>
      <c r="W394" s="260">
        <f>Ruimtestaat[[#This Row],[uren / jaar werkdagen]]*Tariefsopbouw!$D$38</f>
        <v>0</v>
      </c>
      <c r="X394" s="33"/>
      <c r="Y394" s="33">
        <f>IF(Ruimtestaat[[#This Row],[Frequentie weekend]]&gt;0,VALUE(LEFT(X394,1))*Q394,0)</f>
        <v>0</v>
      </c>
      <c r="Z394" s="33">
        <f>IF($Y394&gt;0,VLOOKUP($J394,Ruimtegroepen[],3,FALSE)*VLOOKUP($K394,Vloersoorten[],3,FALSE)*VLOOKUP($X394,Frequenties[],3,FALSE)*VLOOKUP(#REF!,Locaties[],3,FALSE),0)</f>
        <v>0</v>
      </c>
      <c r="AA394" s="33"/>
      <c r="AB394" s="33"/>
      <c r="AC394" s="33">
        <f>Ruimtestaat[[#This Row],[uren / jaar weekend]]*Tariefsopbouw!$D$40</f>
        <v>0</v>
      </c>
      <c r="AD394" s="88">
        <f>Ruimtestaat[[#This Row],[Prest. (m2 /jaar) weekend]]+Ruimtestaat[[#This Row],[Prest. (m2 /jaar) werkdagen]]</f>
        <v>7100</v>
      </c>
      <c r="AE394" s="88">
        <f>Ruimtestaat[[#This Row],[uren / jaar weekend]]+Ruimtestaat[[#This Row],[uren / jaar werkdagen]]</f>
        <v>0</v>
      </c>
      <c r="AF394" s="89">
        <f>Ruimtestaat[[#This Row],[kosten / jaar weekend]]+Ruimtestaat[[#This Row],[kosten / jaar werkdagen]]</f>
        <v>0</v>
      </c>
    </row>
    <row r="395" spans="1:32" ht="15" customHeight="1">
      <c r="A395" s="200">
        <v>2</v>
      </c>
      <c r="B395" s="21" t="str">
        <f>VLOOKUP(Ruimtestaat[[#This Row],[Code]],Locaties[#All],2,FALSE)</f>
        <v>Stichting Facilitair Beheer Van Renneslaan</v>
      </c>
      <c r="C395" s="243" t="str">
        <f>VLOOKUP(Ruimtestaat[[#This Row],[Code]],Locaties[#All],4,FALSE)</f>
        <v>Catharina van Renneslaan 35</v>
      </c>
      <c r="D395" s="243" t="str">
        <f>VLOOKUP(Ruimtestaat[[#This Row],[Code]],Locaties[#All],5,FALSE)</f>
        <v>7604 KV</v>
      </c>
      <c r="E395" s="243" t="str">
        <f>VLOOKUP(Ruimtestaat[[#This Row],[Code]],Locaties[#All],6,FALSE)</f>
        <v>Almelo</v>
      </c>
      <c r="F395" s="244" t="s">
        <v>1342</v>
      </c>
      <c r="G395" s="200" t="s">
        <v>1338</v>
      </c>
      <c r="H395" s="200"/>
      <c r="I395" s="244" t="s">
        <v>1313</v>
      </c>
      <c r="J395" s="200">
        <v>16</v>
      </c>
      <c r="K395" s="243" t="s">
        <v>1040</v>
      </c>
      <c r="L395" s="200" t="s">
        <v>999</v>
      </c>
      <c r="M395" s="213">
        <v>56.2</v>
      </c>
      <c r="N395" s="213"/>
      <c r="O395" s="243" t="str">
        <f>VLOOKUP(Ruimtestaat[[#This Row],[Ruimte code]],Ruimtegroepen[#All],4,FALSE)</f>
        <v>L  (Lesruimte)</v>
      </c>
      <c r="P395" s="214"/>
      <c r="Q395" s="215">
        <v>40</v>
      </c>
      <c r="R395" s="215" t="s">
        <v>2</v>
      </c>
      <c r="S395" s="215">
        <f>IF(R395&gt;0,IF(RIGHT(Ruimtestaat[[#This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5" s="215">
        <f>IF(S395&gt;0,VLOOKUP($J395,Ruimtegroepen[],3,FALSE)*VLOOKUP($K395,Vloersoorten[],3,FALSE)*VLOOKUP($R395,Frequenties[],3,FALSE)*VLOOKUP($A395,Locaties[],3,FALSE),0)</f>
        <v>0</v>
      </c>
      <c r="U395" s="215">
        <f>Ruimtestaat[[#This Row],[Uitvoeringen werkdagen]]*Ruimtestaat[[#This Row],[Oppervlak (netto)]]</f>
        <v>11240</v>
      </c>
      <c r="V395" s="259">
        <f>IF(T395&gt;0,Ruimtestaat[[#This Row],[Prest. (m2 /jaar) werkdagen]]/Ruimtestaat[[#This Row],[Norm (m2/uur) werkdagen]],0)</f>
        <v>0</v>
      </c>
      <c r="W395" s="260">
        <f>Ruimtestaat[[#This Row],[uren / jaar werkdagen]]*Tariefsopbouw!$D$38</f>
        <v>0</v>
      </c>
      <c r="X395" s="33"/>
      <c r="Y395" s="33">
        <f>IF(Ruimtestaat[[#This Row],[Frequentie weekend]]&gt;0,VALUE(LEFT(X395,1))*Q395,0)</f>
        <v>0</v>
      </c>
      <c r="Z395" s="33">
        <f>IF($Y395&gt;0,VLOOKUP($J395,Ruimtegroepen[],3,FALSE)*VLOOKUP($K395,Vloersoorten[],3,FALSE)*VLOOKUP($X395,Frequenties[],3,FALSE)*VLOOKUP(#REF!,Locaties[],3,FALSE),0)</f>
        <v>0</v>
      </c>
      <c r="AA395" s="33"/>
      <c r="AB395" s="33"/>
      <c r="AC395" s="33">
        <f>Ruimtestaat[[#This Row],[uren / jaar weekend]]*Tariefsopbouw!$D$40</f>
        <v>0</v>
      </c>
      <c r="AD395" s="88">
        <f>Ruimtestaat[[#This Row],[Prest. (m2 /jaar) weekend]]+Ruimtestaat[[#This Row],[Prest. (m2 /jaar) werkdagen]]</f>
        <v>11240</v>
      </c>
      <c r="AE395" s="88">
        <f>Ruimtestaat[[#This Row],[uren / jaar weekend]]+Ruimtestaat[[#This Row],[uren / jaar werkdagen]]</f>
        <v>0</v>
      </c>
      <c r="AF395" s="89">
        <f>Ruimtestaat[[#This Row],[kosten / jaar weekend]]+Ruimtestaat[[#This Row],[kosten / jaar werkdagen]]</f>
        <v>0</v>
      </c>
    </row>
    <row r="396" spans="1:32" ht="15" customHeight="1">
      <c r="A396" s="200">
        <v>2</v>
      </c>
      <c r="B396" s="21" t="str">
        <f>VLOOKUP(Ruimtestaat[[#This Row],[Code]],Locaties[#All],2,FALSE)</f>
        <v>Stichting Facilitair Beheer Van Renneslaan</v>
      </c>
      <c r="C396" s="243" t="str">
        <f>VLOOKUP(Ruimtestaat[[#This Row],[Code]],Locaties[#All],4,FALSE)</f>
        <v>Catharina van Renneslaan 35</v>
      </c>
      <c r="D396" s="243" t="str">
        <f>VLOOKUP(Ruimtestaat[[#This Row],[Code]],Locaties[#All],5,FALSE)</f>
        <v>7604 KV</v>
      </c>
      <c r="E396" s="243" t="str">
        <f>VLOOKUP(Ruimtestaat[[#This Row],[Code]],Locaties[#All],6,FALSE)</f>
        <v>Almelo</v>
      </c>
      <c r="F396" s="244" t="s">
        <v>1342</v>
      </c>
      <c r="G396" s="200" t="s">
        <v>1338</v>
      </c>
      <c r="H396" s="200"/>
      <c r="I396" s="244" t="s">
        <v>1314</v>
      </c>
      <c r="J396" s="200">
        <v>16</v>
      </c>
      <c r="K396" s="243" t="s">
        <v>1040</v>
      </c>
      <c r="L396" s="200" t="s">
        <v>999</v>
      </c>
      <c r="M396" s="213">
        <v>71</v>
      </c>
      <c r="N396" s="213"/>
      <c r="O396" s="243" t="str">
        <f>VLOOKUP(Ruimtestaat[[#This Row],[Ruimte code]],Ruimtegroepen[#All],4,FALSE)</f>
        <v>L  (Lesruimte)</v>
      </c>
      <c r="P396" s="214"/>
      <c r="Q396" s="215">
        <v>40</v>
      </c>
      <c r="R396" s="215" t="s">
        <v>2</v>
      </c>
      <c r="S396" s="215">
        <f>IF(R396&gt;0,IF(RIGHT(Ruimtestaat[[#This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6" s="215">
        <f>IF(S396&gt;0,VLOOKUP($J396,Ruimtegroepen[],3,FALSE)*VLOOKUP($K396,Vloersoorten[],3,FALSE)*VLOOKUP($R396,Frequenties[],3,FALSE)*VLOOKUP($A396,Locaties[],3,FALSE),0)</f>
        <v>0</v>
      </c>
      <c r="U396" s="215">
        <f>Ruimtestaat[[#This Row],[Uitvoeringen werkdagen]]*Ruimtestaat[[#This Row],[Oppervlak (netto)]]</f>
        <v>14200</v>
      </c>
      <c r="V396" s="259">
        <f>IF(T396&gt;0,Ruimtestaat[[#This Row],[Prest. (m2 /jaar) werkdagen]]/Ruimtestaat[[#This Row],[Norm (m2/uur) werkdagen]],0)</f>
        <v>0</v>
      </c>
      <c r="W396" s="260">
        <f>Ruimtestaat[[#This Row],[uren / jaar werkdagen]]*Tariefsopbouw!$D$38</f>
        <v>0</v>
      </c>
      <c r="X396" s="33"/>
      <c r="Y396" s="33">
        <f>IF(Ruimtestaat[[#This Row],[Frequentie weekend]]&gt;0,VALUE(LEFT(X396,1))*Q396,0)</f>
        <v>0</v>
      </c>
      <c r="Z396" s="33">
        <f>IF($Y396&gt;0,VLOOKUP($J396,Ruimtegroepen[],3,FALSE)*VLOOKUP($K396,Vloersoorten[],3,FALSE)*VLOOKUP($X396,Frequenties[],3,FALSE)*VLOOKUP(#REF!,Locaties[],3,FALSE),0)</f>
        <v>0</v>
      </c>
      <c r="AA396" s="33"/>
      <c r="AB396" s="33"/>
      <c r="AC396" s="33">
        <f>Ruimtestaat[[#This Row],[uren / jaar weekend]]*Tariefsopbouw!$D$40</f>
        <v>0</v>
      </c>
      <c r="AD396" s="88">
        <f>Ruimtestaat[[#This Row],[Prest. (m2 /jaar) weekend]]+Ruimtestaat[[#This Row],[Prest. (m2 /jaar) werkdagen]]</f>
        <v>14200</v>
      </c>
      <c r="AE396" s="88">
        <f>Ruimtestaat[[#This Row],[uren / jaar weekend]]+Ruimtestaat[[#This Row],[uren / jaar werkdagen]]</f>
        <v>0</v>
      </c>
      <c r="AF396" s="89">
        <f>Ruimtestaat[[#This Row],[kosten / jaar weekend]]+Ruimtestaat[[#This Row],[kosten / jaar werkdagen]]</f>
        <v>0</v>
      </c>
    </row>
    <row r="397" spans="1:32" ht="15" customHeight="1">
      <c r="A397" s="200">
        <v>2</v>
      </c>
      <c r="B397" s="21" t="str">
        <f>VLOOKUP(Ruimtestaat[[#This Row],[Code]],Locaties[#All],2,FALSE)</f>
        <v>Stichting Facilitair Beheer Van Renneslaan</v>
      </c>
      <c r="C397" s="243" t="str">
        <f>VLOOKUP(Ruimtestaat[[#This Row],[Code]],Locaties[#All],4,FALSE)</f>
        <v>Catharina van Renneslaan 35</v>
      </c>
      <c r="D397" s="243" t="str">
        <f>VLOOKUP(Ruimtestaat[[#This Row],[Code]],Locaties[#All],5,FALSE)</f>
        <v>7604 KV</v>
      </c>
      <c r="E397" s="243" t="str">
        <f>VLOOKUP(Ruimtestaat[[#This Row],[Code]],Locaties[#All],6,FALSE)</f>
        <v>Almelo</v>
      </c>
      <c r="F397" s="244"/>
      <c r="G397" s="200" t="s">
        <v>1338</v>
      </c>
      <c r="H397" s="200"/>
      <c r="I397" s="244" t="s">
        <v>1315</v>
      </c>
      <c r="J397" s="243">
        <v>5</v>
      </c>
      <c r="K397" s="243" t="s">
        <v>111</v>
      </c>
      <c r="L397" s="200" t="s">
        <v>1340</v>
      </c>
      <c r="M397" s="213">
        <v>23.3</v>
      </c>
      <c r="N397" s="213"/>
      <c r="O397" s="243" t="str">
        <f>VLOOKUP(Ruimtestaat[[#This Row],[Ruimte code]],Ruimtegroepen[#All],4,FALSE)</f>
        <v>S  (Sanitair)</v>
      </c>
      <c r="P397" s="214"/>
      <c r="Q397" s="215">
        <v>40</v>
      </c>
      <c r="R397" s="215" t="s">
        <v>2</v>
      </c>
      <c r="S397" s="215">
        <f>IF(R397&gt;0,IF(RIGHT(Ruimtestaat[[#This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7" s="215">
        <f>IF(S397&gt;0,VLOOKUP($J397,Ruimtegroepen[],3,FALSE)*VLOOKUP($K397,Vloersoorten[],3,FALSE)*VLOOKUP($R397,Frequenties[],3,FALSE)*VLOOKUP($A397,Locaties[],3,FALSE),0)</f>
        <v>0</v>
      </c>
      <c r="U397" s="215">
        <f>Ruimtestaat[[#This Row],[Uitvoeringen werkdagen]]*Ruimtestaat[[#This Row],[Oppervlak (netto)]]</f>
        <v>4660</v>
      </c>
      <c r="V397" s="259">
        <f>IF(T397&gt;0,Ruimtestaat[[#This Row],[Prest. (m2 /jaar) werkdagen]]/Ruimtestaat[[#This Row],[Norm (m2/uur) werkdagen]],0)</f>
        <v>0</v>
      </c>
      <c r="W397" s="260">
        <f>Ruimtestaat[[#This Row],[uren / jaar werkdagen]]*Tariefsopbouw!$D$38</f>
        <v>0</v>
      </c>
      <c r="X397" s="33"/>
      <c r="Y397" s="33">
        <f>IF(Ruimtestaat[[#This Row],[Frequentie weekend]]&gt;0,VALUE(LEFT(X397,1))*Q397,0)</f>
        <v>0</v>
      </c>
      <c r="Z397" s="33">
        <f>IF($Y397&gt;0,VLOOKUP($J397,Ruimtegroepen[],3,FALSE)*VLOOKUP($K397,Vloersoorten[],3,FALSE)*VLOOKUP($X397,Frequenties[],3,FALSE)*VLOOKUP(#REF!,Locaties[],3,FALSE),0)</f>
        <v>0</v>
      </c>
      <c r="AA397" s="33"/>
      <c r="AB397" s="33"/>
      <c r="AC397" s="33">
        <f>Ruimtestaat[[#This Row],[uren / jaar weekend]]*Tariefsopbouw!$D$40</f>
        <v>0</v>
      </c>
      <c r="AD397" s="88">
        <f>Ruimtestaat[[#This Row],[Prest. (m2 /jaar) weekend]]+Ruimtestaat[[#This Row],[Prest. (m2 /jaar) werkdagen]]</f>
        <v>4660</v>
      </c>
      <c r="AE397" s="88">
        <f>Ruimtestaat[[#This Row],[uren / jaar weekend]]+Ruimtestaat[[#This Row],[uren / jaar werkdagen]]</f>
        <v>0</v>
      </c>
      <c r="AF397" s="89">
        <f>Ruimtestaat[[#This Row],[kosten / jaar weekend]]+Ruimtestaat[[#This Row],[kosten / jaar werkdagen]]</f>
        <v>0</v>
      </c>
    </row>
    <row r="398" spans="1:32" ht="15" customHeight="1">
      <c r="A398" s="200">
        <v>2</v>
      </c>
      <c r="B398" s="21" t="str">
        <f>VLOOKUP(Ruimtestaat[[#This Row],[Code]],Locaties[#All],2,FALSE)</f>
        <v>Stichting Facilitair Beheer Van Renneslaan</v>
      </c>
      <c r="C398" s="243" t="str">
        <f>VLOOKUP(Ruimtestaat[[#This Row],[Code]],Locaties[#All],4,FALSE)</f>
        <v>Catharina van Renneslaan 35</v>
      </c>
      <c r="D398" s="243" t="str">
        <f>VLOOKUP(Ruimtestaat[[#This Row],[Code]],Locaties[#All],5,FALSE)</f>
        <v>7604 KV</v>
      </c>
      <c r="E398" s="243" t="str">
        <f>VLOOKUP(Ruimtestaat[[#This Row],[Code]],Locaties[#All],6,FALSE)</f>
        <v>Almelo</v>
      </c>
      <c r="F398" s="244"/>
      <c r="G398" s="200" t="s">
        <v>1338</v>
      </c>
      <c r="H398" s="200"/>
      <c r="I398" s="244" t="s">
        <v>1069</v>
      </c>
      <c r="J398" s="200">
        <v>10</v>
      </c>
      <c r="K398" s="243" t="s">
        <v>112</v>
      </c>
      <c r="L398" s="200" t="s">
        <v>1341</v>
      </c>
      <c r="M398" s="213">
        <v>11.2</v>
      </c>
      <c r="N398" s="213"/>
      <c r="O398" s="243" t="str">
        <f>VLOOKUP(Ruimtestaat[[#This Row],[Ruimte code]],Ruimtegroepen[#All],4,FALSE)</f>
        <v>V  (Verkeersruimte)</v>
      </c>
      <c r="P398" s="214"/>
      <c r="Q398" s="215">
        <v>40</v>
      </c>
      <c r="R398" s="215" t="s">
        <v>2</v>
      </c>
      <c r="S398" s="215">
        <f>IF(R398&gt;0,IF(RIGHT(Ruimtestaat[[#This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398" s="215">
        <f>IF(S398&gt;0,VLOOKUP($J398,Ruimtegroepen[],3,FALSE)*VLOOKUP($K398,Vloersoorten[],3,FALSE)*VLOOKUP($R398,Frequenties[],3,FALSE)*VLOOKUP($A398,Locaties[],3,FALSE),0)</f>
        <v>0</v>
      </c>
      <c r="U398" s="215">
        <f>Ruimtestaat[[#This Row],[Uitvoeringen werkdagen]]*Ruimtestaat[[#This Row],[Oppervlak (netto)]]</f>
        <v>2240</v>
      </c>
      <c r="V398" s="259">
        <f>IF(T398&gt;0,Ruimtestaat[[#This Row],[Prest. (m2 /jaar) werkdagen]]/Ruimtestaat[[#This Row],[Norm (m2/uur) werkdagen]],0)</f>
        <v>0</v>
      </c>
      <c r="W398" s="260">
        <f>Ruimtestaat[[#This Row],[uren / jaar werkdagen]]*Tariefsopbouw!$D$38</f>
        <v>0</v>
      </c>
      <c r="X398" s="33"/>
      <c r="Y398" s="33">
        <f>IF(Ruimtestaat[[#This Row],[Frequentie weekend]]&gt;0,VALUE(LEFT(X398,1))*Q398,0)</f>
        <v>0</v>
      </c>
      <c r="Z398" s="33">
        <f>IF($Y398&gt;0,VLOOKUP($J398,Ruimtegroepen[],3,FALSE)*VLOOKUP($K398,Vloersoorten[],3,FALSE)*VLOOKUP($X398,Frequenties[],3,FALSE)*VLOOKUP(#REF!,Locaties[],3,FALSE),0)</f>
        <v>0</v>
      </c>
      <c r="AA398" s="33"/>
      <c r="AB398" s="33"/>
      <c r="AC398" s="33">
        <f>Ruimtestaat[[#This Row],[uren / jaar weekend]]*Tariefsopbouw!$D$40</f>
        <v>0</v>
      </c>
      <c r="AD398" s="88">
        <f>Ruimtestaat[[#This Row],[Prest. (m2 /jaar) weekend]]+Ruimtestaat[[#This Row],[Prest. (m2 /jaar) werkdagen]]</f>
        <v>2240</v>
      </c>
      <c r="AE398" s="88">
        <f>Ruimtestaat[[#This Row],[uren / jaar weekend]]+Ruimtestaat[[#This Row],[uren / jaar werkdagen]]</f>
        <v>0</v>
      </c>
      <c r="AF398" s="89">
        <f>Ruimtestaat[[#This Row],[kosten / jaar weekend]]+Ruimtestaat[[#This Row],[kosten / jaar werkdagen]]</f>
        <v>0</v>
      </c>
    </row>
    <row r="399" spans="1:32" ht="15" customHeight="1">
      <c r="A399" s="200">
        <v>2</v>
      </c>
      <c r="B399" s="21" t="str">
        <f>VLOOKUP(Ruimtestaat[[#This Row],[Code]],Locaties[#All],2,FALSE)</f>
        <v>Stichting Facilitair Beheer Van Renneslaan</v>
      </c>
      <c r="C399" s="243" t="str">
        <f>VLOOKUP(Ruimtestaat[[#This Row],[Code]],Locaties[#All],4,FALSE)</f>
        <v>Catharina van Renneslaan 35</v>
      </c>
      <c r="D399" s="243" t="str">
        <f>VLOOKUP(Ruimtestaat[[#This Row],[Code]],Locaties[#All],5,FALSE)</f>
        <v>7604 KV</v>
      </c>
      <c r="E399" s="243" t="str">
        <f>VLOOKUP(Ruimtestaat[[#This Row],[Code]],Locaties[#All],6,FALSE)</f>
        <v>Almelo</v>
      </c>
      <c r="F399" s="244"/>
      <c r="G399" s="200" t="s">
        <v>1338</v>
      </c>
      <c r="H399" s="200"/>
      <c r="I399" s="244" t="s">
        <v>1316</v>
      </c>
      <c r="J399" s="200">
        <v>21</v>
      </c>
      <c r="K399" s="243" t="s">
        <v>111</v>
      </c>
      <c r="L399" s="200" t="s">
        <v>1340</v>
      </c>
      <c r="M399" s="213"/>
      <c r="N399" s="213">
        <v>9.4</v>
      </c>
      <c r="O399" s="243" t="str">
        <f>VLOOKUP(Ruimtestaat[[#This Row],[Ruimte code]],Ruimtegroepen[#All],4,FALSE)</f>
        <v>Niet in onderhoud</v>
      </c>
      <c r="P399" s="214"/>
      <c r="Q399" s="215"/>
      <c r="R399" s="215"/>
      <c r="S399" s="215">
        <f>IF(R399&gt;0,IF(RIGHT(Ruimtestaat[[#This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399" s="215">
        <f>IF(S399&gt;0,VLOOKUP($J399,Ruimtegroepen[],3,FALSE)*VLOOKUP($K399,Vloersoorten[],3,FALSE)*VLOOKUP($R399,Frequenties[],3,FALSE)*VLOOKUP($A399,Locaties[],3,FALSE),0)</f>
        <v>0</v>
      </c>
      <c r="U399" s="215">
        <f>Ruimtestaat[[#This Row],[Uitvoeringen werkdagen]]*Ruimtestaat[[#This Row],[Oppervlak (netto)]]</f>
        <v>0</v>
      </c>
      <c r="V399" s="259">
        <f>IF(T399&gt;0,Ruimtestaat[[#This Row],[Prest. (m2 /jaar) werkdagen]]/Ruimtestaat[[#This Row],[Norm (m2/uur) werkdagen]],0)</f>
        <v>0</v>
      </c>
      <c r="W399" s="260">
        <f>Ruimtestaat[[#This Row],[uren / jaar werkdagen]]*Tariefsopbouw!$D$38</f>
        <v>0</v>
      </c>
      <c r="X399" s="33"/>
      <c r="Y399" s="33">
        <f>IF(Ruimtestaat[[#This Row],[Frequentie weekend]]&gt;0,VALUE(LEFT(X399,1))*Q399,0)</f>
        <v>0</v>
      </c>
      <c r="Z399" s="33">
        <f>IF($Y399&gt;0,VLOOKUP($J399,Ruimtegroepen[],3,FALSE)*VLOOKUP($K399,Vloersoorten[],3,FALSE)*VLOOKUP($X399,Frequenties[],3,FALSE)*VLOOKUP(#REF!,Locaties[],3,FALSE),0)</f>
        <v>0</v>
      </c>
      <c r="AA399" s="33"/>
      <c r="AB399" s="33"/>
      <c r="AC399" s="33">
        <f>Ruimtestaat[[#This Row],[uren / jaar weekend]]*Tariefsopbouw!$D$40</f>
        <v>0</v>
      </c>
      <c r="AD399" s="88">
        <f>Ruimtestaat[[#This Row],[Prest. (m2 /jaar) weekend]]+Ruimtestaat[[#This Row],[Prest. (m2 /jaar) werkdagen]]</f>
        <v>0</v>
      </c>
      <c r="AE399" s="88">
        <f>Ruimtestaat[[#This Row],[uren / jaar weekend]]+Ruimtestaat[[#This Row],[uren / jaar werkdagen]]</f>
        <v>0</v>
      </c>
      <c r="AF399" s="89">
        <f>Ruimtestaat[[#This Row],[kosten / jaar weekend]]+Ruimtestaat[[#This Row],[kosten / jaar werkdagen]]</f>
        <v>0</v>
      </c>
    </row>
    <row r="400" spans="1:32" ht="15" customHeight="1">
      <c r="A400" s="200">
        <v>2</v>
      </c>
      <c r="B400" s="21" t="str">
        <f>VLOOKUP(Ruimtestaat[[#This Row],[Code]],Locaties[#All],2,FALSE)</f>
        <v>Stichting Facilitair Beheer Van Renneslaan</v>
      </c>
      <c r="C400" s="243" t="str">
        <f>VLOOKUP(Ruimtestaat[[#This Row],[Code]],Locaties[#All],4,FALSE)</f>
        <v>Catharina van Renneslaan 35</v>
      </c>
      <c r="D400" s="243" t="str">
        <f>VLOOKUP(Ruimtestaat[[#This Row],[Code]],Locaties[#All],5,FALSE)</f>
        <v>7604 KV</v>
      </c>
      <c r="E400" s="243" t="str">
        <f>VLOOKUP(Ruimtestaat[[#This Row],[Code]],Locaties[#All],6,FALSE)</f>
        <v>Almelo</v>
      </c>
      <c r="F400" s="244"/>
      <c r="G400" s="200" t="s">
        <v>1338</v>
      </c>
      <c r="H400" s="200"/>
      <c r="I400" s="244" t="s">
        <v>1317</v>
      </c>
      <c r="J400" s="200">
        <v>6</v>
      </c>
      <c r="K400" s="243" t="s">
        <v>112</v>
      </c>
      <c r="L400" s="200" t="s">
        <v>1341</v>
      </c>
      <c r="M400" s="213">
        <v>28.7</v>
      </c>
      <c r="N400" s="213"/>
      <c r="O400" s="243" t="str">
        <f>VLOOKUP(Ruimtestaat[[#This Row],[Ruimte code]],Ruimtegroepen[#All],4,FALSE)</f>
        <v>V  (Verkeersruimte)</v>
      </c>
      <c r="P400" s="214"/>
      <c r="Q400" s="215">
        <v>40</v>
      </c>
      <c r="R400" s="215" t="s">
        <v>2</v>
      </c>
      <c r="S400" s="215">
        <f>IF(R400&gt;0,IF(RIGHT(Ruimtestaat[[#This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0" s="215">
        <f>IF(S400&gt;0,VLOOKUP($J400,Ruimtegroepen[],3,FALSE)*VLOOKUP($K400,Vloersoorten[],3,FALSE)*VLOOKUP($R400,Frequenties[],3,FALSE)*VLOOKUP($A400,Locaties[],3,FALSE),0)</f>
        <v>0</v>
      </c>
      <c r="U400" s="215">
        <f>Ruimtestaat[[#This Row],[Uitvoeringen werkdagen]]*Ruimtestaat[[#This Row],[Oppervlak (netto)]]</f>
        <v>5740</v>
      </c>
      <c r="V400" s="259">
        <f>IF(T400&gt;0,Ruimtestaat[[#This Row],[Prest. (m2 /jaar) werkdagen]]/Ruimtestaat[[#This Row],[Norm (m2/uur) werkdagen]],0)</f>
        <v>0</v>
      </c>
      <c r="W400" s="260">
        <f>Ruimtestaat[[#This Row],[uren / jaar werkdagen]]*Tariefsopbouw!$D$38</f>
        <v>0</v>
      </c>
      <c r="X400" s="33"/>
      <c r="Y400" s="33">
        <f>IF(Ruimtestaat[[#This Row],[Frequentie weekend]]&gt;0,VALUE(LEFT(X400,1))*Q400,0)</f>
        <v>0</v>
      </c>
      <c r="Z400" s="33">
        <f>IF($Y400&gt;0,VLOOKUP($J400,Ruimtegroepen[],3,FALSE)*VLOOKUP($K400,Vloersoorten[],3,FALSE)*VLOOKUP($X400,Frequenties[],3,FALSE)*VLOOKUP(#REF!,Locaties[],3,FALSE),0)</f>
        <v>0</v>
      </c>
      <c r="AA400" s="33"/>
      <c r="AB400" s="33"/>
      <c r="AC400" s="33">
        <f>Ruimtestaat[[#This Row],[uren / jaar weekend]]*Tariefsopbouw!$D$40</f>
        <v>0</v>
      </c>
      <c r="AD400" s="88">
        <f>Ruimtestaat[[#This Row],[Prest. (m2 /jaar) weekend]]+Ruimtestaat[[#This Row],[Prest. (m2 /jaar) werkdagen]]</f>
        <v>5740</v>
      </c>
      <c r="AE400" s="88">
        <f>Ruimtestaat[[#This Row],[uren / jaar weekend]]+Ruimtestaat[[#This Row],[uren / jaar werkdagen]]</f>
        <v>0</v>
      </c>
      <c r="AF400" s="89">
        <f>Ruimtestaat[[#This Row],[kosten / jaar weekend]]+Ruimtestaat[[#This Row],[kosten / jaar werkdagen]]</f>
        <v>0</v>
      </c>
    </row>
    <row r="401" spans="1:32" ht="15" customHeight="1">
      <c r="A401" s="200">
        <v>2</v>
      </c>
      <c r="B401" s="21" t="str">
        <f>VLOOKUP(Ruimtestaat[[#This Row],[Code]],Locaties[#All],2,FALSE)</f>
        <v>Stichting Facilitair Beheer Van Renneslaan</v>
      </c>
      <c r="C401" s="243" t="str">
        <f>VLOOKUP(Ruimtestaat[[#This Row],[Code]],Locaties[#All],4,FALSE)</f>
        <v>Catharina van Renneslaan 35</v>
      </c>
      <c r="D401" s="243" t="str">
        <f>VLOOKUP(Ruimtestaat[[#This Row],[Code]],Locaties[#All],5,FALSE)</f>
        <v>7604 KV</v>
      </c>
      <c r="E401" s="243" t="str">
        <f>VLOOKUP(Ruimtestaat[[#This Row],[Code]],Locaties[#All],6,FALSE)</f>
        <v>Almelo</v>
      </c>
      <c r="F401" s="244"/>
      <c r="G401" s="200" t="s">
        <v>1338</v>
      </c>
      <c r="H401" s="200"/>
      <c r="I401" s="244" t="s">
        <v>1069</v>
      </c>
      <c r="J401" s="200">
        <v>10</v>
      </c>
      <c r="K401" s="243" t="s">
        <v>112</v>
      </c>
      <c r="L401" s="200" t="s">
        <v>1341</v>
      </c>
      <c r="M401" s="213">
        <v>17.600000000000001</v>
      </c>
      <c r="N401" s="213"/>
      <c r="O401" s="243" t="str">
        <f>VLOOKUP(Ruimtestaat[[#This Row],[Ruimte code]],Ruimtegroepen[#All],4,FALSE)</f>
        <v>V  (Verkeersruimte)</v>
      </c>
      <c r="P401" s="214"/>
      <c r="Q401" s="215">
        <v>40</v>
      </c>
      <c r="R401" s="215" t="s">
        <v>2</v>
      </c>
      <c r="S401" s="215">
        <f>IF(R401&gt;0,IF(RIGHT(Ruimtestaat[[#This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1" s="215">
        <f>IF(S401&gt;0,VLOOKUP($J401,Ruimtegroepen[],3,FALSE)*VLOOKUP($K401,Vloersoorten[],3,FALSE)*VLOOKUP($R401,Frequenties[],3,FALSE)*VLOOKUP($A401,Locaties[],3,FALSE),0)</f>
        <v>0</v>
      </c>
      <c r="U401" s="215">
        <f>Ruimtestaat[[#This Row],[Uitvoeringen werkdagen]]*Ruimtestaat[[#This Row],[Oppervlak (netto)]]</f>
        <v>3520.0000000000005</v>
      </c>
      <c r="V401" s="259">
        <f>IF(T401&gt;0,Ruimtestaat[[#This Row],[Prest. (m2 /jaar) werkdagen]]/Ruimtestaat[[#This Row],[Norm (m2/uur) werkdagen]],0)</f>
        <v>0</v>
      </c>
      <c r="W401" s="260">
        <f>Ruimtestaat[[#This Row],[uren / jaar werkdagen]]*Tariefsopbouw!$D$38</f>
        <v>0</v>
      </c>
      <c r="X401" s="33"/>
      <c r="Y401" s="33">
        <f>IF(Ruimtestaat[[#This Row],[Frequentie weekend]]&gt;0,VALUE(LEFT(X401,1))*Q401,0)</f>
        <v>0</v>
      </c>
      <c r="Z401" s="33">
        <f>IF($Y401&gt;0,VLOOKUP($J401,Ruimtegroepen[],3,FALSE)*VLOOKUP($K401,Vloersoorten[],3,FALSE)*VLOOKUP($X401,Frequenties[],3,FALSE)*VLOOKUP(#REF!,Locaties[],3,FALSE),0)</f>
        <v>0</v>
      </c>
      <c r="AA401" s="33"/>
      <c r="AB401" s="33"/>
      <c r="AC401" s="33">
        <f>Ruimtestaat[[#This Row],[uren / jaar weekend]]*Tariefsopbouw!$D$40</f>
        <v>0</v>
      </c>
      <c r="AD401" s="88">
        <f>Ruimtestaat[[#This Row],[Prest. (m2 /jaar) weekend]]+Ruimtestaat[[#This Row],[Prest. (m2 /jaar) werkdagen]]</f>
        <v>3520.0000000000005</v>
      </c>
      <c r="AE401" s="88">
        <f>Ruimtestaat[[#This Row],[uren / jaar weekend]]+Ruimtestaat[[#This Row],[uren / jaar werkdagen]]</f>
        <v>0</v>
      </c>
      <c r="AF401" s="89">
        <f>Ruimtestaat[[#This Row],[kosten / jaar weekend]]+Ruimtestaat[[#This Row],[kosten / jaar werkdagen]]</f>
        <v>0</v>
      </c>
    </row>
    <row r="402" spans="1:32" ht="15" customHeight="1">
      <c r="A402" s="200">
        <v>2</v>
      </c>
      <c r="B402" s="21" t="str">
        <f>VLOOKUP(Ruimtestaat[[#This Row],[Code]],Locaties[#All],2,FALSE)</f>
        <v>Stichting Facilitair Beheer Van Renneslaan</v>
      </c>
      <c r="C402" s="243" t="str">
        <f>VLOOKUP(Ruimtestaat[[#This Row],[Code]],Locaties[#All],4,FALSE)</f>
        <v>Catharina van Renneslaan 35</v>
      </c>
      <c r="D402" s="243" t="str">
        <f>VLOOKUP(Ruimtestaat[[#This Row],[Code]],Locaties[#All],5,FALSE)</f>
        <v>7604 KV</v>
      </c>
      <c r="E402" s="243" t="str">
        <f>VLOOKUP(Ruimtestaat[[#This Row],[Code]],Locaties[#All],6,FALSE)</f>
        <v>Almelo</v>
      </c>
      <c r="F402" s="244" t="s">
        <v>1342</v>
      </c>
      <c r="G402" s="200" t="s">
        <v>1338</v>
      </c>
      <c r="H402" s="200"/>
      <c r="I402" s="244" t="s">
        <v>1318</v>
      </c>
      <c r="J402" s="200">
        <v>4</v>
      </c>
      <c r="K402" s="243" t="s">
        <v>1040</v>
      </c>
      <c r="L402" s="200" t="s">
        <v>999</v>
      </c>
      <c r="M402" s="213">
        <v>18.2</v>
      </c>
      <c r="N402" s="213"/>
      <c r="O402" s="243" t="str">
        <f>VLOOKUP(Ruimtestaat[[#This Row],[Ruimte code]],Ruimtegroepen[#All],4,FALSE)</f>
        <v>B  (Bureauruimte)</v>
      </c>
      <c r="P402" s="214"/>
      <c r="Q402" s="215">
        <v>40</v>
      </c>
      <c r="R402" s="215" t="s">
        <v>2</v>
      </c>
      <c r="S402" s="215">
        <f>IF(R402&gt;0,IF(RIGHT(Ruimtestaat[[#This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02" s="215">
        <f>IF(S402&gt;0,VLOOKUP($J402,Ruimtegroepen[],3,FALSE)*VLOOKUP($K402,Vloersoorten[],3,FALSE)*VLOOKUP($R402,Frequenties[],3,FALSE)*VLOOKUP($A402,Locaties[],3,FALSE),0)</f>
        <v>0</v>
      </c>
      <c r="U402" s="215">
        <f>Ruimtestaat[[#This Row],[Uitvoeringen werkdagen]]*Ruimtestaat[[#This Row],[Oppervlak (netto)]]</f>
        <v>3640</v>
      </c>
      <c r="V402" s="259">
        <f>IF(T402&gt;0,Ruimtestaat[[#This Row],[Prest. (m2 /jaar) werkdagen]]/Ruimtestaat[[#This Row],[Norm (m2/uur) werkdagen]],0)</f>
        <v>0</v>
      </c>
      <c r="W402" s="260">
        <f>Ruimtestaat[[#This Row],[uren / jaar werkdagen]]*Tariefsopbouw!$D$38</f>
        <v>0</v>
      </c>
      <c r="X402" s="33"/>
      <c r="Y402" s="33">
        <f>IF(Ruimtestaat[[#This Row],[Frequentie weekend]]&gt;0,VALUE(LEFT(X402,1))*Q402,0)</f>
        <v>0</v>
      </c>
      <c r="Z402" s="33">
        <f>IF($Y402&gt;0,VLOOKUP($J402,Ruimtegroepen[],3,FALSE)*VLOOKUP($K402,Vloersoorten[],3,FALSE)*VLOOKUP($X402,Frequenties[],3,FALSE)*VLOOKUP(#REF!,Locaties[],3,FALSE),0)</f>
        <v>0</v>
      </c>
      <c r="AA402" s="33"/>
      <c r="AB402" s="33"/>
      <c r="AC402" s="33">
        <f>Ruimtestaat[[#This Row],[uren / jaar weekend]]*Tariefsopbouw!$D$40</f>
        <v>0</v>
      </c>
      <c r="AD402" s="88">
        <f>Ruimtestaat[[#This Row],[Prest. (m2 /jaar) weekend]]+Ruimtestaat[[#This Row],[Prest. (m2 /jaar) werkdagen]]</f>
        <v>3640</v>
      </c>
      <c r="AE402" s="88">
        <f>Ruimtestaat[[#This Row],[uren / jaar weekend]]+Ruimtestaat[[#This Row],[uren / jaar werkdagen]]</f>
        <v>0</v>
      </c>
      <c r="AF402" s="89">
        <f>Ruimtestaat[[#This Row],[kosten / jaar weekend]]+Ruimtestaat[[#This Row],[kosten / jaar werkdagen]]</f>
        <v>0</v>
      </c>
    </row>
    <row r="403" spans="1:32" ht="15" customHeight="1">
      <c r="A403" s="200">
        <v>2</v>
      </c>
      <c r="B403" s="21" t="str">
        <f>VLOOKUP(Ruimtestaat[[#This Row],[Code]],Locaties[#All],2,FALSE)</f>
        <v>Stichting Facilitair Beheer Van Renneslaan</v>
      </c>
      <c r="C403" s="243" t="str">
        <f>VLOOKUP(Ruimtestaat[[#This Row],[Code]],Locaties[#All],4,FALSE)</f>
        <v>Catharina van Renneslaan 35</v>
      </c>
      <c r="D403" s="243" t="str">
        <f>VLOOKUP(Ruimtestaat[[#This Row],[Code]],Locaties[#All],5,FALSE)</f>
        <v>7604 KV</v>
      </c>
      <c r="E403" s="243" t="str">
        <f>VLOOKUP(Ruimtestaat[[#This Row],[Code]],Locaties[#All],6,FALSE)</f>
        <v>Almelo</v>
      </c>
      <c r="F403" s="244" t="s">
        <v>1342</v>
      </c>
      <c r="G403" s="200" t="s">
        <v>1338</v>
      </c>
      <c r="H403" s="200"/>
      <c r="I403" s="244" t="s">
        <v>1319</v>
      </c>
      <c r="J403" s="243">
        <v>2</v>
      </c>
      <c r="K403" s="243" t="s">
        <v>1040</v>
      </c>
      <c r="L403" s="200" t="s">
        <v>999</v>
      </c>
      <c r="M403" s="213">
        <v>18.5</v>
      </c>
      <c r="N403" s="213"/>
      <c r="O403" s="243" t="str">
        <f>VLOOKUP(Ruimtestaat[[#This Row],[Ruimte code]],Ruimtegroepen[#All],4,FALSE)</f>
        <v>B  (Bureauruimte)</v>
      </c>
      <c r="P403" s="214"/>
      <c r="Q403" s="215">
        <v>40</v>
      </c>
      <c r="R403" s="215" t="s">
        <v>18</v>
      </c>
      <c r="S403" s="215">
        <f>IF(R403&gt;0,IF(RIGHT(Ruimtestaat[[#This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03" s="215">
        <f>IF(S403&gt;0,VLOOKUP($J403,Ruimtegroepen[],3,FALSE)*VLOOKUP($K403,Vloersoorten[],3,FALSE)*VLOOKUP($R403,Frequenties[],3,FALSE)*VLOOKUP($A403,Locaties[],3,FALSE),0)</f>
        <v>0</v>
      </c>
      <c r="U403" s="215">
        <f>Ruimtestaat[[#This Row],[Uitvoeringen werkdagen]]*Ruimtestaat[[#This Row],[Oppervlak (netto)]]</f>
        <v>2220</v>
      </c>
      <c r="V403" s="259">
        <f>IF(T403&gt;0,Ruimtestaat[[#This Row],[Prest. (m2 /jaar) werkdagen]]/Ruimtestaat[[#This Row],[Norm (m2/uur) werkdagen]],0)</f>
        <v>0</v>
      </c>
      <c r="W403" s="260">
        <f>Ruimtestaat[[#This Row],[uren / jaar werkdagen]]*Tariefsopbouw!$D$38</f>
        <v>0</v>
      </c>
      <c r="X403" s="33"/>
      <c r="Y403" s="33">
        <f>IF(Ruimtestaat[[#This Row],[Frequentie weekend]]&gt;0,VALUE(LEFT(X403,1))*Q403,0)</f>
        <v>0</v>
      </c>
      <c r="Z403" s="33">
        <f>IF($Y403&gt;0,VLOOKUP($J403,Ruimtegroepen[],3,FALSE)*VLOOKUP($K403,Vloersoorten[],3,FALSE)*VLOOKUP($X403,Frequenties[],3,FALSE)*VLOOKUP(#REF!,Locaties[],3,FALSE),0)</f>
        <v>0</v>
      </c>
      <c r="AA403" s="33"/>
      <c r="AB403" s="33"/>
      <c r="AC403" s="33">
        <f>Ruimtestaat[[#This Row],[uren / jaar weekend]]*Tariefsopbouw!$D$40</f>
        <v>0</v>
      </c>
      <c r="AD403" s="88">
        <f>Ruimtestaat[[#This Row],[Prest. (m2 /jaar) weekend]]+Ruimtestaat[[#This Row],[Prest. (m2 /jaar) werkdagen]]</f>
        <v>2220</v>
      </c>
      <c r="AE403" s="88">
        <f>Ruimtestaat[[#This Row],[uren / jaar weekend]]+Ruimtestaat[[#This Row],[uren / jaar werkdagen]]</f>
        <v>0</v>
      </c>
      <c r="AF403" s="89">
        <f>Ruimtestaat[[#This Row],[kosten / jaar weekend]]+Ruimtestaat[[#This Row],[kosten / jaar werkdagen]]</f>
        <v>0</v>
      </c>
    </row>
    <row r="404" spans="1:32" ht="15" customHeight="1">
      <c r="A404" s="200">
        <v>2</v>
      </c>
      <c r="B404" s="21" t="str">
        <f>VLOOKUP(Ruimtestaat[[#This Row],[Code]],Locaties[#All],2,FALSE)</f>
        <v>Stichting Facilitair Beheer Van Renneslaan</v>
      </c>
      <c r="C404" s="243" t="str">
        <f>VLOOKUP(Ruimtestaat[[#This Row],[Code]],Locaties[#All],4,FALSE)</f>
        <v>Catharina van Renneslaan 35</v>
      </c>
      <c r="D404" s="243" t="str">
        <f>VLOOKUP(Ruimtestaat[[#This Row],[Code]],Locaties[#All],5,FALSE)</f>
        <v>7604 KV</v>
      </c>
      <c r="E404" s="243" t="str">
        <f>VLOOKUP(Ruimtestaat[[#This Row],[Code]],Locaties[#All],6,FALSE)</f>
        <v>Almelo</v>
      </c>
      <c r="F404" s="244" t="s">
        <v>1342</v>
      </c>
      <c r="G404" s="200" t="s">
        <v>1338</v>
      </c>
      <c r="H404" s="200"/>
      <c r="I404" s="244" t="s">
        <v>1320</v>
      </c>
      <c r="J404" s="200">
        <v>1</v>
      </c>
      <c r="K404" s="243" t="s">
        <v>112</v>
      </c>
      <c r="L404" s="200" t="s">
        <v>1341</v>
      </c>
      <c r="M404" s="213">
        <v>27.3</v>
      </c>
      <c r="N404" s="213"/>
      <c r="O404" s="243" t="str">
        <f>VLOOKUP(Ruimtestaat[[#This Row],[Ruimte code]],Ruimtegroepen[#All],4,FALSE)</f>
        <v>V  (Verkeersruimte)</v>
      </c>
      <c r="P404" s="214"/>
      <c r="Q404" s="215">
        <v>40</v>
      </c>
      <c r="R404" s="215" t="s">
        <v>16</v>
      </c>
      <c r="S404" s="215">
        <f>IF(R404&gt;0,IF(RIGHT(Ruimtestaat[[#This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04" s="215">
        <f>IF(S404&gt;0,VLOOKUP($J404,Ruimtegroepen[],3,FALSE)*VLOOKUP($K404,Vloersoorten[],3,FALSE)*VLOOKUP($R404,Frequenties[],3,FALSE)*VLOOKUP($A404,Locaties[],3,FALSE),0)</f>
        <v>0</v>
      </c>
      <c r="U404" s="215">
        <f>Ruimtestaat[[#This Row],[Uitvoeringen werkdagen]]*Ruimtestaat[[#This Row],[Oppervlak (netto)]]</f>
        <v>327.60000000000002</v>
      </c>
      <c r="V404" s="259">
        <f>IF(T404&gt;0,Ruimtestaat[[#This Row],[Prest. (m2 /jaar) werkdagen]]/Ruimtestaat[[#This Row],[Norm (m2/uur) werkdagen]],0)</f>
        <v>0</v>
      </c>
      <c r="W404" s="260">
        <f>Ruimtestaat[[#This Row],[uren / jaar werkdagen]]*Tariefsopbouw!$D$38</f>
        <v>0</v>
      </c>
      <c r="X404" s="33"/>
      <c r="Y404" s="33">
        <f>IF(Ruimtestaat[[#This Row],[Frequentie weekend]]&gt;0,VALUE(LEFT(X404,1))*Q404,0)</f>
        <v>0</v>
      </c>
      <c r="Z404" s="33">
        <f>IF($Y404&gt;0,VLOOKUP($J404,Ruimtegroepen[],3,FALSE)*VLOOKUP($K404,Vloersoorten[],3,FALSE)*VLOOKUP($X404,Frequenties[],3,FALSE)*VLOOKUP(#REF!,Locaties[],3,FALSE),0)</f>
        <v>0</v>
      </c>
      <c r="AA404" s="33"/>
      <c r="AB404" s="33"/>
      <c r="AC404" s="33">
        <f>Ruimtestaat[[#This Row],[uren / jaar weekend]]*Tariefsopbouw!$D$40</f>
        <v>0</v>
      </c>
      <c r="AD404" s="88">
        <f>Ruimtestaat[[#This Row],[Prest. (m2 /jaar) weekend]]+Ruimtestaat[[#This Row],[Prest. (m2 /jaar) werkdagen]]</f>
        <v>327.60000000000002</v>
      </c>
      <c r="AE404" s="88">
        <f>Ruimtestaat[[#This Row],[uren / jaar weekend]]+Ruimtestaat[[#This Row],[uren / jaar werkdagen]]</f>
        <v>0</v>
      </c>
      <c r="AF404" s="89">
        <f>Ruimtestaat[[#This Row],[kosten / jaar weekend]]+Ruimtestaat[[#This Row],[kosten / jaar werkdagen]]</f>
        <v>0</v>
      </c>
    </row>
    <row r="405" spans="1:32" ht="15" customHeight="1">
      <c r="A405" s="280">
        <v>3</v>
      </c>
      <c r="B405" s="21" t="str">
        <f>VLOOKUP(Ruimtestaat[[#This Row],[Code]],Locaties[#All],2,FALSE)</f>
        <v>Stafbureau</v>
      </c>
      <c r="C405" s="281" t="str">
        <f>VLOOKUP(Ruimtestaat[[#This Row],[Code]],Locaties[#All],4,FALSE)</f>
        <v>Cesar Frankstraat 6</v>
      </c>
      <c r="D405" s="281" t="str">
        <f>VLOOKUP(Ruimtestaat[[#This Row],[Code]],Locaties[#All],5,FALSE)</f>
        <v>7604 JG </v>
      </c>
      <c r="E405" s="281" t="str">
        <f>VLOOKUP(Ruimtestaat[[#This Row],[Code]],Locaties[#All],6,FALSE)</f>
        <v>Almelo</v>
      </c>
      <c r="F405" s="282"/>
      <c r="G405" s="283" t="s">
        <v>444</v>
      </c>
      <c r="H405" s="280" t="s">
        <v>700</v>
      </c>
      <c r="I405" s="282" t="s">
        <v>698</v>
      </c>
      <c r="J405" s="200">
        <v>6</v>
      </c>
      <c r="K405" s="243" t="s">
        <v>109</v>
      </c>
      <c r="L405" s="293" t="s">
        <v>919</v>
      </c>
      <c r="M405" s="213">
        <v>76.06</v>
      </c>
      <c r="N405" s="202"/>
      <c r="O405" s="243" t="str">
        <f>VLOOKUP(Ruimtestaat[[#This Row],[Ruimte code]],Ruimtegroepen[#All],4,FALSE)</f>
        <v>V  (Verkeersruimte)</v>
      </c>
      <c r="P405" s="214"/>
      <c r="Q405" s="215">
        <v>42</v>
      </c>
      <c r="R405" s="215" t="s">
        <v>2</v>
      </c>
      <c r="S405" s="215">
        <f>IF(R405&gt;0,IF(RIGHT(Ruimtestaat[[#This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05" s="215">
        <f>IF(S405&gt;0,VLOOKUP($J405,Ruimtegroepen[],3,FALSE)*VLOOKUP($K405,Vloersoorten[],3,FALSE)*VLOOKUP($R405,Frequenties[],3,FALSE)*VLOOKUP($A405,Locaties[],3,FALSE),0)</f>
        <v>0</v>
      </c>
      <c r="U405" s="215">
        <f>Ruimtestaat[[#This Row],[Uitvoeringen werkdagen]]*Ruimtestaat[[#This Row],[Oppervlak (netto)]]</f>
        <v>15972.6</v>
      </c>
      <c r="V405" s="259">
        <f>IF(T405&gt;0,Ruimtestaat[[#This Row],[Prest. (m2 /jaar) werkdagen]]/Ruimtestaat[[#This Row],[Norm (m2/uur) werkdagen]],0)</f>
        <v>0</v>
      </c>
      <c r="W405" s="260">
        <f>Ruimtestaat[[#This Row],[uren / jaar werkdagen]]*Tariefsopbouw!$D$38</f>
        <v>0</v>
      </c>
      <c r="X405" s="33"/>
      <c r="Y405" s="33">
        <f>IF(Ruimtestaat[[#This Row],[Frequentie weekend]]&gt;0,VALUE(LEFT(X405,1))*Q405,0)</f>
        <v>0</v>
      </c>
      <c r="Z405" s="33">
        <f>IF($Y405&gt;0,VLOOKUP($J405,Ruimtegroepen[],3,FALSE)*VLOOKUP($K405,Vloersoorten[],3,FALSE)*VLOOKUP($X405,Frequenties[],3,FALSE)*VLOOKUP(#REF!,Locaties[],3,FALSE),0)</f>
        <v>0</v>
      </c>
      <c r="AA405" s="33"/>
      <c r="AB405" s="33"/>
      <c r="AC405" s="33">
        <f>Ruimtestaat[[#This Row],[uren / jaar weekend]]*Tariefsopbouw!$D$40</f>
        <v>0</v>
      </c>
      <c r="AD405" s="88">
        <f>Ruimtestaat[[#This Row],[Prest. (m2 /jaar) weekend]]+Ruimtestaat[[#This Row],[Prest. (m2 /jaar) werkdagen]]</f>
        <v>15972.6</v>
      </c>
      <c r="AE405" s="88">
        <f>Ruimtestaat[[#This Row],[uren / jaar weekend]]+Ruimtestaat[[#This Row],[uren / jaar werkdagen]]</f>
        <v>0</v>
      </c>
      <c r="AF405" s="89">
        <f>Ruimtestaat[[#This Row],[kosten / jaar weekend]]+Ruimtestaat[[#This Row],[kosten / jaar werkdagen]]</f>
        <v>0</v>
      </c>
    </row>
    <row r="406" spans="1:32" ht="15" customHeight="1">
      <c r="A406" s="280">
        <v>3</v>
      </c>
      <c r="B406" s="21" t="str">
        <f>VLOOKUP(Ruimtestaat[[#This Row],[Code]],Locaties[#All],2,FALSE)</f>
        <v>Stafbureau</v>
      </c>
      <c r="C406" s="281" t="str">
        <f>VLOOKUP(Ruimtestaat[[#This Row],[Code]],Locaties[#All],4,FALSE)</f>
        <v>Cesar Frankstraat 6</v>
      </c>
      <c r="D406" s="281" t="str">
        <f>VLOOKUP(Ruimtestaat[[#This Row],[Code]],Locaties[#All],5,FALSE)</f>
        <v>7604 JG </v>
      </c>
      <c r="E406" s="281" t="str">
        <f>VLOOKUP(Ruimtestaat[[#This Row],[Code]],Locaties[#All],6,FALSE)</f>
        <v>Almelo</v>
      </c>
      <c r="F406" s="282"/>
      <c r="G406" s="283" t="s">
        <v>444</v>
      </c>
      <c r="H406" s="280" t="s">
        <v>701</v>
      </c>
      <c r="I406" s="282" t="s">
        <v>702</v>
      </c>
      <c r="J406" s="200">
        <v>21</v>
      </c>
      <c r="K406" s="281"/>
      <c r="L406" s="293"/>
      <c r="M406" s="213"/>
      <c r="N406" s="213">
        <v>0.48</v>
      </c>
      <c r="O406" s="243" t="str">
        <f>VLOOKUP(Ruimtestaat[[#This Row],[Ruimte code]],Ruimtegroepen[#All],4,FALSE)</f>
        <v>Niet in onderhoud</v>
      </c>
      <c r="P406" s="214"/>
      <c r="Q406" s="215"/>
      <c r="R406" s="215"/>
      <c r="S406" s="215">
        <f>IF(R406&gt;0,IF(RIGHT(Ruimtestaat[[#This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6" s="215">
        <f>IF(S406&gt;0,VLOOKUP($J406,Ruimtegroepen[],3,FALSE)*VLOOKUP($K406,Vloersoorten[],3,FALSE)*VLOOKUP($R406,Frequenties[],3,FALSE)*VLOOKUP($A406,Locaties[],3,FALSE),0)</f>
        <v>0</v>
      </c>
      <c r="U406" s="215">
        <f>Ruimtestaat[[#This Row],[Uitvoeringen werkdagen]]*Ruimtestaat[[#This Row],[Oppervlak (netto)]]</f>
        <v>0</v>
      </c>
      <c r="V406" s="259">
        <f>IF(T406&gt;0,Ruimtestaat[[#This Row],[Prest. (m2 /jaar) werkdagen]]/Ruimtestaat[[#This Row],[Norm (m2/uur) werkdagen]],0)</f>
        <v>0</v>
      </c>
      <c r="W406" s="260">
        <f>Ruimtestaat[[#This Row],[uren / jaar werkdagen]]*Tariefsopbouw!$D$38</f>
        <v>0</v>
      </c>
      <c r="X406" s="33"/>
      <c r="Y406" s="33">
        <f>IF(Ruimtestaat[[#This Row],[Frequentie weekend]]&gt;0,VALUE(LEFT(X406,1))*Q406,0)</f>
        <v>0</v>
      </c>
      <c r="Z406" s="33">
        <f>IF($Y406&gt;0,VLOOKUP($J406,Ruimtegroepen[],3,FALSE)*VLOOKUP($K406,Vloersoorten[],3,FALSE)*VLOOKUP($X406,Frequenties[],3,FALSE)*VLOOKUP(#REF!,Locaties[],3,FALSE),0)</f>
        <v>0</v>
      </c>
      <c r="AA406" s="33"/>
      <c r="AB406" s="33"/>
      <c r="AC406" s="33">
        <f>Ruimtestaat[[#This Row],[uren / jaar weekend]]*Tariefsopbouw!$D$40</f>
        <v>0</v>
      </c>
      <c r="AD406" s="88">
        <f>Ruimtestaat[[#This Row],[Prest. (m2 /jaar) weekend]]+Ruimtestaat[[#This Row],[Prest. (m2 /jaar) werkdagen]]</f>
        <v>0</v>
      </c>
      <c r="AE406" s="88">
        <f>Ruimtestaat[[#This Row],[uren / jaar weekend]]+Ruimtestaat[[#This Row],[uren / jaar werkdagen]]</f>
        <v>0</v>
      </c>
      <c r="AF406" s="89">
        <f>Ruimtestaat[[#This Row],[kosten / jaar weekend]]+Ruimtestaat[[#This Row],[kosten / jaar werkdagen]]</f>
        <v>0</v>
      </c>
    </row>
    <row r="407" spans="1:32" ht="15" customHeight="1">
      <c r="A407" s="280">
        <v>3</v>
      </c>
      <c r="B407" s="21" t="str">
        <f>VLOOKUP(Ruimtestaat[[#This Row],[Code]],Locaties[#All],2,FALSE)</f>
        <v>Stafbureau</v>
      </c>
      <c r="C407" s="281" t="str">
        <f>VLOOKUP(Ruimtestaat[[#This Row],[Code]],Locaties[#All],4,FALSE)</f>
        <v>Cesar Frankstraat 6</v>
      </c>
      <c r="D407" s="281" t="str">
        <f>VLOOKUP(Ruimtestaat[[#This Row],[Code]],Locaties[#All],5,FALSE)</f>
        <v>7604 JG </v>
      </c>
      <c r="E407" s="281" t="str">
        <f>VLOOKUP(Ruimtestaat[[#This Row],[Code]],Locaties[#All],6,FALSE)</f>
        <v>Almelo</v>
      </c>
      <c r="F407" s="282"/>
      <c r="G407" s="283" t="s">
        <v>444</v>
      </c>
      <c r="H407" s="280" t="s">
        <v>703</v>
      </c>
      <c r="I407" s="282" t="s">
        <v>702</v>
      </c>
      <c r="J407" s="200">
        <v>21</v>
      </c>
      <c r="K407" s="281"/>
      <c r="L407" s="293"/>
      <c r="M407" s="213"/>
      <c r="N407" s="213">
        <v>0.48</v>
      </c>
      <c r="O407" s="243" t="str">
        <f>VLOOKUP(Ruimtestaat[[#This Row],[Ruimte code]],Ruimtegroepen[#All],4,FALSE)</f>
        <v>Niet in onderhoud</v>
      </c>
      <c r="P407" s="214"/>
      <c r="Q407" s="215"/>
      <c r="R407" s="215"/>
      <c r="S407" s="215">
        <f>IF(R407&gt;0,IF(RIGHT(Ruimtestaat[[#This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07" s="215">
        <f>IF(S407&gt;0,VLOOKUP($J407,Ruimtegroepen[],3,FALSE)*VLOOKUP($K407,Vloersoorten[],3,FALSE)*VLOOKUP($R407,Frequenties[],3,FALSE)*VLOOKUP($A407,Locaties[],3,FALSE),0)</f>
        <v>0</v>
      </c>
      <c r="U407" s="215">
        <f>Ruimtestaat[[#This Row],[Uitvoeringen werkdagen]]*Ruimtestaat[[#This Row],[Oppervlak (netto)]]</f>
        <v>0</v>
      </c>
      <c r="V407" s="259">
        <f>IF(T407&gt;0,Ruimtestaat[[#This Row],[Prest. (m2 /jaar) werkdagen]]/Ruimtestaat[[#This Row],[Norm (m2/uur) werkdagen]],0)</f>
        <v>0</v>
      </c>
      <c r="W407" s="260">
        <f>Ruimtestaat[[#This Row],[uren / jaar werkdagen]]*Tariefsopbouw!$D$38</f>
        <v>0</v>
      </c>
      <c r="X407" s="33"/>
      <c r="Y407" s="33">
        <f>IF(Ruimtestaat[[#This Row],[Frequentie weekend]]&gt;0,VALUE(LEFT(X407,1))*Q407,0)</f>
        <v>0</v>
      </c>
      <c r="Z407" s="33">
        <f>IF($Y407&gt;0,VLOOKUP($J407,Ruimtegroepen[],3,FALSE)*VLOOKUP($K407,Vloersoorten[],3,FALSE)*VLOOKUP($X407,Frequenties[],3,FALSE)*VLOOKUP(#REF!,Locaties[],3,FALSE),0)</f>
        <v>0</v>
      </c>
      <c r="AA407" s="33"/>
      <c r="AB407" s="33"/>
      <c r="AC407" s="33">
        <f>Ruimtestaat[[#This Row],[uren / jaar weekend]]*Tariefsopbouw!$D$40</f>
        <v>0</v>
      </c>
      <c r="AD407" s="88">
        <f>Ruimtestaat[[#This Row],[Prest. (m2 /jaar) weekend]]+Ruimtestaat[[#This Row],[Prest. (m2 /jaar) werkdagen]]</f>
        <v>0</v>
      </c>
      <c r="AE407" s="88">
        <f>Ruimtestaat[[#This Row],[uren / jaar weekend]]+Ruimtestaat[[#This Row],[uren / jaar werkdagen]]</f>
        <v>0</v>
      </c>
      <c r="AF407" s="89">
        <f>Ruimtestaat[[#This Row],[kosten / jaar weekend]]+Ruimtestaat[[#This Row],[kosten / jaar werkdagen]]</f>
        <v>0</v>
      </c>
    </row>
    <row r="408" spans="1:32" ht="15" customHeight="1">
      <c r="A408" s="280">
        <v>3</v>
      </c>
      <c r="B408" s="21" t="str">
        <f>VLOOKUP(Ruimtestaat[[#This Row],[Code]],Locaties[#All],2,FALSE)</f>
        <v>Stafbureau</v>
      </c>
      <c r="C408" s="281" t="str">
        <f>VLOOKUP(Ruimtestaat[[#This Row],[Code]],Locaties[#All],4,FALSE)</f>
        <v>Cesar Frankstraat 6</v>
      </c>
      <c r="D408" s="281" t="str">
        <f>VLOOKUP(Ruimtestaat[[#This Row],[Code]],Locaties[#All],5,FALSE)</f>
        <v>7604 JG </v>
      </c>
      <c r="E408" s="281" t="str">
        <f>VLOOKUP(Ruimtestaat[[#This Row],[Code]],Locaties[#All],6,FALSE)</f>
        <v>Almelo</v>
      </c>
      <c r="F408" s="282"/>
      <c r="G408" s="283" t="s">
        <v>444</v>
      </c>
      <c r="H408" s="280" t="s">
        <v>704</v>
      </c>
      <c r="I408" s="282" t="s">
        <v>705</v>
      </c>
      <c r="J408" s="281">
        <v>4</v>
      </c>
      <c r="K408" s="243" t="s">
        <v>109</v>
      </c>
      <c r="L408" s="293" t="s">
        <v>919</v>
      </c>
      <c r="M408" s="213">
        <v>18.73</v>
      </c>
      <c r="N408" s="202"/>
      <c r="O408" s="243" t="str">
        <f>VLOOKUP(Ruimtestaat[[#This Row],[Ruimte code]],Ruimtegroepen[#All],4,FALSE)</f>
        <v>B  (Bureauruimte)</v>
      </c>
      <c r="P408" s="214"/>
      <c r="Q408" s="215">
        <v>42</v>
      </c>
      <c r="R408" s="215" t="s">
        <v>2</v>
      </c>
      <c r="S408" s="215">
        <f>IF(R408&gt;0,IF(RIGHT(Ruimtestaat[[#This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08" s="215">
        <f>IF(S408&gt;0,VLOOKUP($J408,Ruimtegroepen[],3,FALSE)*VLOOKUP($K408,Vloersoorten[],3,FALSE)*VLOOKUP($R408,Frequenties[],3,FALSE)*VLOOKUP($A408,Locaties[],3,FALSE),0)</f>
        <v>0</v>
      </c>
      <c r="U408" s="215">
        <f>Ruimtestaat[[#This Row],[Uitvoeringen werkdagen]]*Ruimtestaat[[#This Row],[Oppervlak (netto)]]</f>
        <v>3933.3</v>
      </c>
      <c r="V408" s="259">
        <f>IF(T408&gt;0,Ruimtestaat[[#This Row],[Prest. (m2 /jaar) werkdagen]]/Ruimtestaat[[#This Row],[Norm (m2/uur) werkdagen]],0)</f>
        <v>0</v>
      </c>
      <c r="W408" s="260">
        <f>Ruimtestaat[[#This Row],[uren / jaar werkdagen]]*Tariefsopbouw!$D$38</f>
        <v>0</v>
      </c>
      <c r="X408" s="33"/>
      <c r="Y408" s="33">
        <f>IF(Ruimtestaat[[#This Row],[Frequentie weekend]]&gt;0,VALUE(LEFT(X408,1))*Q408,0)</f>
        <v>0</v>
      </c>
      <c r="Z408" s="33">
        <f>IF($Y408&gt;0,VLOOKUP($J408,Ruimtegroepen[],3,FALSE)*VLOOKUP($K408,Vloersoorten[],3,FALSE)*VLOOKUP($X408,Frequenties[],3,FALSE)*VLOOKUP(#REF!,Locaties[],3,FALSE),0)</f>
        <v>0</v>
      </c>
      <c r="AA408" s="33"/>
      <c r="AB408" s="33"/>
      <c r="AC408" s="33">
        <f>Ruimtestaat[[#This Row],[uren / jaar weekend]]*Tariefsopbouw!$D$40</f>
        <v>0</v>
      </c>
      <c r="AD408" s="88">
        <f>Ruimtestaat[[#This Row],[Prest. (m2 /jaar) weekend]]+Ruimtestaat[[#This Row],[Prest. (m2 /jaar) werkdagen]]</f>
        <v>3933.3</v>
      </c>
      <c r="AE408" s="88">
        <f>Ruimtestaat[[#This Row],[uren / jaar weekend]]+Ruimtestaat[[#This Row],[uren / jaar werkdagen]]</f>
        <v>0</v>
      </c>
      <c r="AF408" s="89">
        <f>Ruimtestaat[[#This Row],[kosten / jaar weekend]]+Ruimtestaat[[#This Row],[kosten / jaar werkdagen]]</f>
        <v>0</v>
      </c>
    </row>
    <row r="409" spans="1:32" ht="15" customHeight="1">
      <c r="A409" s="280">
        <v>3</v>
      </c>
      <c r="B409" s="21" t="str">
        <f>VLOOKUP(Ruimtestaat[[#This Row],[Code]],Locaties[#All],2,FALSE)</f>
        <v>Stafbureau</v>
      </c>
      <c r="C409" s="281" t="str">
        <f>VLOOKUP(Ruimtestaat[[#This Row],[Code]],Locaties[#All],4,FALSE)</f>
        <v>Cesar Frankstraat 6</v>
      </c>
      <c r="D409" s="281" t="str">
        <f>VLOOKUP(Ruimtestaat[[#This Row],[Code]],Locaties[#All],5,FALSE)</f>
        <v>7604 JG </v>
      </c>
      <c r="E409" s="281" t="str">
        <f>VLOOKUP(Ruimtestaat[[#This Row],[Code]],Locaties[#All],6,FALSE)</f>
        <v>Almelo</v>
      </c>
      <c r="F409" s="282"/>
      <c r="G409" s="283" t="s">
        <v>444</v>
      </c>
      <c r="H409" s="280" t="s">
        <v>706</v>
      </c>
      <c r="I409" s="282" t="s">
        <v>707</v>
      </c>
      <c r="J409" s="281">
        <v>2</v>
      </c>
      <c r="K409" s="243" t="s">
        <v>109</v>
      </c>
      <c r="L409" s="293" t="s">
        <v>919</v>
      </c>
      <c r="M409" s="213">
        <v>18.73</v>
      </c>
      <c r="N409" s="202"/>
      <c r="O409" s="243" t="str">
        <f>VLOOKUP(Ruimtestaat[[#This Row],[Ruimte code]],Ruimtegroepen[#All],4,FALSE)</f>
        <v>B  (Bureauruimte)</v>
      </c>
      <c r="P409" s="214"/>
      <c r="Q409" s="215">
        <v>42</v>
      </c>
      <c r="R409" s="215" t="s">
        <v>2</v>
      </c>
      <c r="S409" s="215">
        <f>IF(R409&gt;0,IF(RIGHT(Ruimtestaat[[#This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09" s="215">
        <f>IF(S409&gt;0,VLOOKUP($J409,Ruimtegroepen[],3,FALSE)*VLOOKUP($K409,Vloersoorten[],3,FALSE)*VLOOKUP($R409,Frequenties[],3,FALSE)*VLOOKUP($A409,Locaties[],3,FALSE),0)</f>
        <v>0</v>
      </c>
      <c r="U409" s="215">
        <f>Ruimtestaat[[#This Row],[Uitvoeringen werkdagen]]*Ruimtestaat[[#This Row],[Oppervlak (netto)]]</f>
        <v>3933.3</v>
      </c>
      <c r="V409" s="259">
        <f>IF(T409&gt;0,Ruimtestaat[[#This Row],[Prest. (m2 /jaar) werkdagen]]/Ruimtestaat[[#This Row],[Norm (m2/uur) werkdagen]],0)</f>
        <v>0</v>
      </c>
      <c r="W409" s="260">
        <f>Ruimtestaat[[#This Row],[uren / jaar werkdagen]]*Tariefsopbouw!$D$38</f>
        <v>0</v>
      </c>
      <c r="X409" s="33"/>
      <c r="Y409" s="33">
        <f>IF(Ruimtestaat[[#This Row],[Frequentie weekend]]&gt;0,VALUE(LEFT(X409,1))*Q409,0)</f>
        <v>0</v>
      </c>
      <c r="Z409" s="33">
        <f>IF($Y409&gt;0,VLOOKUP($J409,Ruimtegroepen[],3,FALSE)*VLOOKUP($K409,Vloersoorten[],3,FALSE)*VLOOKUP($X409,Frequenties[],3,FALSE)*VLOOKUP(#REF!,Locaties[],3,FALSE),0)</f>
        <v>0</v>
      </c>
      <c r="AA409" s="33"/>
      <c r="AB409" s="33"/>
      <c r="AC409" s="33">
        <f>Ruimtestaat[[#This Row],[uren / jaar weekend]]*Tariefsopbouw!$D$40</f>
        <v>0</v>
      </c>
      <c r="AD409" s="88">
        <f>Ruimtestaat[[#This Row],[Prest. (m2 /jaar) weekend]]+Ruimtestaat[[#This Row],[Prest. (m2 /jaar) werkdagen]]</f>
        <v>3933.3</v>
      </c>
      <c r="AE409" s="88">
        <f>Ruimtestaat[[#This Row],[uren / jaar weekend]]+Ruimtestaat[[#This Row],[uren / jaar werkdagen]]</f>
        <v>0</v>
      </c>
      <c r="AF409" s="89">
        <f>Ruimtestaat[[#This Row],[kosten / jaar weekend]]+Ruimtestaat[[#This Row],[kosten / jaar werkdagen]]</f>
        <v>0</v>
      </c>
    </row>
    <row r="410" spans="1:32" ht="15" customHeight="1">
      <c r="A410" s="280">
        <v>3</v>
      </c>
      <c r="B410" s="21" t="str">
        <f>VLOOKUP(Ruimtestaat[[#This Row],[Code]],Locaties[#All],2,FALSE)</f>
        <v>Stafbureau</v>
      </c>
      <c r="C410" s="281" t="str">
        <f>VLOOKUP(Ruimtestaat[[#This Row],[Code]],Locaties[#All],4,FALSE)</f>
        <v>Cesar Frankstraat 6</v>
      </c>
      <c r="D410" s="281" t="str">
        <f>VLOOKUP(Ruimtestaat[[#This Row],[Code]],Locaties[#All],5,FALSE)</f>
        <v>7604 JG </v>
      </c>
      <c r="E410" s="281" t="str">
        <f>VLOOKUP(Ruimtestaat[[#This Row],[Code]],Locaties[#All],6,FALSE)</f>
        <v>Almelo</v>
      </c>
      <c r="F410" s="282"/>
      <c r="G410" s="283" t="s">
        <v>444</v>
      </c>
      <c r="H410" s="280" t="s">
        <v>708</v>
      </c>
      <c r="I410" s="282" t="s">
        <v>709</v>
      </c>
      <c r="J410" s="200">
        <v>2</v>
      </c>
      <c r="K410" s="243" t="s">
        <v>109</v>
      </c>
      <c r="L410" s="293" t="s">
        <v>919</v>
      </c>
      <c r="M410" s="213">
        <v>28.62</v>
      </c>
      <c r="N410" s="202"/>
      <c r="O410" s="243" t="str">
        <f>VLOOKUP(Ruimtestaat[[#This Row],[Ruimte code]],Ruimtegroepen[#All],4,FALSE)</f>
        <v>B  (Bureauruimte)</v>
      </c>
      <c r="P410" s="214"/>
      <c r="Q410" s="215">
        <v>42</v>
      </c>
      <c r="R410" s="215" t="s">
        <v>2</v>
      </c>
      <c r="S410" s="215">
        <f>IF(R410&gt;0,IF(RIGHT(Ruimtestaat[[#This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0" s="215">
        <f>IF(S410&gt;0,VLOOKUP($J410,Ruimtegroepen[],3,FALSE)*VLOOKUP($K410,Vloersoorten[],3,FALSE)*VLOOKUP($R410,Frequenties[],3,FALSE)*VLOOKUP($A410,Locaties[],3,FALSE),0)</f>
        <v>0</v>
      </c>
      <c r="U410" s="215">
        <f>Ruimtestaat[[#This Row],[Uitvoeringen werkdagen]]*Ruimtestaat[[#This Row],[Oppervlak (netto)]]</f>
        <v>6010.2</v>
      </c>
      <c r="V410" s="259">
        <f>IF(T410&gt;0,Ruimtestaat[[#This Row],[Prest. (m2 /jaar) werkdagen]]/Ruimtestaat[[#This Row],[Norm (m2/uur) werkdagen]],0)</f>
        <v>0</v>
      </c>
      <c r="W410" s="260">
        <f>Ruimtestaat[[#This Row],[uren / jaar werkdagen]]*Tariefsopbouw!$D$38</f>
        <v>0</v>
      </c>
      <c r="X410" s="33"/>
      <c r="Y410" s="33">
        <f>IF(Ruimtestaat[[#This Row],[Frequentie weekend]]&gt;0,VALUE(LEFT(X410,1))*Q410,0)</f>
        <v>0</v>
      </c>
      <c r="Z410" s="33">
        <f>IF($Y410&gt;0,VLOOKUP($J410,Ruimtegroepen[],3,FALSE)*VLOOKUP($K410,Vloersoorten[],3,FALSE)*VLOOKUP($X410,Frequenties[],3,FALSE)*VLOOKUP(#REF!,Locaties[],3,FALSE),0)</f>
        <v>0</v>
      </c>
      <c r="AA410" s="33"/>
      <c r="AB410" s="33"/>
      <c r="AC410" s="33">
        <f>Ruimtestaat[[#This Row],[uren / jaar weekend]]*Tariefsopbouw!$D$40</f>
        <v>0</v>
      </c>
      <c r="AD410" s="88">
        <f>Ruimtestaat[[#This Row],[Prest. (m2 /jaar) weekend]]+Ruimtestaat[[#This Row],[Prest. (m2 /jaar) werkdagen]]</f>
        <v>6010.2</v>
      </c>
      <c r="AE410" s="88">
        <f>Ruimtestaat[[#This Row],[uren / jaar weekend]]+Ruimtestaat[[#This Row],[uren / jaar werkdagen]]</f>
        <v>0</v>
      </c>
      <c r="AF410" s="89">
        <f>Ruimtestaat[[#This Row],[kosten / jaar weekend]]+Ruimtestaat[[#This Row],[kosten / jaar werkdagen]]</f>
        <v>0</v>
      </c>
    </row>
    <row r="411" spans="1:32" ht="15" customHeight="1">
      <c r="A411" s="280">
        <v>3</v>
      </c>
      <c r="B411" s="21" t="str">
        <f>VLOOKUP(Ruimtestaat[[#This Row],[Code]],Locaties[#All],2,FALSE)</f>
        <v>Stafbureau</v>
      </c>
      <c r="C411" s="281" t="str">
        <f>VLOOKUP(Ruimtestaat[[#This Row],[Code]],Locaties[#All],4,FALSE)</f>
        <v>Cesar Frankstraat 6</v>
      </c>
      <c r="D411" s="281" t="str">
        <f>VLOOKUP(Ruimtestaat[[#This Row],[Code]],Locaties[#All],5,FALSE)</f>
        <v>7604 JG </v>
      </c>
      <c r="E411" s="281" t="str">
        <f>VLOOKUP(Ruimtestaat[[#This Row],[Code]],Locaties[#All],6,FALSE)</f>
        <v>Almelo</v>
      </c>
      <c r="F411" s="282"/>
      <c r="G411" s="283" t="s">
        <v>444</v>
      </c>
      <c r="H411" s="280" t="s">
        <v>710</v>
      </c>
      <c r="I411" s="282" t="s">
        <v>711</v>
      </c>
      <c r="J411" s="200">
        <v>1</v>
      </c>
      <c r="K411" s="243" t="s">
        <v>111</v>
      </c>
      <c r="L411" s="293"/>
      <c r="M411" s="213">
        <v>2.31</v>
      </c>
      <c r="N411" s="202"/>
      <c r="O411" s="243" t="str">
        <f>VLOOKUP(Ruimtestaat[[#This Row],[Ruimte code]],Ruimtegroepen[#All],4,FALSE)</f>
        <v>V  (Verkeersruimte)</v>
      </c>
      <c r="P411" s="214"/>
      <c r="Q411" s="215">
        <v>42</v>
      </c>
      <c r="R411" s="215" t="s">
        <v>16</v>
      </c>
      <c r="S411" s="215">
        <f>IF(R411&gt;0,IF(RIGHT(Ruimtestaat[[#This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11" s="215">
        <f>IF(S411&gt;0,VLOOKUP($J411,Ruimtegroepen[],3,FALSE)*VLOOKUP($K411,Vloersoorten[],3,FALSE)*VLOOKUP($R411,Frequenties[],3,FALSE)*VLOOKUP($A411,Locaties[],3,FALSE),0)</f>
        <v>0</v>
      </c>
      <c r="U411" s="215">
        <f>Ruimtestaat[[#This Row],[Uitvoeringen werkdagen]]*Ruimtestaat[[#This Row],[Oppervlak (netto)]]</f>
        <v>27.72</v>
      </c>
      <c r="V411" s="259">
        <f>IF(T411&gt;0,Ruimtestaat[[#This Row],[Prest. (m2 /jaar) werkdagen]]/Ruimtestaat[[#This Row],[Norm (m2/uur) werkdagen]],0)</f>
        <v>0</v>
      </c>
      <c r="W411" s="260">
        <f>Ruimtestaat[[#This Row],[uren / jaar werkdagen]]*Tariefsopbouw!$D$38</f>
        <v>0</v>
      </c>
      <c r="X411" s="33"/>
      <c r="Y411" s="33">
        <f>IF(Ruimtestaat[[#This Row],[Frequentie weekend]]&gt;0,VALUE(LEFT(X411,1))*Q411,0)</f>
        <v>0</v>
      </c>
      <c r="Z411" s="33">
        <f>IF($Y411&gt;0,VLOOKUP($J411,Ruimtegroepen[],3,FALSE)*VLOOKUP($K411,Vloersoorten[],3,FALSE)*VLOOKUP($X411,Frequenties[],3,FALSE)*VLOOKUP(#REF!,Locaties[],3,FALSE),0)</f>
        <v>0</v>
      </c>
      <c r="AA411" s="33"/>
      <c r="AB411" s="33"/>
      <c r="AC411" s="33">
        <f>Ruimtestaat[[#This Row],[uren / jaar weekend]]*Tariefsopbouw!$D$40</f>
        <v>0</v>
      </c>
      <c r="AD411" s="88">
        <f>Ruimtestaat[[#This Row],[Prest. (m2 /jaar) weekend]]+Ruimtestaat[[#This Row],[Prest. (m2 /jaar) werkdagen]]</f>
        <v>27.72</v>
      </c>
      <c r="AE411" s="88">
        <f>Ruimtestaat[[#This Row],[uren / jaar weekend]]+Ruimtestaat[[#This Row],[uren / jaar werkdagen]]</f>
        <v>0</v>
      </c>
      <c r="AF411" s="89">
        <f>Ruimtestaat[[#This Row],[kosten / jaar weekend]]+Ruimtestaat[[#This Row],[kosten / jaar werkdagen]]</f>
        <v>0</v>
      </c>
    </row>
    <row r="412" spans="1:32" ht="15" customHeight="1">
      <c r="A412" s="280">
        <v>3</v>
      </c>
      <c r="B412" s="21" t="str">
        <f>VLOOKUP(Ruimtestaat[[#This Row],[Code]],Locaties[#All],2,FALSE)</f>
        <v>Stafbureau</v>
      </c>
      <c r="C412" s="281" t="str">
        <f>VLOOKUP(Ruimtestaat[[#This Row],[Code]],Locaties[#All],4,FALSE)</f>
        <v>Cesar Frankstraat 6</v>
      </c>
      <c r="D412" s="281" t="str">
        <f>VLOOKUP(Ruimtestaat[[#This Row],[Code]],Locaties[#All],5,FALSE)</f>
        <v>7604 JG </v>
      </c>
      <c r="E412" s="281" t="str">
        <f>VLOOKUP(Ruimtestaat[[#This Row],[Code]],Locaties[#All],6,FALSE)</f>
        <v>Almelo</v>
      </c>
      <c r="F412" s="282"/>
      <c r="G412" s="283" t="s">
        <v>444</v>
      </c>
      <c r="H412" s="280" t="s">
        <v>712</v>
      </c>
      <c r="I412" s="282" t="s">
        <v>709</v>
      </c>
      <c r="J412" s="200">
        <v>2</v>
      </c>
      <c r="K412" s="243" t="s">
        <v>109</v>
      </c>
      <c r="L412" s="293" t="s">
        <v>919</v>
      </c>
      <c r="M412" s="213">
        <v>28.94</v>
      </c>
      <c r="N412" s="202"/>
      <c r="O412" s="243" t="str">
        <f>VLOOKUP(Ruimtestaat[[#This Row],[Ruimte code]],Ruimtegroepen[#All],4,FALSE)</f>
        <v>B  (Bureauruimte)</v>
      </c>
      <c r="P412" s="214"/>
      <c r="Q412" s="215">
        <v>42</v>
      </c>
      <c r="R412" s="215" t="s">
        <v>2</v>
      </c>
      <c r="S412" s="215">
        <f>IF(R412&gt;0,IF(RIGHT(Ruimtestaat[[#This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2" s="215">
        <f>IF(S412&gt;0,VLOOKUP($J412,Ruimtegroepen[],3,FALSE)*VLOOKUP($K412,Vloersoorten[],3,FALSE)*VLOOKUP($R412,Frequenties[],3,FALSE)*VLOOKUP($A412,Locaties[],3,FALSE),0)</f>
        <v>0</v>
      </c>
      <c r="U412" s="215">
        <f>Ruimtestaat[[#This Row],[Uitvoeringen werkdagen]]*Ruimtestaat[[#This Row],[Oppervlak (netto)]]</f>
        <v>6077.4000000000005</v>
      </c>
      <c r="V412" s="259">
        <f>IF(T412&gt;0,Ruimtestaat[[#This Row],[Prest. (m2 /jaar) werkdagen]]/Ruimtestaat[[#This Row],[Norm (m2/uur) werkdagen]],0)</f>
        <v>0</v>
      </c>
      <c r="W412" s="260">
        <f>Ruimtestaat[[#This Row],[uren / jaar werkdagen]]*Tariefsopbouw!$D$38</f>
        <v>0</v>
      </c>
      <c r="X412" s="33"/>
      <c r="Y412" s="33">
        <f>IF(Ruimtestaat[[#This Row],[Frequentie weekend]]&gt;0,VALUE(LEFT(X412,1))*Q412,0)</f>
        <v>0</v>
      </c>
      <c r="Z412" s="33">
        <f>IF($Y412&gt;0,VLOOKUP($J412,Ruimtegroepen[],3,FALSE)*VLOOKUP($K412,Vloersoorten[],3,FALSE)*VLOOKUP($X412,Frequenties[],3,FALSE)*VLOOKUP(#REF!,Locaties[],3,FALSE),0)</f>
        <v>0</v>
      </c>
      <c r="AA412" s="33"/>
      <c r="AB412" s="33"/>
      <c r="AC412" s="33">
        <f>Ruimtestaat[[#This Row],[uren / jaar weekend]]*Tariefsopbouw!$D$40</f>
        <v>0</v>
      </c>
      <c r="AD412" s="88">
        <f>Ruimtestaat[[#This Row],[Prest. (m2 /jaar) weekend]]+Ruimtestaat[[#This Row],[Prest. (m2 /jaar) werkdagen]]</f>
        <v>6077.4000000000005</v>
      </c>
      <c r="AE412" s="88">
        <f>Ruimtestaat[[#This Row],[uren / jaar weekend]]+Ruimtestaat[[#This Row],[uren / jaar werkdagen]]</f>
        <v>0</v>
      </c>
      <c r="AF412" s="89">
        <f>Ruimtestaat[[#This Row],[kosten / jaar weekend]]+Ruimtestaat[[#This Row],[kosten / jaar werkdagen]]</f>
        <v>0</v>
      </c>
    </row>
    <row r="413" spans="1:32" ht="15" customHeight="1">
      <c r="A413" s="280">
        <v>3</v>
      </c>
      <c r="B413" s="21" t="str">
        <f>VLOOKUP(Ruimtestaat[[#This Row],[Code]],Locaties[#All],2,FALSE)</f>
        <v>Stafbureau</v>
      </c>
      <c r="C413" s="281" t="str">
        <f>VLOOKUP(Ruimtestaat[[#This Row],[Code]],Locaties[#All],4,FALSE)</f>
        <v>Cesar Frankstraat 6</v>
      </c>
      <c r="D413" s="281" t="str">
        <f>VLOOKUP(Ruimtestaat[[#This Row],[Code]],Locaties[#All],5,FALSE)</f>
        <v>7604 JG </v>
      </c>
      <c r="E413" s="281" t="str">
        <f>VLOOKUP(Ruimtestaat[[#This Row],[Code]],Locaties[#All],6,FALSE)</f>
        <v>Almelo</v>
      </c>
      <c r="F413" s="282"/>
      <c r="G413" s="283" t="s">
        <v>444</v>
      </c>
      <c r="H413" s="280" t="s">
        <v>713</v>
      </c>
      <c r="I413" s="282" t="s">
        <v>711</v>
      </c>
      <c r="J413" s="200">
        <v>21</v>
      </c>
      <c r="K413" s="281"/>
      <c r="L413" s="293"/>
      <c r="M413" s="213"/>
      <c r="N413" s="213">
        <v>2.27</v>
      </c>
      <c r="O413" s="243" t="str">
        <f>VLOOKUP(Ruimtestaat[[#This Row],[Ruimte code]],Ruimtegroepen[#All],4,FALSE)</f>
        <v>Niet in onderhoud</v>
      </c>
      <c r="P413" s="214"/>
      <c r="Q413" s="215"/>
      <c r="R413" s="215"/>
      <c r="S413" s="215">
        <f>IF(R413&gt;0,IF(RIGHT(Ruimtestaat[[#This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13" s="215">
        <f>IF(S413&gt;0,VLOOKUP($J413,Ruimtegroepen[],3,FALSE)*VLOOKUP($K413,Vloersoorten[],3,FALSE)*VLOOKUP($R413,Frequenties[],3,FALSE)*VLOOKUP($A413,Locaties[],3,FALSE),0)</f>
        <v>0</v>
      </c>
      <c r="U413" s="215">
        <f>Ruimtestaat[[#This Row],[Uitvoeringen werkdagen]]*Ruimtestaat[[#This Row],[Oppervlak (netto)]]</f>
        <v>0</v>
      </c>
      <c r="V413" s="259">
        <f>IF(T413&gt;0,Ruimtestaat[[#This Row],[Prest. (m2 /jaar) werkdagen]]/Ruimtestaat[[#This Row],[Norm (m2/uur) werkdagen]],0)</f>
        <v>0</v>
      </c>
      <c r="W413" s="260">
        <f>Ruimtestaat[[#This Row],[uren / jaar werkdagen]]*Tariefsopbouw!$D$38</f>
        <v>0</v>
      </c>
      <c r="X413" s="33"/>
      <c r="Y413" s="33">
        <f>IF(Ruimtestaat[[#This Row],[Frequentie weekend]]&gt;0,VALUE(LEFT(X413,1))*Q413,0)</f>
        <v>0</v>
      </c>
      <c r="Z413" s="33">
        <f>IF($Y413&gt;0,VLOOKUP($J413,Ruimtegroepen[],3,FALSE)*VLOOKUP($K413,Vloersoorten[],3,FALSE)*VLOOKUP($X413,Frequenties[],3,FALSE)*VLOOKUP(#REF!,Locaties[],3,FALSE),0)</f>
        <v>0</v>
      </c>
      <c r="AA413" s="33"/>
      <c r="AB413" s="33"/>
      <c r="AC413" s="33">
        <f>Ruimtestaat[[#This Row],[uren / jaar weekend]]*Tariefsopbouw!$D$40</f>
        <v>0</v>
      </c>
      <c r="AD413" s="88">
        <f>Ruimtestaat[[#This Row],[Prest. (m2 /jaar) weekend]]+Ruimtestaat[[#This Row],[Prest. (m2 /jaar) werkdagen]]</f>
        <v>0</v>
      </c>
      <c r="AE413" s="88">
        <f>Ruimtestaat[[#This Row],[uren / jaar weekend]]+Ruimtestaat[[#This Row],[uren / jaar werkdagen]]</f>
        <v>0</v>
      </c>
      <c r="AF413" s="89">
        <f>Ruimtestaat[[#This Row],[kosten / jaar weekend]]+Ruimtestaat[[#This Row],[kosten / jaar werkdagen]]</f>
        <v>0</v>
      </c>
    </row>
    <row r="414" spans="1:32" ht="15" customHeight="1">
      <c r="A414" s="280">
        <v>3</v>
      </c>
      <c r="B414" s="21" t="str">
        <f>VLOOKUP(Ruimtestaat[[#This Row],[Code]],Locaties[#All],2,FALSE)</f>
        <v>Stafbureau</v>
      </c>
      <c r="C414" s="281" t="str">
        <f>VLOOKUP(Ruimtestaat[[#This Row],[Code]],Locaties[#All],4,FALSE)</f>
        <v>Cesar Frankstraat 6</v>
      </c>
      <c r="D414" s="281" t="str">
        <f>VLOOKUP(Ruimtestaat[[#This Row],[Code]],Locaties[#All],5,FALSE)</f>
        <v>7604 JG </v>
      </c>
      <c r="E414" s="281" t="str">
        <f>VLOOKUP(Ruimtestaat[[#This Row],[Code]],Locaties[#All],6,FALSE)</f>
        <v>Almelo</v>
      </c>
      <c r="F414" s="282"/>
      <c r="G414" s="283" t="s">
        <v>444</v>
      </c>
      <c r="H414" s="280" t="s">
        <v>714</v>
      </c>
      <c r="I414" s="282" t="s">
        <v>715</v>
      </c>
      <c r="J414" s="215">
        <v>2</v>
      </c>
      <c r="K414" s="243" t="s">
        <v>109</v>
      </c>
      <c r="L414" s="293" t="s">
        <v>919</v>
      </c>
      <c r="M414" s="213">
        <v>18.39</v>
      </c>
      <c r="N414" s="202"/>
      <c r="O414" s="243" t="str">
        <f>VLOOKUP(Ruimtestaat[[#This Row],[Ruimte code]],Ruimtegroepen[#All],4,FALSE)</f>
        <v>B  (Bureauruimte)</v>
      </c>
      <c r="P414" s="214"/>
      <c r="Q414" s="215">
        <v>42</v>
      </c>
      <c r="R414" s="215" t="s">
        <v>2</v>
      </c>
      <c r="S414" s="215">
        <f>IF(R414&gt;0,IF(RIGHT(Ruimtestaat[[#This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4" s="215">
        <f>IF(S414&gt;0,VLOOKUP($J414,Ruimtegroepen[],3,FALSE)*VLOOKUP($K414,Vloersoorten[],3,FALSE)*VLOOKUP($R414,Frequenties[],3,FALSE)*VLOOKUP($A414,Locaties[],3,FALSE),0)</f>
        <v>0</v>
      </c>
      <c r="U414" s="215">
        <f>Ruimtestaat[[#This Row],[Uitvoeringen werkdagen]]*Ruimtestaat[[#This Row],[Oppervlak (netto)]]</f>
        <v>3861.9</v>
      </c>
      <c r="V414" s="259">
        <f>IF(T414&gt;0,Ruimtestaat[[#This Row],[Prest. (m2 /jaar) werkdagen]]/Ruimtestaat[[#This Row],[Norm (m2/uur) werkdagen]],0)</f>
        <v>0</v>
      </c>
      <c r="W414" s="260">
        <f>Ruimtestaat[[#This Row],[uren / jaar werkdagen]]*Tariefsopbouw!$D$38</f>
        <v>0</v>
      </c>
      <c r="X414" s="33"/>
      <c r="Y414" s="33">
        <f>IF(Ruimtestaat[[#This Row],[Frequentie weekend]]&gt;0,VALUE(LEFT(X414,1))*Q414,0)</f>
        <v>0</v>
      </c>
      <c r="Z414" s="33">
        <f>IF($Y414&gt;0,VLOOKUP($J414,Ruimtegroepen[],3,FALSE)*VLOOKUP($K414,Vloersoorten[],3,FALSE)*VLOOKUP($X414,Frequenties[],3,FALSE)*VLOOKUP(#REF!,Locaties[],3,FALSE),0)</f>
        <v>0</v>
      </c>
      <c r="AA414" s="33"/>
      <c r="AB414" s="33"/>
      <c r="AC414" s="33">
        <f>Ruimtestaat[[#This Row],[uren / jaar weekend]]*Tariefsopbouw!$D$40</f>
        <v>0</v>
      </c>
      <c r="AD414" s="88">
        <f>Ruimtestaat[[#This Row],[Prest. (m2 /jaar) weekend]]+Ruimtestaat[[#This Row],[Prest. (m2 /jaar) werkdagen]]</f>
        <v>3861.9</v>
      </c>
      <c r="AE414" s="88">
        <f>Ruimtestaat[[#This Row],[uren / jaar weekend]]+Ruimtestaat[[#This Row],[uren / jaar werkdagen]]</f>
        <v>0</v>
      </c>
      <c r="AF414" s="89">
        <f>Ruimtestaat[[#This Row],[kosten / jaar weekend]]+Ruimtestaat[[#This Row],[kosten / jaar werkdagen]]</f>
        <v>0</v>
      </c>
    </row>
    <row r="415" spans="1:32" ht="15" customHeight="1">
      <c r="A415" s="280">
        <v>3</v>
      </c>
      <c r="B415" s="21" t="str">
        <f>VLOOKUP(Ruimtestaat[[#This Row],[Code]],Locaties[#All],2,FALSE)</f>
        <v>Stafbureau</v>
      </c>
      <c r="C415" s="281" t="str">
        <f>VLOOKUP(Ruimtestaat[[#This Row],[Code]],Locaties[#All],4,FALSE)</f>
        <v>Cesar Frankstraat 6</v>
      </c>
      <c r="D415" s="281" t="str">
        <f>VLOOKUP(Ruimtestaat[[#This Row],[Code]],Locaties[#All],5,FALSE)</f>
        <v>7604 JG </v>
      </c>
      <c r="E415" s="281" t="str">
        <f>VLOOKUP(Ruimtestaat[[#This Row],[Code]],Locaties[#All],6,FALSE)</f>
        <v>Almelo</v>
      </c>
      <c r="F415" s="282"/>
      <c r="G415" s="283" t="s">
        <v>444</v>
      </c>
      <c r="H415" s="280" t="s">
        <v>716</v>
      </c>
      <c r="I415" s="282" t="s">
        <v>717</v>
      </c>
      <c r="J415" s="281">
        <v>2</v>
      </c>
      <c r="K415" s="243" t="s">
        <v>109</v>
      </c>
      <c r="L415" s="293" t="s">
        <v>919</v>
      </c>
      <c r="M415" s="213">
        <v>18.75</v>
      </c>
      <c r="N415" s="202"/>
      <c r="O415" s="243" t="str">
        <f>VLOOKUP(Ruimtestaat[[#This Row],[Ruimte code]],Ruimtegroepen[#All],4,FALSE)</f>
        <v>B  (Bureauruimte)</v>
      </c>
      <c r="P415" s="214"/>
      <c r="Q415" s="215">
        <v>42</v>
      </c>
      <c r="R415" s="215" t="s">
        <v>2</v>
      </c>
      <c r="S415" s="215">
        <f>IF(R415&gt;0,IF(RIGHT(Ruimtestaat[[#This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5" s="215">
        <f>IF(S415&gt;0,VLOOKUP($J415,Ruimtegroepen[],3,FALSE)*VLOOKUP($K415,Vloersoorten[],3,FALSE)*VLOOKUP($R415,Frequenties[],3,FALSE)*VLOOKUP($A415,Locaties[],3,FALSE),0)</f>
        <v>0</v>
      </c>
      <c r="U415" s="215">
        <f>Ruimtestaat[[#This Row],[Uitvoeringen werkdagen]]*Ruimtestaat[[#This Row],[Oppervlak (netto)]]</f>
        <v>3937.5</v>
      </c>
      <c r="V415" s="259">
        <f>IF(T415&gt;0,Ruimtestaat[[#This Row],[Prest. (m2 /jaar) werkdagen]]/Ruimtestaat[[#This Row],[Norm (m2/uur) werkdagen]],0)</f>
        <v>0</v>
      </c>
      <c r="W415" s="260">
        <f>Ruimtestaat[[#This Row],[uren / jaar werkdagen]]*Tariefsopbouw!$D$38</f>
        <v>0</v>
      </c>
      <c r="X415" s="33"/>
      <c r="Y415" s="33">
        <f>IF(Ruimtestaat[[#This Row],[Frequentie weekend]]&gt;0,VALUE(LEFT(X415,1))*Q415,0)</f>
        <v>0</v>
      </c>
      <c r="Z415" s="33">
        <f>IF($Y415&gt;0,VLOOKUP($J415,Ruimtegroepen[],3,FALSE)*VLOOKUP($K415,Vloersoorten[],3,FALSE)*VLOOKUP($X415,Frequenties[],3,FALSE)*VLOOKUP(#REF!,Locaties[],3,FALSE),0)</f>
        <v>0</v>
      </c>
      <c r="AA415" s="33"/>
      <c r="AB415" s="33"/>
      <c r="AC415" s="33">
        <f>Ruimtestaat[[#This Row],[uren / jaar weekend]]*Tariefsopbouw!$D$40</f>
        <v>0</v>
      </c>
      <c r="AD415" s="88">
        <f>Ruimtestaat[[#This Row],[Prest. (m2 /jaar) weekend]]+Ruimtestaat[[#This Row],[Prest. (m2 /jaar) werkdagen]]</f>
        <v>3937.5</v>
      </c>
      <c r="AE415" s="88">
        <f>Ruimtestaat[[#This Row],[uren / jaar weekend]]+Ruimtestaat[[#This Row],[uren / jaar werkdagen]]</f>
        <v>0</v>
      </c>
      <c r="AF415" s="89">
        <f>Ruimtestaat[[#This Row],[kosten / jaar weekend]]+Ruimtestaat[[#This Row],[kosten / jaar werkdagen]]</f>
        <v>0</v>
      </c>
    </row>
    <row r="416" spans="1:32" ht="15" customHeight="1">
      <c r="A416" s="280">
        <v>3</v>
      </c>
      <c r="B416" s="21" t="str">
        <f>VLOOKUP(Ruimtestaat[[#This Row],[Code]],Locaties[#All],2,FALSE)</f>
        <v>Stafbureau</v>
      </c>
      <c r="C416" s="281" t="str">
        <f>VLOOKUP(Ruimtestaat[[#This Row],[Code]],Locaties[#All],4,FALSE)</f>
        <v>Cesar Frankstraat 6</v>
      </c>
      <c r="D416" s="281" t="str">
        <f>VLOOKUP(Ruimtestaat[[#This Row],[Code]],Locaties[#All],5,FALSE)</f>
        <v>7604 JG </v>
      </c>
      <c r="E416" s="281" t="str">
        <f>VLOOKUP(Ruimtestaat[[#This Row],[Code]],Locaties[#All],6,FALSE)</f>
        <v>Almelo</v>
      </c>
      <c r="F416" s="282"/>
      <c r="G416" s="283" t="s">
        <v>444</v>
      </c>
      <c r="H416" s="280" t="s">
        <v>718</v>
      </c>
      <c r="I416" s="282" t="s">
        <v>719</v>
      </c>
      <c r="J416" s="200">
        <v>5</v>
      </c>
      <c r="K416" s="243" t="s">
        <v>111</v>
      </c>
      <c r="L416" s="293" t="s">
        <v>920</v>
      </c>
      <c r="M416" s="213">
        <v>3.73</v>
      </c>
      <c r="N416" s="202"/>
      <c r="O416" s="243" t="str">
        <f>VLOOKUP(Ruimtestaat[[#This Row],[Ruimte code]],Ruimtegroepen[#All],4,FALSE)</f>
        <v>S  (Sanitair)</v>
      </c>
      <c r="P416" s="214"/>
      <c r="Q416" s="215">
        <v>42</v>
      </c>
      <c r="R416" s="215" t="s">
        <v>2</v>
      </c>
      <c r="S416" s="215">
        <f>IF(R416&gt;0,IF(RIGHT(Ruimtestaat[[#This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6" s="215">
        <f>IF(S416&gt;0,VLOOKUP($J416,Ruimtegroepen[],3,FALSE)*VLOOKUP($K416,Vloersoorten[],3,FALSE)*VLOOKUP($R416,Frequenties[],3,FALSE)*VLOOKUP($A416,Locaties[],3,FALSE),0)</f>
        <v>0</v>
      </c>
      <c r="U416" s="215">
        <f>Ruimtestaat[[#This Row],[Uitvoeringen werkdagen]]*Ruimtestaat[[#This Row],[Oppervlak (netto)]]</f>
        <v>783.3</v>
      </c>
      <c r="V416" s="259">
        <f>IF(T416&gt;0,Ruimtestaat[[#This Row],[Prest. (m2 /jaar) werkdagen]]/Ruimtestaat[[#This Row],[Norm (m2/uur) werkdagen]],0)</f>
        <v>0</v>
      </c>
      <c r="W416" s="260">
        <f>Ruimtestaat[[#This Row],[uren / jaar werkdagen]]*Tariefsopbouw!$D$38</f>
        <v>0</v>
      </c>
      <c r="X416" s="33"/>
      <c r="Y416" s="33">
        <f>IF(Ruimtestaat[[#This Row],[Frequentie weekend]]&gt;0,VALUE(LEFT(X416,1))*Q416,0)</f>
        <v>0</v>
      </c>
      <c r="Z416" s="33">
        <f>IF($Y416&gt;0,VLOOKUP($J416,Ruimtegroepen[],3,FALSE)*VLOOKUP($K416,Vloersoorten[],3,FALSE)*VLOOKUP($X416,Frequenties[],3,FALSE)*VLOOKUP(#REF!,Locaties[],3,FALSE),0)</f>
        <v>0</v>
      </c>
      <c r="AA416" s="33"/>
      <c r="AB416" s="33"/>
      <c r="AC416" s="33">
        <f>Ruimtestaat[[#This Row],[uren / jaar weekend]]*Tariefsopbouw!$D$40</f>
        <v>0</v>
      </c>
      <c r="AD416" s="88">
        <f>Ruimtestaat[[#This Row],[Prest. (m2 /jaar) weekend]]+Ruimtestaat[[#This Row],[Prest. (m2 /jaar) werkdagen]]</f>
        <v>783.3</v>
      </c>
      <c r="AE416" s="88">
        <f>Ruimtestaat[[#This Row],[uren / jaar weekend]]+Ruimtestaat[[#This Row],[uren / jaar werkdagen]]</f>
        <v>0</v>
      </c>
      <c r="AF416" s="89">
        <f>Ruimtestaat[[#This Row],[kosten / jaar weekend]]+Ruimtestaat[[#This Row],[kosten / jaar werkdagen]]</f>
        <v>0</v>
      </c>
    </row>
    <row r="417" spans="1:32" ht="15" customHeight="1">
      <c r="A417" s="280">
        <v>3</v>
      </c>
      <c r="B417" s="21" t="str">
        <f>VLOOKUP(Ruimtestaat[[#This Row],[Code]],Locaties[#All],2,FALSE)</f>
        <v>Stafbureau</v>
      </c>
      <c r="C417" s="281" t="str">
        <f>VLOOKUP(Ruimtestaat[[#This Row],[Code]],Locaties[#All],4,FALSE)</f>
        <v>Cesar Frankstraat 6</v>
      </c>
      <c r="D417" s="281" t="str">
        <f>VLOOKUP(Ruimtestaat[[#This Row],[Code]],Locaties[#All],5,FALSE)</f>
        <v>7604 JG </v>
      </c>
      <c r="E417" s="281" t="str">
        <f>VLOOKUP(Ruimtestaat[[#This Row],[Code]],Locaties[#All],6,FALSE)</f>
        <v>Almelo</v>
      </c>
      <c r="F417" s="282"/>
      <c r="G417" s="283" t="s">
        <v>444</v>
      </c>
      <c r="H417" s="280" t="s">
        <v>720</v>
      </c>
      <c r="I417" s="282" t="s">
        <v>721</v>
      </c>
      <c r="J417" s="200">
        <v>5</v>
      </c>
      <c r="K417" s="243" t="s">
        <v>111</v>
      </c>
      <c r="L417" s="293" t="s">
        <v>920</v>
      </c>
      <c r="M417" s="213">
        <v>1.32</v>
      </c>
      <c r="N417" s="202"/>
      <c r="O417" s="243" t="str">
        <f>VLOOKUP(Ruimtestaat[[#This Row],[Ruimte code]],Ruimtegroepen[#All],4,FALSE)</f>
        <v>S  (Sanitair)</v>
      </c>
      <c r="P417" s="214"/>
      <c r="Q417" s="215">
        <v>42</v>
      </c>
      <c r="R417" s="215" t="s">
        <v>2</v>
      </c>
      <c r="S417" s="215">
        <f>IF(R417&gt;0,IF(RIGHT(Ruimtestaat[[#This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7" s="215">
        <f>IF(S417&gt;0,VLOOKUP($J417,Ruimtegroepen[],3,FALSE)*VLOOKUP($K417,Vloersoorten[],3,FALSE)*VLOOKUP($R417,Frequenties[],3,FALSE)*VLOOKUP($A417,Locaties[],3,FALSE),0)</f>
        <v>0</v>
      </c>
      <c r="U417" s="215">
        <f>Ruimtestaat[[#This Row],[Uitvoeringen werkdagen]]*Ruimtestaat[[#This Row],[Oppervlak (netto)]]</f>
        <v>277.2</v>
      </c>
      <c r="V417" s="259">
        <f>IF(T417&gt;0,Ruimtestaat[[#This Row],[Prest. (m2 /jaar) werkdagen]]/Ruimtestaat[[#This Row],[Norm (m2/uur) werkdagen]],0)</f>
        <v>0</v>
      </c>
      <c r="W417" s="260">
        <f>Ruimtestaat[[#This Row],[uren / jaar werkdagen]]*Tariefsopbouw!$D$38</f>
        <v>0</v>
      </c>
      <c r="X417" s="33"/>
      <c r="Y417" s="33">
        <f>IF(Ruimtestaat[[#This Row],[Frequentie weekend]]&gt;0,VALUE(LEFT(X417,1))*Q417,0)</f>
        <v>0</v>
      </c>
      <c r="Z417" s="33">
        <f>IF($Y417&gt;0,VLOOKUP($J417,Ruimtegroepen[],3,FALSE)*VLOOKUP($K417,Vloersoorten[],3,FALSE)*VLOOKUP($X417,Frequenties[],3,FALSE)*VLOOKUP(#REF!,Locaties[],3,FALSE),0)</f>
        <v>0</v>
      </c>
      <c r="AA417" s="33"/>
      <c r="AB417" s="33"/>
      <c r="AC417" s="33">
        <f>Ruimtestaat[[#This Row],[uren / jaar weekend]]*Tariefsopbouw!$D$40</f>
        <v>0</v>
      </c>
      <c r="AD417" s="88">
        <f>Ruimtestaat[[#This Row],[Prest. (m2 /jaar) weekend]]+Ruimtestaat[[#This Row],[Prest. (m2 /jaar) werkdagen]]</f>
        <v>277.2</v>
      </c>
      <c r="AE417" s="88">
        <f>Ruimtestaat[[#This Row],[uren / jaar weekend]]+Ruimtestaat[[#This Row],[uren / jaar werkdagen]]</f>
        <v>0</v>
      </c>
      <c r="AF417" s="89">
        <f>Ruimtestaat[[#This Row],[kosten / jaar weekend]]+Ruimtestaat[[#This Row],[kosten / jaar werkdagen]]</f>
        <v>0</v>
      </c>
    </row>
    <row r="418" spans="1:32" ht="15" customHeight="1">
      <c r="A418" s="280">
        <v>3</v>
      </c>
      <c r="B418" s="21" t="str">
        <f>VLOOKUP(Ruimtestaat[[#This Row],[Code]],Locaties[#All],2,FALSE)</f>
        <v>Stafbureau</v>
      </c>
      <c r="C418" s="281" t="str">
        <f>VLOOKUP(Ruimtestaat[[#This Row],[Code]],Locaties[#All],4,FALSE)</f>
        <v>Cesar Frankstraat 6</v>
      </c>
      <c r="D418" s="281" t="str">
        <f>VLOOKUP(Ruimtestaat[[#This Row],[Code]],Locaties[#All],5,FALSE)</f>
        <v>7604 JG </v>
      </c>
      <c r="E418" s="281" t="str">
        <f>VLOOKUP(Ruimtestaat[[#This Row],[Code]],Locaties[#All],6,FALSE)</f>
        <v>Almelo</v>
      </c>
      <c r="F418" s="282"/>
      <c r="G418" s="283" t="s">
        <v>444</v>
      </c>
      <c r="H418" s="280" t="s">
        <v>722</v>
      </c>
      <c r="I418" s="282" t="s">
        <v>721</v>
      </c>
      <c r="J418" s="200">
        <v>5</v>
      </c>
      <c r="K418" s="243" t="s">
        <v>111</v>
      </c>
      <c r="L418" s="293" t="s">
        <v>920</v>
      </c>
      <c r="M418" s="213">
        <v>1.32</v>
      </c>
      <c r="N418" s="202"/>
      <c r="O418" s="243" t="str">
        <f>VLOOKUP(Ruimtestaat[[#This Row],[Ruimte code]],Ruimtegroepen[#All],4,FALSE)</f>
        <v>S  (Sanitair)</v>
      </c>
      <c r="P418" s="214"/>
      <c r="Q418" s="215">
        <v>42</v>
      </c>
      <c r="R418" s="215" t="s">
        <v>2</v>
      </c>
      <c r="S418" s="215">
        <f>IF(R418&gt;0,IF(RIGHT(Ruimtestaat[[#This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8" s="215">
        <f>IF(S418&gt;0,VLOOKUP($J418,Ruimtegroepen[],3,FALSE)*VLOOKUP($K418,Vloersoorten[],3,FALSE)*VLOOKUP($R418,Frequenties[],3,FALSE)*VLOOKUP($A418,Locaties[],3,FALSE),0)</f>
        <v>0</v>
      </c>
      <c r="U418" s="215">
        <f>Ruimtestaat[[#This Row],[Uitvoeringen werkdagen]]*Ruimtestaat[[#This Row],[Oppervlak (netto)]]</f>
        <v>277.2</v>
      </c>
      <c r="V418" s="259">
        <f>IF(T418&gt;0,Ruimtestaat[[#This Row],[Prest. (m2 /jaar) werkdagen]]/Ruimtestaat[[#This Row],[Norm (m2/uur) werkdagen]],0)</f>
        <v>0</v>
      </c>
      <c r="W418" s="260">
        <f>Ruimtestaat[[#This Row],[uren / jaar werkdagen]]*Tariefsopbouw!$D$38</f>
        <v>0</v>
      </c>
      <c r="X418" s="33"/>
      <c r="Y418" s="33">
        <f>IF(Ruimtestaat[[#This Row],[Frequentie weekend]]&gt;0,VALUE(LEFT(X418,1))*Q418,0)</f>
        <v>0</v>
      </c>
      <c r="Z418" s="33">
        <f>IF($Y418&gt;0,VLOOKUP($J418,Ruimtegroepen[],3,FALSE)*VLOOKUP($K418,Vloersoorten[],3,FALSE)*VLOOKUP($X418,Frequenties[],3,FALSE)*VLOOKUP(#REF!,Locaties[],3,FALSE),0)</f>
        <v>0</v>
      </c>
      <c r="AA418" s="33"/>
      <c r="AB418" s="33"/>
      <c r="AC418" s="33">
        <f>Ruimtestaat[[#This Row],[uren / jaar weekend]]*Tariefsopbouw!$D$40</f>
        <v>0</v>
      </c>
      <c r="AD418" s="88">
        <f>Ruimtestaat[[#This Row],[Prest. (m2 /jaar) weekend]]+Ruimtestaat[[#This Row],[Prest. (m2 /jaar) werkdagen]]</f>
        <v>277.2</v>
      </c>
      <c r="AE418" s="88">
        <f>Ruimtestaat[[#This Row],[uren / jaar weekend]]+Ruimtestaat[[#This Row],[uren / jaar werkdagen]]</f>
        <v>0</v>
      </c>
      <c r="AF418" s="89">
        <f>Ruimtestaat[[#This Row],[kosten / jaar weekend]]+Ruimtestaat[[#This Row],[kosten / jaar werkdagen]]</f>
        <v>0</v>
      </c>
    </row>
    <row r="419" spans="1:32" ht="15" customHeight="1">
      <c r="A419" s="280">
        <v>3</v>
      </c>
      <c r="B419" s="21" t="str">
        <f>VLOOKUP(Ruimtestaat[[#This Row],[Code]],Locaties[#All],2,FALSE)</f>
        <v>Stafbureau</v>
      </c>
      <c r="C419" s="281" t="str">
        <f>VLOOKUP(Ruimtestaat[[#This Row],[Code]],Locaties[#All],4,FALSE)</f>
        <v>Cesar Frankstraat 6</v>
      </c>
      <c r="D419" s="281" t="str">
        <f>VLOOKUP(Ruimtestaat[[#This Row],[Code]],Locaties[#All],5,FALSE)</f>
        <v>7604 JG </v>
      </c>
      <c r="E419" s="281" t="str">
        <f>VLOOKUP(Ruimtestaat[[#This Row],[Code]],Locaties[#All],6,FALSE)</f>
        <v>Almelo</v>
      </c>
      <c r="F419" s="282"/>
      <c r="G419" s="283" t="s">
        <v>444</v>
      </c>
      <c r="H419" s="280" t="s">
        <v>723</v>
      </c>
      <c r="I419" s="282" t="s">
        <v>724</v>
      </c>
      <c r="J419" s="200">
        <v>5</v>
      </c>
      <c r="K419" s="243" t="s">
        <v>111</v>
      </c>
      <c r="L419" s="293" t="s">
        <v>920</v>
      </c>
      <c r="M419" s="213">
        <v>4.7300000000000004</v>
      </c>
      <c r="N419" s="202"/>
      <c r="O419" s="243" t="str">
        <f>VLOOKUP(Ruimtestaat[[#This Row],[Ruimte code]],Ruimtegroepen[#All],4,FALSE)</f>
        <v>S  (Sanitair)</v>
      </c>
      <c r="P419" s="214"/>
      <c r="Q419" s="215">
        <v>42</v>
      </c>
      <c r="R419" s="215" t="s">
        <v>2</v>
      </c>
      <c r="S419" s="215">
        <f>IF(R419&gt;0,IF(RIGHT(Ruimtestaat[[#This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19" s="215">
        <f>IF(S419&gt;0,VLOOKUP($J419,Ruimtegroepen[],3,FALSE)*VLOOKUP($K419,Vloersoorten[],3,FALSE)*VLOOKUP($R419,Frequenties[],3,FALSE)*VLOOKUP($A419,Locaties[],3,FALSE),0)</f>
        <v>0</v>
      </c>
      <c r="U419" s="215">
        <f>Ruimtestaat[[#This Row],[Uitvoeringen werkdagen]]*Ruimtestaat[[#This Row],[Oppervlak (netto)]]</f>
        <v>993.30000000000007</v>
      </c>
      <c r="V419" s="259">
        <f>IF(T419&gt;0,Ruimtestaat[[#This Row],[Prest. (m2 /jaar) werkdagen]]/Ruimtestaat[[#This Row],[Norm (m2/uur) werkdagen]],0)</f>
        <v>0</v>
      </c>
      <c r="W419" s="260">
        <f>Ruimtestaat[[#This Row],[uren / jaar werkdagen]]*Tariefsopbouw!$D$38</f>
        <v>0</v>
      </c>
      <c r="X419" s="33"/>
      <c r="Y419" s="33">
        <f>IF(Ruimtestaat[[#This Row],[Frequentie weekend]]&gt;0,VALUE(LEFT(X419,1))*Q419,0)</f>
        <v>0</v>
      </c>
      <c r="Z419" s="33">
        <f>IF($Y419&gt;0,VLOOKUP($J419,Ruimtegroepen[],3,FALSE)*VLOOKUP($K419,Vloersoorten[],3,FALSE)*VLOOKUP($X419,Frequenties[],3,FALSE)*VLOOKUP(#REF!,Locaties[],3,FALSE),0)</f>
        <v>0</v>
      </c>
      <c r="AA419" s="33"/>
      <c r="AB419" s="33"/>
      <c r="AC419" s="33">
        <f>Ruimtestaat[[#This Row],[uren / jaar weekend]]*Tariefsopbouw!$D$40</f>
        <v>0</v>
      </c>
      <c r="AD419" s="88">
        <f>Ruimtestaat[[#This Row],[Prest. (m2 /jaar) weekend]]+Ruimtestaat[[#This Row],[Prest. (m2 /jaar) werkdagen]]</f>
        <v>993.30000000000007</v>
      </c>
      <c r="AE419" s="88">
        <f>Ruimtestaat[[#This Row],[uren / jaar weekend]]+Ruimtestaat[[#This Row],[uren / jaar werkdagen]]</f>
        <v>0</v>
      </c>
      <c r="AF419" s="89">
        <f>Ruimtestaat[[#This Row],[kosten / jaar weekend]]+Ruimtestaat[[#This Row],[kosten / jaar werkdagen]]</f>
        <v>0</v>
      </c>
    </row>
    <row r="420" spans="1:32" ht="15" customHeight="1">
      <c r="A420" s="280">
        <v>3</v>
      </c>
      <c r="B420" s="21" t="str">
        <f>VLOOKUP(Ruimtestaat[[#This Row],[Code]],Locaties[#All],2,FALSE)</f>
        <v>Stafbureau</v>
      </c>
      <c r="C420" s="281" t="str">
        <f>VLOOKUP(Ruimtestaat[[#This Row],[Code]],Locaties[#All],4,FALSE)</f>
        <v>Cesar Frankstraat 6</v>
      </c>
      <c r="D420" s="281" t="str">
        <f>VLOOKUP(Ruimtestaat[[#This Row],[Code]],Locaties[#All],5,FALSE)</f>
        <v>7604 JG </v>
      </c>
      <c r="E420" s="281" t="str">
        <f>VLOOKUP(Ruimtestaat[[#This Row],[Code]],Locaties[#All],6,FALSE)</f>
        <v>Almelo</v>
      </c>
      <c r="F420" s="282"/>
      <c r="G420" s="283" t="s">
        <v>444</v>
      </c>
      <c r="H420" s="280" t="s">
        <v>725</v>
      </c>
      <c r="I420" s="282" t="s">
        <v>721</v>
      </c>
      <c r="J420" s="200">
        <v>5</v>
      </c>
      <c r="K420" s="243" t="s">
        <v>111</v>
      </c>
      <c r="L420" s="293" t="s">
        <v>920</v>
      </c>
      <c r="M420" s="213">
        <v>1.97</v>
      </c>
      <c r="N420" s="202"/>
      <c r="O420" s="243" t="str">
        <f>VLOOKUP(Ruimtestaat[[#This Row],[Ruimte code]],Ruimtegroepen[#All],4,FALSE)</f>
        <v>S  (Sanitair)</v>
      </c>
      <c r="P420" s="214"/>
      <c r="Q420" s="215">
        <v>42</v>
      </c>
      <c r="R420" s="215" t="s">
        <v>2</v>
      </c>
      <c r="S420" s="215">
        <f>IF(R420&gt;0,IF(RIGHT(Ruimtestaat[[#This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0" s="215">
        <f>IF(S420&gt;0,VLOOKUP($J420,Ruimtegroepen[],3,FALSE)*VLOOKUP($K420,Vloersoorten[],3,FALSE)*VLOOKUP($R420,Frequenties[],3,FALSE)*VLOOKUP($A420,Locaties[],3,FALSE),0)</f>
        <v>0</v>
      </c>
      <c r="U420" s="215">
        <f>Ruimtestaat[[#This Row],[Uitvoeringen werkdagen]]*Ruimtestaat[[#This Row],[Oppervlak (netto)]]</f>
        <v>413.7</v>
      </c>
      <c r="V420" s="259">
        <f>IF(T420&gt;0,Ruimtestaat[[#This Row],[Prest. (m2 /jaar) werkdagen]]/Ruimtestaat[[#This Row],[Norm (m2/uur) werkdagen]],0)</f>
        <v>0</v>
      </c>
      <c r="W420" s="260">
        <f>Ruimtestaat[[#This Row],[uren / jaar werkdagen]]*Tariefsopbouw!$D$38</f>
        <v>0</v>
      </c>
      <c r="X420" s="33"/>
      <c r="Y420" s="33">
        <f>IF(Ruimtestaat[[#This Row],[Frequentie weekend]]&gt;0,VALUE(LEFT(X420,1))*Q420,0)</f>
        <v>0</v>
      </c>
      <c r="Z420" s="33">
        <f>IF($Y420&gt;0,VLOOKUP($J420,Ruimtegroepen[],3,FALSE)*VLOOKUP($K420,Vloersoorten[],3,FALSE)*VLOOKUP($X420,Frequenties[],3,FALSE)*VLOOKUP(#REF!,Locaties[],3,FALSE),0)</f>
        <v>0</v>
      </c>
      <c r="AA420" s="33"/>
      <c r="AB420" s="33"/>
      <c r="AC420" s="33">
        <f>Ruimtestaat[[#This Row],[uren / jaar weekend]]*Tariefsopbouw!$D$40</f>
        <v>0</v>
      </c>
      <c r="AD420" s="88">
        <f>Ruimtestaat[[#This Row],[Prest. (m2 /jaar) weekend]]+Ruimtestaat[[#This Row],[Prest. (m2 /jaar) werkdagen]]</f>
        <v>413.7</v>
      </c>
      <c r="AE420" s="88">
        <f>Ruimtestaat[[#This Row],[uren / jaar weekend]]+Ruimtestaat[[#This Row],[uren / jaar werkdagen]]</f>
        <v>0</v>
      </c>
      <c r="AF420" s="89">
        <f>Ruimtestaat[[#This Row],[kosten / jaar weekend]]+Ruimtestaat[[#This Row],[kosten / jaar werkdagen]]</f>
        <v>0</v>
      </c>
    </row>
    <row r="421" spans="1:32" ht="15" customHeight="1">
      <c r="A421" s="280">
        <v>3</v>
      </c>
      <c r="B421" s="21" t="str">
        <f>VLOOKUP(Ruimtestaat[[#This Row],[Code]],Locaties[#All],2,FALSE)</f>
        <v>Stafbureau</v>
      </c>
      <c r="C421" s="281" t="str">
        <f>VLOOKUP(Ruimtestaat[[#This Row],[Code]],Locaties[#All],4,FALSE)</f>
        <v>Cesar Frankstraat 6</v>
      </c>
      <c r="D421" s="281" t="str">
        <f>VLOOKUP(Ruimtestaat[[#This Row],[Code]],Locaties[#All],5,FALSE)</f>
        <v>7604 JG </v>
      </c>
      <c r="E421" s="281" t="str">
        <f>VLOOKUP(Ruimtestaat[[#This Row],[Code]],Locaties[#All],6,FALSE)</f>
        <v>Almelo</v>
      </c>
      <c r="F421" s="282"/>
      <c r="G421" s="283" t="s">
        <v>444</v>
      </c>
      <c r="H421" s="280" t="s">
        <v>726</v>
      </c>
      <c r="I421" s="282" t="s">
        <v>727</v>
      </c>
      <c r="J421" s="200">
        <v>1</v>
      </c>
      <c r="K421" s="243" t="s">
        <v>112</v>
      </c>
      <c r="L421" s="293" t="s">
        <v>921</v>
      </c>
      <c r="M421" s="213">
        <v>10.44</v>
      </c>
      <c r="N421" s="202"/>
      <c r="O421" s="243" t="str">
        <f>VLOOKUP(Ruimtestaat[[#This Row],[Ruimte code]],Ruimtegroepen[#All],4,FALSE)</f>
        <v>V  (Verkeersruimte)</v>
      </c>
      <c r="P421" s="214"/>
      <c r="Q421" s="215">
        <v>42</v>
      </c>
      <c r="R421" s="215" t="s">
        <v>2</v>
      </c>
      <c r="S421" s="215">
        <f>IF(R421&gt;0,IF(RIGHT(Ruimtestaat[[#This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1" s="215">
        <f>IF(S421&gt;0,VLOOKUP($J421,Ruimtegroepen[],3,FALSE)*VLOOKUP($K421,Vloersoorten[],3,FALSE)*VLOOKUP($R421,Frequenties[],3,FALSE)*VLOOKUP($A421,Locaties[],3,FALSE),0)</f>
        <v>0</v>
      </c>
      <c r="U421" s="215">
        <f>Ruimtestaat[[#This Row],[Uitvoeringen werkdagen]]*Ruimtestaat[[#This Row],[Oppervlak (netto)]]</f>
        <v>2192.4</v>
      </c>
      <c r="V421" s="259">
        <f>IF(T421&gt;0,Ruimtestaat[[#This Row],[Prest. (m2 /jaar) werkdagen]]/Ruimtestaat[[#This Row],[Norm (m2/uur) werkdagen]],0)</f>
        <v>0</v>
      </c>
      <c r="W421" s="260">
        <f>Ruimtestaat[[#This Row],[uren / jaar werkdagen]]*Tariefsopbouw!$D$38</f>
        <v>0</v>
      </c>
      <c r="X421" s="33"/>
      <c r="Y421" s="33">
        <f>IF(Ruimtestaat[[#This Row],[Frequentie weekend]]&gt;0,VALUE(LEFT(X421,1))*Q421,0)</f>
        <v>0</v>
      </c>
      <c r="Z421" s="33">
        <f>IF($Y421&gt;0,VLOOKUP($J421,Ruimtegroepen[],3,FALSE)*VLOOKUP($K421,Vloersoorten[],3,FALSE)*VLOOKUP($X421,Frequenties[],3,FALSE)*VLOOKUP(#REF!,Locaties[],3,FALSE),0)</f>
        <v>0</v>
      </c>
      <c r="AA421" s="33"/>
      <c r="AB421" s="33"/>
      <c r="AC421" s="33">
        <f>Ruimtestaat[[#This Row],[uren / jaar weekend]]*Tariefsopbouw!$D$40</f>
        <v>0</v>
      </c>
      <c r="AD421" s="88">
        <f>Ruimtestaat[[#This Row],[Prest. (m2 /jaar) weekend]]+Ruimtestaat[[#This Row],[Prest. (m2 /jaar) werkdagen]]</f>
        <v>2192.4</v>
      </c>
      <c r="AE421" s="88">
        <f>Ruimtestaat[[#This Row],[uren / jaar weekend]]+Ruimtestaat[[#This Row],[uren / jaar werkdagen]]</f>
        <v>0</v>
      </c>
      <c r="AF421" s="89">
        <f>Ruimtestaat[[#This Row],[kosten / jaar weekend]]+Ruimtestaat[[#This Row],[kosten / jaar werkdagen]]</f>
        <v>0</v>
      </c>
    </row>
    <row r="422" spans="1:32" ht="15" customHeight="1">
      <c r="A422" s="280">
        <v>3</v>
      </c>
      <c r="B422" s="21" t="str">
        <f>VLOOKUP(Ruimtestaat[[#This Row],[Code]],Locaties[#All],2,FALSE)</f>
        <v>Stafbureau</v>
      </c>
      <c r="C422" s="281" t="str">
        <f>VLOOKUP(Ruimtestaat[[#This Row],[Code]],Locaties[#All],4,FALSE)</f>
        <v>Cesar Frankstraat 6</v>
      </c>
      <c r="D422" s="281" t="str">
        <f>VLOOKUP(Ruimtestaat[[#This Row],[Code]],Locaties[#All],5,FALSE)</f>
        <v>7604 JG </v>
      </c>
      <c r="E422" s="281" t="str">
        <f>VLOOKUP(Ruimtestaat[[#This Row],[Code]],Locaties[#All],6,FALSE)</f>
        <v>Almelo</v>
      </c>
      <c r="F422" s="282"/>
      <c r="G422" s="283" t="s">
        <v>444</v>
      </c>
      <c r="H422" s="280" t="s">
        <v>728</v>
      </c>
      <c r="I422" s="282" t="s">
        <v>729</v>
      </c>
      <c r="J422" s="215">
        <v>21</v>
      </c>
      <c r="K422" s="243" t="s">
        <v>112</v>
      </c>
      <c r="L422" s="293" t="s">
        <v>921</v>
      </c>
      <c r="M422" s="213"/>
      <c r="N422" s="213">
        <v>3.82</v>
      </c>
      <c r="O422" s="243" t="str">
        <f>VLOOKUP(Ruimtestaat[[#This Row],[Ruimte code]],Ruimtegroepen[#All],4,FALSE)</f>
        <v>Niet in onderhoud</v>
      </c>
      <c r="P422" s="214"/>
      <c r="Q422" s="215"/>
      <c r="R422" s="215"/>
      <c r="S422" s="215">
        <f>IF(R422&gt;0,IF(RIGHT(Ruimtestaat[[#This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22" s="215">
        <f>IF(S422&gt;0,VLOOKUP($J422,Ruimtegroepen[],3,FALSE)*VLOOKUP($K422,Vloersoorten[],3,FALSE)*VLOOKUP($R422,Frequenties[],3,FALSE)*VLOOKUP($A422,Locaties[],3,FALSE),0)</f>
        <v>0</v>
      </c>
      <c r="U422" s="215">
        <f>Ruimtestaat[[#This Row],[Uitvoeringen werkdagen]]*Ruimtestaat[[#This Row],[Oppervlak (netto)]]</f>
        <v>0</v>
      </c>
      <c r="V422" s="259">
        <f>IF(T422&gt;0,Ruimtestaat[[#This Row],[Prest. (m2 /jaar) werkdagen]]/Ruimtestaat[[#This Row],[Norm (m2/uur) werkdagen]],0)</f>
        <v>0</v>
      </c>
      <c r="W422" s="260">
        <f>Ruimtestaat[[#This Row],[uren / jaar werkdagen]]*Tariefsopbouw!$D$38</f>
        <v>0</v>
      </c>
      <c r="X422" s="33"/>
      <c r="Y422" s="33">
        <f>IF(Ruimtestaat[[#This Row],[Frequentie weekend]]&gt;0,VALUE(LEFT(X422,1))*Q422,0)</f>
        <v>0</v>
      </c>
      <c r="Z422" s="33">
        <f>IF($Y422&gt;0,VLOOKUP($J422,Ruimtegroepen[],3,FALSE)*VLOOKUP($K422,Vloersoorten[],3,FALSE)*VLOOKUP($X422,Frequenties[],3,FALSE)*VLOOKUP(#REF!,Locaties[],3,FALSE),0)</f>
        <v>0</v>
      </c>
      <c r="AA422" s="33"/>
      <c r="AB422" s="33"/>
      <c r="AC422" s="33">
        <f>Ruimtestaat[[#This Row],[uren / jaar weekend]]*Tariefsopbouw!$D$40</f>
        <v>0</v>
      </c>
      <c r="AD422" s="88">
        <f>Ruimtestaat[[#This Row],[Prest. (m2 /jaar) weekend]]+Ruimtestaat[[#This Row],[Prest. (m2 /jaar) werkdagen]]</f>
        <v>0</v>
      </c>
      <c r="AE422" s="88">
        <f>Ruimtestaat[[#This Row],[uren / jaar weekend]]+Ruimtestaat[[#This Row],[uren / jaar werkdagen]]</f>
        <v>0</v>
      </c>
      <c r="AF422" s="89">
        <f>Ruimtestaat[[#This Row],[kosten / jaar weekend]]+Ruimtestaat[[#This Row],[kosten / jaar werkdagen]]</f>
        <v>0</v>
      </c>
    </row>
    <row r="423" spans="1:32" ht="15" customHeight="1">
      <c r="A423" s="280">
        <v>3</v>
      </c>
      <c r="B423" s="21" t="str">
        <f>VLOOKUP(Ruimtestaat[[#This Row],[Code]],Locaties[#All],2,FALSE)</f>
        <v>Stafbureau</v>
      </c>
      <c r="C423" s="281" t="str">
        <f>VLOOKUP(Ruimtestaat[[#This Row],[Code]],Locaties[#All],4,FALSE)</f>
        <v>Cesar Frankstraat 6</v>
      </c>
      <c r="D423" s="281" t="str">
        <f>VLOOKUP(Ruimtestaat[[#This Row],[Code]],Locaties[#All],5,FALSE)</f>
        <v>7604 JG </v>
      </c>
      <c r="E423" s="281" t="str">
        <f>VLOOKUP(Ruimtestaat[[#This Row],[Code]],Locaties[#All],6,FALSE)</f>
        <v>Almelo</v>
      </c>
      <c r="F423" s="282"/>
      <c r="G423" s="283" t="s">
        <v>444</v>
      </c>
      <c r="H423" s="280" t="s">
        <v>730</v>
      </c>
      <c r="I423" s="244" t="s">
        <v>924</v>
      </c>
      <c r="J423" s="281">
        <v>4</v>
      </c>
      <c r="K423" s="243" t="s">
        <v>109</v>
      </c>
      <c r="L423" s="293" t="s">
        <v>919</v>
      </c>
      <c r="M423" s="213">
        <v>34.07</v>
      </c>
      <c r="N423" s="202"/>
      <c r="O423" s="243" t="str">
        <f>VLOOKUP(Ruimtestaat[[#This Row],[Ruimte code]],Ruimtegroepen[#All],4,FALSE)</f>
        <v>B  (Bureauruimte)</v>
      </c>
      <c r="P423" s="214"/>
      <c r="Q423" s="215">
        <v>42</v>
      </c>
      <c r="R423" s="215" t="s">
        <v>2</v>
      </c>
      <c r="S423" s="215">
        <f>IF(R423&gt;0,IF(RIGHT(Ruimtestaat[[#This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3" s="215">
        <f>IF(S423&gt;0,VLOOKUP($J423,Ruimtegroepen[],3,FALSE)*VLOOKUP($K423,Vloersoorten[],3,FALSE)*VLOOKUP($R423,Frequenties[],3,FALSE)*VLOOKUP($A423,Locaties[],3,FALSE),0)</f>
        <v>0</v>
      </c>
      <c r="U423" s="215">
        <f>Ruimtestaat[[#This Row],[Uitvoeringen werkdagen]]*Ruimtestaat[[#This Row],[Oppervlak (netto)]]</f>
        <v>7154.7</v>
      </c>
      <c r="V423" s="259">
        <f>IF(T423&gt;0,Ruimtestaat[[#This Row],[Prest. (m2 /jaar) werkdagen]]/Ruimtestaat[[#This Row],[Norm (m2/uur) werkdagen]],0)</f>
        <v>0</v>
      </c>
      <c r="W423" s="260">
        <f>Ruimtestaat[[#This Row],[uren / jaar werkdagen]]*Tariefsopbouw!$D$38</f>
        <v>0</v>
      </c>
      <c r="X423" s="33"/>
      <c r="Y423" s="33">
        <f>IF(Ruimtestaat[[#This Row],[Frequentie weekend]]&gt;0,VALUE(LEFT(X423,1))*Q423,0)</f>
        <v>0</v>
      </c>
      <c r="Z423" s="33">
        <f>IF($Y423&gt;0,VLOOKUP($J423,Ruimtegroepen[],3,FALSE)*VLOOKUP($K423,Vloersoorten[],3,FALSE)*VLOOKUP($X423,Frequenties[],3,FALSE)*VLOOKUP(#REF!,Locaties[],3,FALSE),0)</f>
        <v>0</v>
      </c>
      <c r="AA423" s="33"/>
      <c r="AB423" s="33"/>
      <c r="AC423" s="33">
        <f>Ruimtestaat[[#This Row],[uren / jaar weekend]]*Tariefsopbouw!$D$40</f>
        <v>0</v>
      </c>
      <c r="AD423" s="88">
        <f>Ruimtestaat[[#This Row],[Prest. (m2 /jaar) weekend]]+Ruimtestaat[[#This Row],[Prest. (m2 /jaar) werkdagen]]</f>
        <v>7154.7</v>
      </c>
      <c r="AE423" s="88">
        <f>Ruimtestaat[[#This Row],[uren / jaar weekend]]+Ruimtestaat[[#This Row],[uren / jaar werkdagen]]</f>
        <v>0</v>
      </c>
      <c r="AF423" s="89">
        <f>Ruimtestaat[[#This Row],[kosten / jaar weekend]]+Ruimtestaat[[#This Row],[kosten / jaar werkdagen]]</f>
        <v>0</v>
      </c>
    </row>
    <row r="424" spans="1:32" ht="15" customHeight="1">
      <c r="A424" s="280">
        <v>3</v>
      </c>
      <c r="B424" s="21" t="str">
        <f>VLOOKUP(Ruimtestaat[[#This Row],[Code]],Locaties[#All],2,FALSE)</f>
        <v>Stafbureau</v>
      </c>
      <c r="C424" s="281" t="str">
        <f>VLOOKUP(Ruimtestaat[[#This Row],[Code]],Locaties[#All],4,FALSE)</f>
        <v>Cesar Frankstraat 6</v>
      </c>
      <c r="D424" s="281" t="str">
        <f>VLOOKUP(Ruimtestaat[[#This Row],[Code]],Locaties[#All],5,FALSE)</f>
        <v>7604 JG </v>
      </c>
      <c r="E424" s="281" t="str">
        <f>VLOOKUP(Ruimtestaat[[#This Row],[Code]],Locaties[#All],6,FALSE)</f>
        <v>Almelo</v>
      </c>
      <c r="F424" s="282"/>
      <c r="G424" s="283" t="s">
        <v>444</v>
      </c>
      <c r="H424" s="200" t="s">
        <v>922</v>
      </c>
      <c r="I424" s="244" t="s">
        <v>923</v>
      </c>
      <c r="J424" s="281">
        <v>15</v>
      </c>
      <c r="K424" s="243" t="s">
        <v>109</v>
      </c>
      <c r="L424" s="293" t="s">
        <v>919</v>
      </c>
      <c r="M424" s="213">
        <v>4</v>
      </c>
      <c r="N424" s="202"/>
      <c r="O424" s="243" t="str">
        <f>VLOOKUP(Ruimtestaat[[#This Row],[Ruimte code]],Ruimtegroepen[#All],4,FALSE)</f>
        <v>V  (Verkeersruimte)</v>
      </c>
      <c r="P424" s="214"/>
      <c r="Q424" s="215">
        <v>42</v>
      </c>
      <c r="R424" s="215" t="s">
        <v>2</v>
      </c>
      <c r="S424" s="215">
        <f>IF(R424&gt;0,IF(RIGHT(Ruimtestaat[[#This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4" s="215">
        <f>IF(S424&gt;0,VLOOKUP($J424,Ruimtegroepen[],3,FALSE)*VLOOKUP($K424,Vloersoorten[],3,FALSE)*VLOOKUP($R424,Frequenties[],3,FALSE)*VLOOKUP($A424,Locaties[],3,FALSE),0)</f>
        <v>0</v>
      </c>
      <c r="U424" s="215">
        <f>Ruimtestaat[[#This Row],[Uitvoeringen werkdagen]]*Ruimtestaat[[#This Row],[Oppervlak (netto)]]</f>
        <v>840</v>
      </c>
      <c r="V424" s="259">
        <f>IF(T424&gt;0,Ruimtestaat[[#This Row],[Prest. (m2 /jaar) werkdagen]]/Ruimtestaat[[#This Row],[Norm (m2/uur) werkdagen]],0)</f>
        <v>0</v>
      </c>
      <c r="W424" s="260">
        <f>Ruimtestaat[[#This Row],[uren / jaar werkdagen]]*Tariefsopbouw!$D$38</f>
        <v>0</v>
      </c>
      <c r="X424" s="33"/>
      <c r="Y424" s="33">
        <f>IF(Ruimtestaat[[#This Row],[Frequentie weekend]]&gt;0,VALUE(LEFT(X424,1))*Q424,0)</f>
        <v>0</v>
      </c>
      <c r="Z424" s="33">
        <f>IF($Y424&gt;0,VLOOKUP($J424,Ruimtegroepen[],3,FALSE)*VLOOKUP($K424,Vloersoorten[],3,FALSE)*VLOOKUP($X424,Frequenties[],3,FALSE)*VLOOKUP(#REF!,Locaties[],3,FALSE),0)</f>
        <v>0</v>
      </c>
      <c r="AA424" s="33"/>
      <c r="AB424" s="33"/>
      <c r="AC424" s="33">
        <f>Ruimtestaat[[#This Row],[uren / jaar weekend]]*Tariefsopbouw!$D$40</f>
        <v>0</v>
      </c>
      <c r="AD424" s="88">
        <f>Ruimtestaat[[#This Row],[Prest. (m2 /jaar) weekend]]+Ruimtestaat[[#This Row],[Prest. (m2 /jaar) werkdagen]]</f>
        <v>840</v>
      </c>
      <c r="AE424" s="88">
        <f>Ruimtestaat[[#This Row],[uren / jaar weekend]]+Ruimtestaat[[#This Row],[uren / jaar werkdagen]]</f>
        <v>0</v>
      </c>
      <c r="AF424" s="89">
        <f>Ruimtestaat[[#This Row],[kosten / jaar weekend]]+Ruimtestaat[[#This Row],[kosten / jaar werkdagen]]</f>
        <v>0</v>
      </c>
    </row>
    <row r="425" spans="1:32" ht="15" customHeight="1">
      <c r="A425" s="280">
        <v>3</v>
      </c>
      <c r="B425" s="21" t="str">
        <f>VLOOKUP(Ruimtestaat[[#This Row],[Code]],Locaties[#All],2,FALSE)</f>
        <v>Stafbureau</v>
      </c>
      <c r="C425" s="281" t="str">
        <f>VLOOKUP(Ruimtestaat[[#This Row],[Code]],Locaties[#All],4,FALSE)</f>
        <v>Cesar Frankstraat 6</v>
      </c>
      <c r="D425" s="281" t="str">
        <f>VLOOKUP(Ruimtestaat[[#This Row],[Code]],Locaties[#All],5,FALSE)</f>
        <v>7604 JG </v>
      </c>
      <c r="E425" s="281" t="str">
        <f>VLOOKUP(Ruimtestaat[[#This Row],[Code]],Locaties[#All],6,FALSE)</f>
        <v>Almelo</v>
      </c>
      <c r="F425" s="282"/>
      <c r="G425" s="283" t="s">
        <v>444</v>
      </c>
      <c r="H425" s="280" t="s">
        <v>731</v>
      </c>
      <c r="I425" s="282" t="s">
        <v>602</v>
      </c>
      <c r="J425" s="200">
        <v>15</v>
      </c>
      <c r="K425" s="243" t="s">
        <v>109</v>
      </c>
      <c r="L425" s="293" t="s">
        <v>920</v>
      </c>
      <c r="M425" s="213">
        <v>4.2699999999999996</v>
      </c>
      <c r="N425" s="202"/>
      <c r="O425" s="243" t="str">
        <f>VLOOKUP(Ruimtestaat[[#This Row],[Ruimte code]],Ruimtegroepen[#All],4,FALSE)</f>
        <v>V  (Verkeersruimte)</v>
      </c>
      <c r="P425" s="214"/>
      <c r="Q425" s="215">
        <v>42</v>
      </c>
      <c r="R425" s="215" t="s">
        <v>2</v>
      </c>
      <c r="S425" s="215">
        <f>IF(R425&gt;0,IF(RIGHT(Ruimtestaat[[#This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5" s="215">
        <f>IF(S425&gt;0,VLOOKUP($J425,Ruimtegroepen[],3,FALSE)*VLOOKUP($K425,Vloersoorten[],3,FALSE)*VLOOKUP($R425,Frequenties[],3,FALSE)*VLOOKUP($A425,Locaties[],3,FALSE),0)</f>
        <v>0</v>
      </c>
      <c r="U425" s="215">
        <f>Ruimtestaat[[#This Row],[Uitvoeringen werkdagen]]*Ruimtestaat[[#This Row],[Oppervlak (netto)]]</f>
        <v>896.69999999999993</v>
      </c>
      <c r="V425" s="259">
        <f>IF(T425&gt;0,Ruimtestaat[[#This Row],[Prest. (m2 /jaar) werkdagen]]/Ruimtestaat[[#This Row],[Norm (m2/uur) werkdagen]],0)</f>
        <v>0</v>
      </c>
      <c r="W425" s="260">
        <f>Ruimtestaat[[#This Row],[uren / jaar werkdagen]]*Tariefsopbouw!$D$38</f>
        <v>0</v>
      </c>
      <c r="X425" s="33"/>
      <c r="Y425" s="33">
        <f>IF(Ruimtestaat[[#This Row],[Frequentie weekend]]&gt;0,VALUE(LEFT(X425,1))*Q425,0)</f>
        <v>0</v>
      </c>
      <c r="Z425" s="33">
        <f>IF($Y425&gt;0,VLOOKUP($J425,Ruimtegroepen[],3,FALSE)*VLOOKUP($K425,Vloersoorten[],3,FALSE)*VLOOKUP($X425,Frequenties[],3,FALSE)*VLOOKUP(#REF!,Locaties[],3,FALSE),0)</f>
        <v>0</v>
      </c>
      <c r="AA425" s="33"/>
      <c r="AB425" s="33"/>
      <c r="AC425" s="33">
        <f>Ruimtestaat[[#This Row],[uren / jaar weekend]]*Tariefsopbouw!$D$40</f>
        <v>0</v>
      </c>
      <c r="AD425" s="88">
        <f>Ruimtestaat[[#This Row],[Prest. (m2 /jaar) weekend]]+Ruimtestaat[[#This Row],[Prest. (m2 /jaar) werkdagen]]</f>
        <v>896.69999999999993</v>
      </c>
      <c r="AE425" s="88">
        <f>Ruimtestaat[[#This Row],[uren / jaar weekend]]+Ruimtestaat[[#This Row],[uren / jaar werkdagen]]</f>
        <v>0</v>
      </c>
      <c r="AF425" s="89">
        <f>Ruimtestaat[[#This Row],[kosten / jaar weekend]]+Ruimtestaat[[#This Row],[kosten / jaar werkdagen]]</f>
        <v>0</v>
      </c>
    </row>
    <row r="426" spans="1:32" ht="15" customHeight="1">
      <c r="A426" s="280">
        <v>3</v>
      </c>
      <c r="B426" s="21" t="str">
        <f>VLOOKUP(Ruimtestaat[[#This Row],[Code]],Locaties[#All],2,FALSE)</f>
        <v>Stafbureau</v>
      </c>
      <c r="C426" s="281" t="str">
        <f>VLOOKUP(Ruimtestaat[[#This Row],[Code]],Locaties[#All],4,FALSE)</f>
        <v>Cesar Frankstraat 6</v>
      </c>
      <c r="D426" s="281" t="str">
        <f>VLOOKUP(Ruimtestaat[[#This Row],[Code]],Locaties[#All],5,FALSE)</f>
        <v>7604 JG </v>
      </c>
      <c r="E426" s="281" t="str">
        <f>VLOOKUP(Ruimtestaat[[#This Row],[Code]],Locaties[#All],6,FALSE)</f>
        <v>Almelo</v>
      </c>
      <c r="F426" s="282"/>
      <c r="G426" s="283" t="s">
        <v>444</v>
      </c>
      <c r="H426" s="280" t="s">
        <v>732</v>
      </c>
      <c r="I426" s="282" t="s">
        <v>733</v>
      </c>
      <c r="J426" s="200">
        <v>2</v>
      </c>
      <c r="K426" s="243" t="s">
        <v>109</v>
      </c>
      <c r="L426" s="293" t="s">
        <v>919</v>
      </c>
      <c r="M426" s="213">
        <v>45.23</v>
      </c>
      <c r="N426" s="202"/>
      <c r="O426" s="243" t="str">
        <f>VLOOKUP(Ruimtestaat[[#This Row],[Ruimte code]],Ruimtegroepen[#All],4,FALSE)</f>
        <v>B  (Bureauruimte)</v>
      </c>
      <c r="P426" s="214"/>
      <c r="Q426" s="215">
        <v>42</v>
      </c>
      <c r="R426" s="215" t="s">
        <v>2</v>
      </c>
      <c r="S426" s="215">
        <f>IF(R426&gt;0,IF(RIGHT(Ruimtestaat[[#This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210</v>
      </c>
      <c r="T426" s="215">
        <f>IF(S426&gt;0,VLOOKUP($J426,Ruimtegroepen[],3,FALSE)*VLOOKUP($K426,Vloersoorten[],3,FALSE)*VLOOKUP($R426,Frequenties[],3,FALSE)*VLOOKUP($A426,Locaties[],3,FALSE),0)</f>
        <v>0</v>
      </c>
      <c r="U426" s="215">
        <f>Ruimtestaat[[#This Row],[Uitvoeringen werkdagen]]*Ruimtestaat[[#This Row],[Oppervlak (netto)]]</f>
        <v>9498.2999999999993</v>
      </c>
      <c r="V426" s="259">
        <f>IF(T426&gt;0,Ruimtestaat[[#This Row],[Prest. (m2 /jaar) werkdagen]]/Ruimtestaat[[#This Row],[Norm (m2/uur) werkdagen]],0)</f>
        <v>0</v>
      </c>
      <c r="W426" s="260">
        <f>Ruimtestaat[[#This Row],[uren / jaar werkdagen]]*Tariefsopbouw!$D$38</f>
        <v>0</v>
      </c>
      <c r="X426" s="33"/>
      <c r="Y426" s="33">
        <f>IF(Ruimtestaat[[#This Row],[Frequentie weekend]]&gt;0,VALUE(LEFT(X426,1))*Q426,0)</f>
        <v>0</v>
      </c>
      <c r="Z426" s="33">
        <f>IF($Y426&gt;0,VLOOKUP($J426,Ruimtegroepen[],3,FALSE)*VLOOKUP($K426,Vloersoorten[],3,FALSE)*VLOOKUP($X426,Frequenties[],3,FALSE)*VLOOKUP(#REF!,Locaties[],3,FALSE),0)</f>
        <v>0</v>
      </c>
      <c r="AA426" s="33"/>
      <c r="AB426" s="33"/>
      <c r="AC426" s="33">
        <f>Ruimtestaat[[#This Row],[uren / jaar weekend]]*Tariefsopbouw!$D$40</f>
        <v>0</v>
      </c>
      <c r="AD426" s="88">
        <f>Ruimtestaat[[#This Row],[Prest. (m2 /jaar) weekend]]+Ruimtestaat[[#This Row],[Prest. (m2 /jaar) werkdagen]]</f>
        <v>9498.2999999999993</v>
      </c>
      <c r="AE426" s="88">
        <f>Ruimtestaat[[#This Row],[uren / jaar weekend]]+Ruimtestaat[[#This Row],[uren / jaar werkdagen]]</f>
        <v>0</v>
      </c>
      <c r="AF426" s="89">
        <f>Ruimtestaat[[#This Row],[kosten / jaar weekend]]+Ruimtestaat[[#This Row],[kosten / jaar werkdagen]]</f>
        <v>0</v>
      </c>
    </row>
    <row r="427" spans="1:32" ht="15" customHeight="1">
      <c r="A427" s="280">
        <v>4</v>
      </c>
      <c r="B427" s="21" t="str">
        <f>VLOOKUP(Ruimtestaat[[#This Row],[Code]],Locaties[#All],2,FALSE)</f>
        <v>PXC Rijssen</v>
      </c>
      <c r="C427" s="281" t="str">
        <f>VLOOKUP(Ruimtestaat[[#This Row],[Code]],Locaties[#All],4,FALSE)</f>
        <v>Graaf Ottostraat 48</v>
      </c>
      <c r="D427" s="281" t="str">
        <f>VLOOKUP(Ruimtestaat[[#This Row],[Code]],Locaties[#All],5,FALSE)</f>
        <v>7461 CP</v>
      </c>
      <c r="E427" s="281" t="str">
        <f>VLOOKUP(Ruimtestaat[[#This Row],[Code]],Locaties[#All],6,FALSE)</f>
        <v>Rijssen</v>
      </c>
      <c r="F427" s="282"/>
      <c r="G427" s="283"/>
      <c r="H427" s="280">
        <v>-1.1000000000000001</v>
      </c>
      <c r="I427" s="282" t="s">
        <v>1055</v>
      </c>
      <c r="J427" s="215">
        <v>21</v>
      </c>
      <c r="K427" s="243" t="s">
        <v>1040</v>
      </c>
      <c r="L427" s="284" t="s">
        <v>1120</v>
      </c>
      <c r="M427" s="213"/>
      <c r="N427" s="213">
        <v>35.47</v>
      </c>
      <c r="O427" s="243" t="str">
        <f>VLOOKUP(Ruimtestaat[[#This Row],[Ruimte code]],Ruimtegroepen[#All],4,FALSE)</f>
        <v>Niet in onderhoud</v>
      </c>
      <c r="P427" s="214"/>
      <c r="Q427" s="215"/>
      <c r="R427" s="215"/>
      <c r="S427" s="215">
        <f>IF(R427&gt;0,IF(RIGHT(Ruimtestaat[[#This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27" s="215">
        <f>IF(S427&gt;0,VLOOKUP($J427,Ruimtegroepen[],3,FALSE)*VLOOKUP($K427,Vloersoorten[],3,FALSE)*VLOOKUP($R427,Frequenties[],3,FALSE)*VLOOKUP($A427,Locaties[],3,FALSE),0)</f>
        <v>0</v>
      </c>
      <c r="U427" s="215">
        <f>Ruimtestaat[[#This Row],[Uitvoeringen werkdagen]]*Ruimtestaat[[#This Row],[Oppervlak (netto)]]</f>
        <v>0</v>
      </c>
      <c r="V427" s="259">
        <f>IF(T427&gt;0,Ruimtestaat[[#This Row],[Prest. (m2 /jaar) werkdagen]]/Ruimtestaat[[#This Row],[Norm (m2/uur) werkdagen]],0)</f>
        <v>0</v>
      </c>
      <c r="W427" s="260">
        <f>Ruimtestaat[[#This Row],[uren / jaar werkdagen]]*Tariefsopbouw!$D$38</f>
        <v>0</v>
      </c>
      <c r="X427" s="33"/>
      <c r="Y427" s="33">
        <f>IF(Ruimtestaat[[#This Row],[Frequentie weekend]]&gt;0,VALUE(LEFT(X427,1))*Q427,0)</f>
        <v>0</v>
      </c>
      <c r="Z427" s="33">
        <f>IF($Y427&gt;0,VLOOKUP($J427,Ruimtegroepen[],3,FALSE)*VLOOKUP($K427,Vloersoorten[],3,FALSE)*VLOOKUP($X427,Frequenties[],3,FALSE)*VLOOKUP(#REF!,Locaties[],3,FALSE),0)</f>
        <v>0</v>
      </c>
      <c r="AA427" s="33"/>
      <c r="AB427" s="33"/>
      <c r="AC427" s="33">
        <f>Ruimtestaat[[#This Row],[uren / jaar weekend]]*Tariefsopbouw!$D$40</f>
        <v>0</v>
      </c>
      <c r="AD427" s="88">
        <f>Ruimtestaat[[#This Row],[Prest. (m2 /jaar) weekend]]+Ruimtestaat[[#This Row],[Prest. (m2 /jaar) werkdagen]]</f>
        <v>0</v>
      </c>
      <c r="AE427" s="88">
        <f>Ruimtestaat[[#This Row],[uren / jaar weekend]]+Ruimtestaat[[#This Row],[uren / jaar werkdagen]]</f>
        <v>0</v>
      </c>
      <c r="AF427" s="89">
        <f>Ruimtestaat[[#This Row],[kosten / jaar weekend]]+Ruimtestaat[[#This Row],[kosten / jaar werkdagen]]</f>
        <v>0</v>
      </c>
    </row>
    <row r="428" spans="1:32" ht="15" customHeight="1">
      <c r="A428" s="280">
        <v>4</v>
      </c>
      <c r="B428" s="21" t="str">
        <f>VLOOKUP(Ruimtestaat[[#This Row],[Code]],Locaties[#All],2,FALSE)</f>
        <v>PXC Rijssen</v>
      </c>
      <c r="C428" s="281" t="str">
        <f>VLOOKUP(Ruimtestaat[[#This Row],[Code]],Locaties[#All],4,FALSE)</f>
        <v>Graaf Ottostraat 48</v>
      </c>
      <c r="D428" s="281" t="str">
        <f>VLOOKUP(Ruimtestaat[[#This Row],[Code]],Locaties[#All],5,FALSE)</f>
        <v>7461 CP</v>
      </c>
      <c r="E428" s="281" t="str">
        <f>VLOOKUP(Ruimtestaat[[#This Row],[Code]],Locaties[#All],6,FALSE)</f>
        <v>Rijssen</v>
      </c>
      <c r="F428" s="282"/>
      <c r="G428" s="283"/>
      <c r="H428" s="280">
        <v>0.01</v>
      </c>
      <c r="I428" s="282" t="s">
        <v>1056</v>
      </c>
      <c r="J428" s="281">
        <v>7</v>
      </c>
      <c r="K428" s="243" t="s">
        <v>1040</v>
      </c>
      <c r="L428" s="284" t="s">
        <v>38</v>
      </c>
      <c r="M428" s="213">
        <v>24</v>
      </c>
      <c r="N428" s="202"/>
      <c r="O428" s="243" t="str">
        <f>VLOOKUP(Ruimtestaat[[#This Row],[Ruimte code]],Ruimtegroepen[#All],4,FALSE)</f>
        <v>V  (Verkeersruimte)</v>
      </c>
      <c r="P428" s="214"/>
      <c r="Q428" s="215">
        <v>40</v>
      </c>
      <c r="R428" s="215" t="s">
        <v>2</v>
      </c>
      <c r="S428" s="215">
        <f>IF(R428&gt;0,IF(RIGHT(Ruimtestaat[[#This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8" s="215">
        <f>IF(S428&gt;0,VLOOKUP($J428,Ruimtegroepen[],3,FALSE)*VLOOKUP($K428,Vloersoorten[],3,FALSE)*VLOOKUP($R428,Frequenties[],3,FALSE)*VLOOKUP($A428,Locaties[],3,FALSE),0)</f>
        <v>0</v>
      </c>
      <c r="U428" s="215">
        <f>Ruimtestaat[[#This Row],[Uitvoeringen werkdagen]]*Ruimtestaat[[#This Row],[Oppervlak (netto)]]</f>
        <v>4800</v>
      </c>
      <c r="V428" s="259">
        <f>IF(T428&gt;0,Ruimtestaat[[#This Row],[Prest. (m2 /jaar) werkdagen]]/Ruimtestaat[[#This Row],[Norm (m2/uur) werkdagen]],0)</f>
        <v>0</v>
      </c>
      <c r="W428" s="260">
        <f>Ruimtestaat[[#This Row],[uren / jaar werkdagen]]*Tariefsopbouw!$D$38</f>
        <v>0</v>
      </c>
      <c r="X428" s="33"/>
      <c r="Y428" s="33">
        <f>IF(Ruimtestaat[[#This Row],[Frequentie weekend]]&gt;0,VALUE(LEFT(X428,1))*Q428,0)</f>
        <v>0</v>
      </c>
      <c r="Z428" s="33">
        <f>IF($Y428&gt;0,VLOOKUP($J428,Ruimtegroepen[],3,FALSE)*VLOOKUP($K428,Vloersoorten[],3,FALSE)*VLOOKUP($X428,Frequenties[],3,FALSE)*VLOOKUP(#REF!,Locaties[],3,FALSE),0)</f>
        <v>0</v>
      </c>
      <c r="AA428" s="33"/>
      <c r="AB428" s="33"/>
      <c r="AC428" s="33">
        <f>Ruimtestaat[[#This Row],[uren / jaar weekend]]*Tariefsopbouw!$D$40</f>
        <v>0</v>
      </c>
      <c r="AD428" s="88">
        <f>Ruimtestaat[[#This Row],[Prest. (m2 /jaar) weekend]]+Ruimtestaat[[#This Row],[Prest. (m2 /jaar) werkdagen]]</f>
        <v>4800</v>
      </c>
      <c r="AE428" s="88">
        <f>Ruimtestaat[[#This Row],[uren / jaar weekend]]+Ruimtestaat[[#This Row],[uren / jaar werkdagen]]</f>
        <v>0</v>
      </c>
      <c r="AF428" s="89">
        <f>Ruimtestaat[[#This Row],[kosten / jaar weekend]]+Ruimtestaat[[#This Row],[kosten / jaar werkdagen]]</f>
        <v>0</v>
      </c>
    </row>
    <row r="429" spans="1:32" ht="15" customHeight="1">
      <c r="A429" s="280">
        <v>4</v>
      </c>
      <c r="B429" s="21" t="str">
        <f>VLOOKUP(Ruimtestaat[[#This Row],[Code]],Locaties[#All],2,FALSE)</f>
        <v>PXC Rijssen</v>
      </c>
      <c r="C429" s="281" t="str">
        <f>VLOOKUP(Ruimtestaat[[#This Row],[Code]],Locaties[#All],4,FALSE)</f>
        <v>Graaf Ottostraat 48</v>
      </c>
      <c r="D429" s="281" t="str">
        <f>VLOOKUP(Ruimtestaat[[#This Row],[Code]],Locaties[#All],5,FALSE)</f>
        <v>7461 CP</v>
      </c>
      <c r="E429" s="281" t="str">
        <f>VLOOKUP(Ruimtestaat[[#This Row],[Code]],Locaties[#All],6,FALSE)</f>
        <v>Rijssen</v>
      </c>
      <c r="F429" s="282"/>
      <c r="G429" s="283"/>
      <c r="H429" s="280">
        <v>0.02</v>
      </c>
      <c r="I429" s="282" t="s">
        <v>1057</v>
      </c>
      <c r="J429" s="200">
        <v>12</v>
      </c>
      <c r="K429" s="243" t="s">
        <v>1042</v>
      </c>
      <c r="L429" s="284" t="s">
        <v>1121</v>
      </c>
      <c r="M429" s="213">
        <v>283.22000000000003</v>
      </c>
      <c r="N429" s="202"/>
      <c r="O429" s="243" t="str">
        <f>VLOOKUP(Ruimtestaat[[#This Row],[Ruimte code]],Ruimtegroepen[#All],4,FALSE)</f>
        <v>V  (Verkeersruimte)</v>
      </c>
      <c r="P429" s="214"/>
      <c r="Q429" s="215">
        <v>40</v>
      </c>
      <c r="R429" s="215" t="s">
        <v>2</v>
      </c>
      <c r="S429" s="215">
        <f>IF(R429&gt;0,IF(RIGHT(Ruimtestaat[[#This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29" s="215">
        <f>IF(S429&gt;0,VLOOKUP($J429,Ruimtegroepen[],3,FALSE)*VLOOKUP($K429,Vloersoorten[],3,FALSE)*VLOOKUP($R429,Frequenties[],3,FALSE)*VLOOKUP($A429,Locaties[],3,FALSE),0)</f>
        <v>0</v>
      </c>
      <c r="U429" s="215">
        <f>Ruimtestaat[[#This Row],[Uitvoeringen werkdagen]]*Ruimtestaat[[#This Row],[Oppervlak (netto)]]</f>
        <v>56644.000000000007</v>
      </c>
      <c r="V429" s="259">
        <f>IF(T429&gt;0,Ruimtestaat[[#This Row],[Prest. (m2 /jaar) werkdagen]]/Ruimtestaat[[#This Row],[Norm (m2/uur) werkdagen]],0)</f>
        <v>0</v>
      </c>
      <c r="W429" s="260">
        <f>Ruimtestaat[[#This Row],[uren / jaar werkdagen]]*Tariefsopbouw!$D$38</f>
        <v>0</v>
      </c>
      <c r="X429" s="33"/>
      <c r="Y429" s="33">
        <f>IF(Ruimtestaat[[#This Row],[Frequentie weekend]]&gt;0,VALUE(LEFT(X429,1))*Q429,0)</f>
        <v>0</v>
      </c>
      <c r="Z429" s="33">
        <f>IF($Y429&gt;0,VLOOKUP($J429,Ruimtegroepen[],3,FALSE)*VLOOKUP($K429,Vloersoorten[],3,FALSE)*VLOOKUP($X429,Frequenties[],3,FALSE)*VLOOKUP(#REF!,Locaties[],3,FALSE),0)</f>
        <v>0</v>
      </c>
      <c r="AA429" s="33"/>
      <c r="AB429" s="33"/>
      <c r="AC429" s="33">
        <f>Ruimtestaat[[#This Row],[uren / jaar weekend]]*Tariefsopbouw!$D$40</f>
        <v>0</v>
      </c>
      <c r="AD429" s="88">
        <f>Ruimtestaat[[#This Row],[Prest. (m2 /jaar) weekend]]+Ruimtestaat[[#This Row],[Prest. (m2 /jaar) werkdagen]]</f>
        <v>56644.000000000007</v>
      </c>
      <c r="AE429" s="88">
        <f>Ruimtestaat[[#This Row],[uren / jaar weekend]]+Ruimtestaat[[#This Row],[uren / jaar werkdagen]]</f>
        <v>0</v>
      </c>
      <c r="AF429" s="89">
        <f>Ruimtestaat[[#This Row],[kosten / jaar weekend]]+Ruimtestaat[[#This Row],[kosten / jaar werkdagen]]</f>
        <v>0</v>
      </c>
    </row>
    <row r="430" spans="1:32" ht="15" customHeight="1">
      <c r="A430" s="280">
        <v>4</v>
      </c>
      <c r="B430" s="21" t="str">
        <f>VLOOKUP(Ruimtestaat[[#This Row],[Code]],Locaties[#All],2,FALSE)</f>
        <v>PXC Rijssen</v>
      </c>
      <c r="C430" s="281" t="str">
        <f>VLOOKUP(Ruimtestaat[[#This Row],[Code]],Locaties[#All],4,FALSE)</f>
        <v>Graaf Ottostraat 48</v>
      </c>
      <c r="D430" s="281" t="str">
        <f>VLOOKUP(Ruimtestaat[[#This Row],[Code]],Locaties[#All],5,FALSE)</f>
        <v>7461 CP</v>
      </c>
      <c r="E430" s="281" t="str">
        <f>VLOOKUP(Ruimtestaat[[#This Row],[Code]],Locaties[#All],6,FALSE)</f>
        <v>Rijssen</v>
      </c>
      <c r="F430" s="282"/>
      <c r="G430" s="283"/>
      <c r="H430" s="280">
        <v>0.03</v>
      </c>
      <c r="I430" s="282" t="s">
        <v>1058</v>
      </c>
      <c r="J430" s="200">
        <v>2</v>
      </c>
      <c r="K430" s="243" t="s">
        <v>1040</v>
      </c>
      <c r="L430" s="284" t="s">
        <v>1122</v>
      </c>
      <c r="M430" s="213">
        <v>21.5</v>
      </c>
      <c r="N430" s="202"/>
      <c r="O430" s="243" t="str">
        <f>VLOOKUP(Ruimtestaat[[#This Row],[Ruimte code]],Ruimtegroepen[#All],4,FALSE)</f>
        <v>B  (Bureauruimte)</v>
      </c>
      <c r="P430" s="214"/>
      <c r="Q430" s="215">
        <v>40</v>
      </c>
      <c r="R430" s="215" t="s">
        <v>17</v>
      </c>
      <c r="S430" s="215">
        <f>IF(R430&gt;0,IF(RIGHT(Ruimtestaat[[#This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430" s="215">
        <f>IF(S430&gt;0,VLOOKUP($J430,Ruimtegroepen[],3,FALSE)*VLOOKUP($K430,Vloersoorten[],3,FALSE)*VLOOKUP($R430,Frequenties[],3,FALSE)*VLOOKUP($A430,Locaties[],3,FALSE),0)</f>
        <v>0</v>
      </c>
      <c r="U430" s="215">
        <f>Ruimtestaat[[#This Row],[Uitvoeringen werkdagen]]*Ruimtestaat[[#This Row],[Oppervlak (netto)]]</f>
        <v>1720</v>
      </c>
      <c r="V430" s="259">
        <f>IF(T430&gt;0,Ruimtestaat[[#This Row],[Prest. (m2 /jaar) werkdagen]]/Ruimtestaat[[#This Row],[Norm (m2/uur) werkdagen]],0)</f>
        <v>0</v>
      </c>
      <c r="W430" s="260">
        <f>Ruimtestaat[[#This Row],[uren / jaar werkdagen]]*Tariefsopbouw!$D$38</f>
        <v>0</v>
      </c>
      <c r="X430" s="33"/>
      <c r="Y430" s="33">
        <f>IF(Ruimtestaat[[#This Row],[Frequentie weekend]]&gt;0,VALUE(LEFT(X430,1))*Q430,0)</f>
        <v>0</v>
      </c>
      <c r="Z430" s="33">
        <f>IF($Y430&gt;0,VLOOKUP($J430,Ruimtegroepen[],3,FALSE)*VLOOKUP($K430,Vloersoorten[],3,FALSE)*VLOOKUP($X430,Frequenties[],3,FALSE)*VLOOKUP(#REF!,Locaties[],3,FALSE),0)</f>
        <v>0</v>
      </c>
      <c r="AA430" s="33"/>
      <c r="AB430" s="33"/>
      <c r="AC430" s="33">
        <f>Ruimtestaat[[#This Row],[uren / jaar weekend]]*Tariefsopbouw!$D$40</f>
        <v>0</v>
      </c>
      <c r="AD430" s="88">
        <f>Ruimtestaat[[#This Row],[Prest. (m2 /jaar) weekend]]+Ruimtestaat[[#This Row],[Prest. (m2 /jaar) werkdagen]]</f>
        <v>1720</v>
      </c>
      <c r="AE430" s="88">
        <f>Ruimtestaat[[#This Row],[uren / jaar weekend]]+Ruimtestaat[[#This Row],[uren / jaar werkdagen]]</f>
        <v>0</v>
      </c>
      <c r="AF430" s="89">
        <f>Ruimtestaat[[#This Row],[kosten / jaar weekend]]+Ruimtestaat[[#This Row],[kosten / jaar werkdagen]]</f>
        <v>0</v>
      </c>
    </row>
    <row r="431" spans="1:32" ht="15" customHeight="1">
      <c r="A431" s="280">
        <v>4</v>
      </c>
      <c r="B431" s="21" t="str">
        <f>VLOOKUP(Ruimtestaat[[#This Row],[Code]],Locaties[#All],2,FALSE)</f>
        <v>PXC Rijssen</v>
      </c>
      <c r="C431" s="281" t="str">
        <f>VLOOKUP(Ruimtestaat[[#This Row],[Code]],Locaties[#All],4,FALSE)</f>
        <v>Graaf Ottostraat 48</v>
      </c>
      <c r="D431" s="281" t="str">
        <f>VLOOKUP(Ruimtestaat[[#This Row],[Code]],Locaties[#All],5,FALSE)</f>
        <v>7461 CP</v>
      </c>
      <c r="E431" s="281" t="str">
        <f>VLOOKUP(Ruimtestaat[[#This Row],[Code]],Locaties[#All],6,FALSE)</f>
        <v>Rijssen</v>
      </c>
      <c r="F431" s="282"/>
      <c r="G431" s="283"/>
      <c r="H431" s="280">
        <v>0.04</v>
      </c>
      <c r="I431" s="282" t="s">
        <v>1059</v>
      </c>
      <c r="J431" s="281">
        <v>15</v>
      </c>
      <c r="K431" s="243" t="s">
        <v>1043</v>
      </c>
      <c r="L431" s="284" t="s">
        <v>920</v>
      </c>
      <c r="M431" s="213">
        <v>13.41</v>
      </c>
      <c r="N431" s="202"/>
      <c r="O431" s="243" t="str">
        <f>VLOOKUP(Ruimtestaat[[#This Row],[Ruimte code]],Ruimtegroepen[#All],4,FALSE)</f>
        <v>V  (Verkeersruimte)</v>
      </c>
      <c r="P431" s="214"/>
      <c r="Q431" s="215">
        <v>40</v>
      </c>
      <c r="R431" s="215" t="s">
        <v>2</v>
      </c>
      <c r="S431" s="215">
        <f>IF(R431&gt;0,IF(RIGHT(Ruimtestaat[[#This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1" s="215">
        <f>IF(S431&gt;0,VLOOKUP($J431,Ruimtegroepen[],3,FALSE)*VLOOKUP($K431,Vloersoorten[],3,FALSE)*VLOOKUP($R431,Frequenties[],3,FALSE)*VLOOKUP($A431,Locaties[],3,FALSE),0)</f>
        <v>0</v>
      </c>
      <c r="U431" s="215">
        <f>Ruimtestaat[[#This Row],[Uitvoeringen werkdagen]]*Ruimtestaat[[#This Row],[Oppervlak (netto)]]</f>
        <v>2682</v>
      </c>
      <c r="V431" s="259">
        <f>IF(T431&gt;0,Ruimtestaat[[#This Row],[Prest. (m2 /jaar) werkdagen]]/Ruimtestaat[[#This Row],[Norm (m2/uur) werkdagen]],0)</f>
        <v>0</v>
      </c>
      <c r="W431" s="260">
        <f>Ruimtestaat[[#This Row],[uren / jaar werkdagen]]*Tariefsopbouw!$D$38</f>
        <v>0</v>
      </c>
      <c r="X431" s="33"/>
      <c r="Y431" s="33">
        <f>IF(Ruimtestaat[[#This Row],[Frequentie weekend]]&gt;0,VALUE(LEFT(X431,1))*Q431,0)</f>
        <v>0</v>
      </c>
      <c r="Z431" s="33">
        <f>IF($Y431&gt;0,VLOOKUP($J431,Ruimtegroepen[],3,FALSE)*VLOOKUP($K431,Vloersoorten[],3,FALSE)*VLOOKUP($X431,Frequenties[],3,FALSE)*VLOOKUP(#REF!,Locaties[],3,FALSE),0)</f>
        <v>0</v>
      </c>
      <c r="AA431" s="33"/>
      <c r="AB431" s="33"/>
      <c r="AC431" s="33">
        <f>Ruimtestaat[[#This Row],[uren / jaar weekend]]*Tariefsopbouw!$D$40</f>
        <v>0</v>
      </c>
      <c r="AD431" s="88">
        <f>Ruimtestaat[[#This Row],[Prest. (m2 /jaar) weekend]]+Ruimtestaat[[#This Row],[Prest. (m2 /jaar) werkdagen]]</f>
        <v>2682</v>
      </c>
      <c r="AE431" s="88">
        <f>Ruimtestaat[[#This Row],[uren / jaar weekend]]+Ruimtestaat[[#This Row],[uren / jaar werkdagen]]</f>
        <v>0</v>
      </c>
      <c r="AF431" s="89">
        <f>Ruimtestaat[[#This Row],[kosten / jaar weekend]]+Ruimtestaat[[#This Row],[kosten / jaar werkdagen]]</f>
        <v>0</v>
      </c>
    </row>
    <row r="432" spans="1:32" ht="15" customHeight="1">
      <c r="A432" s="280">
        <v>4</v>
      </c>
      <c r="B432" s="21" t="str">
        <f>VLOOKUP(Ruimtestaat[[#This Row],[Code]],Locaties[#All],2,FALSE)</f>
        <v>PXC Rijssen</v>
      </c>
      <c r="C432" s="281" t="str">
        <f>VLOOKUP(Ruimtestaat[[#This Row],[Code]],Locaties[#All],4,FALSE)</f>
        <v>Graaf Ottostraat 48</v>
      </c>
      <c r="D432" s="281" t="str">
        <f>VLOOKUP(Ruimtestaat[[#This Row],[Code]],Locaties[#All],5,FALSE)</f>
        <v>7461 CP</v>
      </c>
      <c r="E432" s="281" t="str">
        <f>VLOOKUP(Ruimtestaat[[#This Row],[Code]],Locaties[#All],6,FALSE)</f>
        <v>Rijssen</v>
      </c>
      <c r="F432" s="282"/>
      <c r="G432" s="283"/>
      <c r="H432" s="280">
        <v>0.05</v>
      </c>
      <c r="I432" s="282" t="s">
        <v>1060</v>
      </c>
      <c r="J432" s="200">
        <v>3</v>
      </c>
      <c r="K432" s="243" t="s">
        <v>1042</v>
      </c>
      <c r="L432" s="284" t="s">
        <v>1121</v>
      </c>
      <c r="M432" s="213">
        <v>13.52</v>
      </c>
      <c r="N432" s="202"/>
      <c r="O432" s="243" t="str">
        <f>VLOOKUP(Ruimtestaat[[#This Row],[Ruimte code]],Ruimtegroepen[#All],4,FALSE)</f>
        <v>V  (Verkeersruimte)</v>
      </c>
      <c r="P432" s="214"/>
      <c r="Q432" s="215">
        <v>40</v>
      </c>
      <c r="R432" s="215" t="s">
        <v>2</v>
      </c>
      <c r="S432" s="215">
        <f>IF(R432&gt;0,IF(RIGHT(Ruimtestaat[[#This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2" s="215">
        <f>IF(S432&gt;0,VLOOKUP($J432,Ruimtegroepen[],3,FALSE)*VLOOKUP($K432,Vloersoorten[],3,FALSE)*VLOOKUP($R432,Frequenties[],3,FALSE)*VLOOKUP($A432,Locaties[],3,FALSE),0)</f>
        <v>0</v>
      </c>
      <c r="U432" s="215">
        <f>Ruimtestaat[[#This Row],[Uitvoeringen werkdagen]]*Ruimtestaat[[#This Row],[Oppervlak (netto)]]</f>
        <v>2704</v>
      </c>
      <c r="V432" s="259">
        <f>IF(T432&gt;0,Ruimtestaat[[#This Row],[Prest. (m2 /jaar) werkdagen]]/Ruimtestaat[[#This Row],[Norm (m2/uur) werkdagen]],0)</f>
        <v>0</v>
      </c>
      <c r="W432" s="260">
        <f>Ruimtestaat[[#This Row],[uren / jaar werkdagen]]*Tariefsopbouw!$D$38</f>
        <v>0</v>
      </c>
      <c r="X432" s="33"/>
      <c r="Y432" s="33">
        <f>IF(Ruimtestaat[[#This Row],[Frequentie weekend]]&gt;0,VALUE(LEFT(X432,1))*Q432,0)</f>
        <v>0</v>
      </c>
      <c r="Z432" s="33">
        <f>IF($Y432&gt;0,VLOOKUP($J432,Ruimtegroepen[],3,FALSE)*VLOOKUP($K432,Vloersoorten[],3,FALSE)*VLOOKUP($X432,Frequenties[],3,FALSE)*VLOOKUP(#REF!,Locaties[],3,FALSE),0)</f>
        <v>0</v>
      </c>
      <c r="AA432" s="33"/>
      <c r="AB432" s="33"/>
      <c r="AC432" s="33">
        <f>Ruimtestaat[[#This Row],[uren / jaar weekend]]*Tariefsopbouw!$D$40</f>
        <v>0</v>
      </c>
      <c r="AD432" s="88">
        <f>Ruimtestaat[[#This Row],[Prest. (m2 /jaar) weekend]]+Ruimtestaat[[#This Row],[Prest. (m2 /jaar) werkdagen]]</f>
        <v>2704</v>
      </c>
      <c r="AE432" s="88">
        <f>Ruimtestaat[[#This Row],[uren / jaar weekend]]+Ruimtestaat[[#This Row],[uren / jaar werkdagen]]</f>
        <v>0</v>
      </c>
      <c r="AF432" s="89">
        <f>Ruimtestaat[[#This Row],[kosten / jaar weekend]]+Ruimtestaat[[#This Row],[kosten / jaar werkdagen]]</f>
        <v>0</v>
      </c>
    </row>
    <row r="433" spans="1:32" ht="15" customHeight="1">
      <c r="A433" s="280">
        <v>4</v>
      </c>
      <c r="B433" s="21" t="str">
        <f>VLOOKUP(Ruimtestaat[[#This Row],[Code]],Locaties[#All],2,FALSE)</f>
        <v>PXC Rijssen</v>
      </c>
      <c r="C433" s="281" t="str">
        <f>VLOOKUP(Ruimtestaat[[#This Row],[Code]],Locaties[#All],4,FALSE)</f>
        <v>Graaf Ottostraat 48</v>
      </c>
      <c r="D433" s="281" t="str">
        <f>VLOOKUP(Ruimtestaat[[#This Row],[Code]],Locaties[#All],5,FALSE)</f>
        <v>7461 CP</v>
      </c>
      <c r="E433" s="281" t="str">
        <f>VLOOKUP(Ruimtestaat[[#This Row],[Code]],Locaties[#All],6,FALSE)</f>
        <v>Rijssen</v>
      </c>
      <c r="F433" s="282"/>
      <c r="G433" s="283"/>
      <c r="H433" s="280">
        <v>0.06</v>
      </c>
      <c r="I433" s="282" t="s">
        <v>1061</v>
      </c>
      <c r="J433" s="200">
        <v>5</v>
      </c>
      <c r="K433" s="243" t="s">
        <v>111</v>
      </c>
      <c r="L433" s="284" t="s">
        <v>913</v>
      </c>
      <c r="M433" s="213">
        <v>9.57</v>
      </c>
      <c r="N433" s="202"/>
      <c r="O433" s="243" t="str">
        <f>VLOOKUP(Ruimtestaat[[#This Row],[Ruimte code]],Ruimtegroepen[#All],4,FALSE)</f>
        <v>S  (Sanitair)</v>
      </c>
      <c r="P433" s="214"/>
      <c r="Q433" s="215">
        <v>40</v>
      </c>
      <c r="R433" s="215" t="s">
        <v>2</v>
      </c>
      <c r="S433" s="215">
        <f>IF(R433&gt;0,IF(RIGHT(Ruimtestaat[[#This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3" s="215">
        <f>IF(S433&gt;0,VLOOKUP($J433,Ruimtegroepen[],3,FALSE)*VLOOKUP($K433,Vloersoorten[],3,FALSE)*VLOOKUP($R433,Frequenties[],3,FALSE)*VLOOKUP($A433,Locaties[],3,FALSE),0)</f>
        <v>0</v>
      </c>
      <c r="U433" s="215">
        <f>Ruimtestaat[[#This Row],[Uitvoeringen werkdagen]]*Ruimtestaat[[#This Row],[Oppervlak (netto)]]</f>
        <v>1914</v>
      </c>
      <c r="V433" s="259">
        <f>IF(T433&gt;0,Ruimtestaat[[#This Row],[Prest. (m2 /jaar) werkdagen]]/Ruimtestaat[[#This Row],[Norm (m2/uur) werkdagen]],0)</f>
        <v>0</v>
      </c>
      <c r="W433" s="260">
        <f>Ruimtestaat[[#This Row],[uren / jaar werkdagen]]*Tariefsopbouw!$D$38</f>
        <v>0</v>
      </c>
      <c r="X433" s="33"/>
      <c r="Y433" s="33">
        <f>IF(Ruimtestaat[[#This Row],[Frequentie weekend]]&gt;0,VALUE(LEFT(X433,1))*Q433,0)</f>
        <v>0</v>
      </c>
      <c r="Z433" s="33">
        <f>IF($Y433&gt;0,VLOOKUP($J433,Ruimtegroepen[],3,FALSE)*VLOOKUP($K433,Vloersoorten[],3,FALSE)*VLOOKUP($X433,Frequenties[],3,FALSE)*VLOOKUP(#REF!,Locaties[],3,FALSE),0)</f>
        <v>0</v>
      </c>
      <c r="AA433" s="33"/>
      <c r="AB433" s="33"/>
      <c r="AC433" s="33">
        <f>Ruimtestaat[[#This Row],[uren / jaar weekend]]*Tariefsopbouw!$D$40</f>
        <v>0</v>
      </c>
      <c r="AD433" s="88">
        <f>Ruimtestaat[[#This Row],[Prest. (m2 /jaar) weekend]]+Ruimtestaat[[#This Row],[Prest. (m2 /jaar) werkdagen]]</f>
        <v>1914</v>
      </c>
      <c r="AE433" s="88">
        <f>Ruimtestaat[[#This Row],[uren / jaar weekend]]+Ruimtestaat[[#This Row],[uren / jaar werkdagen]]</f>
        <v>0</v>
      </c>
      <c r="AF433" s="89">
        <f>Ruimtestaat[[#This Row],[kosten / jaar weekend]]+Ruimtestaat[[#This Row],[kosten / jaar werkdagen]]</f>
        <v>0</v>
      </c>
    </row>
    <row r="434" spans="1:32" ht="15" customHeight="1">
      <c r="A434" s="280">
        <v>4</v>
      </c>
      <c r="B434" s="21" t="str">
        <f>VLOOKUP(Ruimtestaat[[#This Row],[Code]],Locaties[#All],2,FALSE)</f>
        <v>PXC Rijssen</v>
      </c>
      <c r="C434" s="281" t="str">
        <f>VLOOKUP(Ruimtestaat[[#This Row],[Code]],Locaties[#All],4,FALSE)</f>
        <v>Graaf Ottostraat 48</v>
      </c>
      <c r="D434" s="281" t="str">
        <f>VLOOKUP(Ruimtestaat[[#This Row],[Code]],Locaties[#All],5,FALSE)</f>
        <v>7461 CP</v>
      </c>
      <c r="E434" s="281" t="str">
        <f>VLOOKUP(Ruimtestaat[[#This Row],[Code]],Locaties[#All],6,FALSE)</f>
        <v>Rijssen</v>
      </c>
      <c r="F434" s="282"/>
      <c r="G434" s="283"/>
      <c r="H434" s="280">
        <v>7.0000000000000007E-2</v>
      </c>
      <c r="I434" s="282" t="s">
        <v>1062</v>
      </c>
      <c r="J434" s="200">
        <v>5</v>
      </c>
      <c r="K434" s="243" t="s">
        <v>111</v>
      </c>
      <c r="L434" s="284" t="s">
        <v>913</v>
      </c>
      <c r="M434" s="213">
        <v>9.61</v>
      </c>
      <c r="N434" s="202"/>
      <c r="O434" s="243" t="str">
        <f>VLOOKUP(Ruimtestaat[[#This Row],[Ruimte code]],Ruimtegroepen[#All],4,FALSE)</f>
        <v>S  (Sanitair)</v>
      </c>
      <c r="P434" s="214"/>
      <c r="Q434" s="215">
        <v>40</v>
      </c>
      <c r="R434" s="215" t="s">
        <v>2</v>
      </c>
      <c r="S434" s="215">
        <f>IF(R434&gt;0,IF(RIGHT(Ruimtestaat[[#This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4" s="215">
        <f>IF(S434&gt;0,VLOOKUP($J434,Ruimtegroepen[],3,FALSE)*VLOOKUP($K434,Vloersoorten[],3,FALSE)*VLOOKUP($R434,Frequenties[],3,FALSE)*VLOOKUP($A434,Locaties[],3,FALSE),0)</f>
        <v>0</v>
      </c>
      <c r="U434" s="215">
        <f>Ruimtestaat[[#This Row],[Uitvoeringen werkdagen]]*Ruimtestaat[[#This Row],[Oppervlak (netto)]]</f>
        <v>1922</v>
      </c>
      <c r="V434" s="259">
        <f>IF(T434&gt;0,Ruimtestaat[[#This Row],[Prest. (m2 /jaar) werkdagen]]/Ruimtestaat[[#This Row],[Norm (m2/uur) werkdagen]],0)</f>
        <v>0</v>
      </c>
      <c r="W434" s="260">
        <f>Ruimtestaat[[#This Row],[uren / jaar werkdagen]]*Tariefsopbouw!$D$38</f>
        <v>0</v>
      </c>
      <c r="X434" s="33"/>
      <c r="Y434" s="33">
        <f>IF(Ruimtestaat[[#This Row],[Frequentie weekend]]&gt;0,VALUE(LEFT(X434,1))*Q434,0)</f>
        <v>0</v>
      </c>
      <c r="Z434" s="33">
        <f>IF($Y434&gt;0,VLOOKUP($J434,Ruimtegroepen[],3,FALSE)*VLOOKUP($K434,Vloersoorten[],3,FALSE)*VLOOKUP($X434,Frequenties[],3,FALSE)*VLOOKUP(#REF!,Locaties[],3,FALSE),0)</f>
        <v>0</v>
      </c>
      <c r="AA434" s="33"/>
      <c r="AB434" s="33"/>
      <c r="AC434" s="33">
        <f>Ruimtestaat[[#This Row],[uren / jaar weekend]]*Tariefsopbouw!$D$40</f>
        <v>0</v>
      </c>
      <c r="AD434" s="88">
        <f>Ruimtestaat[[#This Row],[Prest. (m2 /jaar) weekend]]+Ruimtestaat[[#This Row],[Prest. (m2 /jaar) werkdagen]]</f>
        <v>1922</v>
      </c>
      <c r="AE434" s="88">
        <f>Ruimtestaat[[#This Row],[uren / jaar weekend]]+Ruimtestaat[[#This Row],[uren / jaar werkdagen]]</f>
        <v>0</v>
      </c>
      <c r="AF434" s="89">
        <f>Ruimtestaat[[#This Row],[kosten / jaar weekend]]+Ruimtestaat[[#This Row],[kosten / jaar werkdagen]]</f>
        <v>0</v>
      </c>
    </row>
    <row r="435" spans="1:32" ht="15" customHeight="1">
      <c r="A435" s="280">
        <v>4</v>
      </c>
      <c r="B435" s="21" t="str">
        <f>VLOOKUP(Ruimtestaat[[#This Row],[Code]],Locaties[#All],2,FALSE)</f>
        <v>PXC Rijssen</v>
      </c>
      <c r="C435" s="281" t="str">
        <f>VLOOKUP(Ruimtestaat[[#This Row],[Code]],Locaties[#All],4,FALSE)</f>
        <v>Graaf Ottostraat 48</v>
      </c>
      <c r="D435" s="281" t="str">
        <f>VLOOKUP(Ruimtestaat[[#This Row],[Code]],Locaties[#All],5,FALSE)</f>
        <v>7461 CP</v>
      </c>
      <c r="E435" s="281" t="str">
        <f>VLOOKUP(Ruimtestaat[[#This Row],[Code]],Locaties[#All],6,FALSE)</f>
        <v>Rijssen</v>
      </c>
      <c r="F435" s="282"/>
      <c r="G435" s="283"/>
      <c r="H435" s="280">
        <v>0.08</v>
      </c>
      <c r="I435" s="282" t="s">
        <v>1063</v>
      </c>
      <c r="J435" s="200">
        <v>1</v>
      </c>
      <c r="K435" s="243" t="s">
        <v>1042</v>
      </c>
      <c r="L435" s="284" t="s">
        <v>1121</v>
      </c>
      <c r="M435" s="213">
        <v>5.69</v>
      </c>
      <c r="N435" s="202"/>
      <c r="O435" s="243" t="str">
        <f>VLOOKUP(Ruimtestaat[[#This Row],[Ruimte code]],Ruimtegroepen[#All],4,FALSE)</f>
        <v>V  (Verkeersruimte)</v>
      </c>
      <c r="P435" s="214"/>
      <c r="Q435" s="215">
        <v>40</v>
      </c>
      <c r="R435" s="215" t="s">
        <v>16</v>
      </c>
      <c r="S435" s="215">
        <f>IF(R435&gt;0,IF(RIGHT(Ruimtestaat[[#This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35" s="215">
        <f>IF(S435&gt;0,VLOOKUP($J435,Ruimtegroepen[],3,FALSE)*VLOOKUP($K435,Vloersoorten[],3,FALSE)*VLOOKUP($R435,Frequenties[],3,FALSE)*VLOOKUP($A435,Locaties[],3,FALSE),0)</f>
        <v>0</v>
      </c>
      <c r="U435" s="215">
        <f>Ruimtestaat[[#This Row],[Uitvoeringen werkdagen]]*Ruimtestaat[[#This Row],[Oppervlak (netto)]]</f>
        <v>68.28</v>
      </c>
      <c r="V435" s="259">
        <f>IF(T435&gt;0,Ruimtestaat[[#This Row],[Prest. (m2 /jaar) werkdagen]]/Ruimtestaat[[#This Row],[Norm (m2/uur) werkdagen]],0)</f>
        <v>0</v>
      </c>
      <c r="W435" s="260">
        <f>Ruimtestaat[[#This Row],[uren / jaar werkdagen]]*Tariefsopbouw!$D$38</f>
        <v>0</v>
      </c>
      <c r="X435" s="33"/>
      <c r="Y435" s="33">
        <f>IF(Ruimtestaat[[#This Row],[Frequentie weekend]]&gt;0,VALUE(LEFT(X435,1))*Q435,0)</f>
        <v>0</v>
      </c>
      <c r="Z435" s="33">
        <f>IF($Y435&gt;0,VLOOKUP($J435,Ruimtegroepen[],3,FALSE)*VLOOKUP($K435,Vloersoorten[],3,FALSE)*VLOOKUP($X435,Frequenties[],3,FALSE)*VLOOKUP(#REF!,Locaties[],3,FALSE),0)</f>
        <v>0</v>
      </c>
      <c r="AA435" s="33"/>
      <c r="AB435" s="33"/>
      <c r="AC435" s="33">
        <f>Ruimtestaat[[#This Row],[uren / jaar weekend]]*Tariefsopbouw!$D$40</f>
        <v>0</v>
      </c>
      <c r="AD435" s="88">
        <f>Ruimtestaat[[#This Row],[Prest. (m2 /jaar) weekend]]+Ruimtestaat[[#This Row],[Prest. (m2 /jaar) werkdagen]]</f>
        <v>68.28</v>
      </c>
      <c r="AE435" s="88">
        <f>Ruimtestaat[[#This Row],[uren / jaar weekend]]+Ruimtestaat[[#This Row],[uren / jaar werkdagen]]</f>
        <v>0</v>
      </c>
      <c r="AF435" s="89">
        <f>Ruimtestaat[[#This Row],[kosten / jaar weekend]]+Ruimtestaat[[#This Row],[kosten / jaar werkdagen]]</f>
        <v>0</v>
      </c>
    </row>
    <row r="436" spans="1:32" ht="15" customHeight="1">
      <c r="A436" s="280">
        <v>4</v>
      </c>
      <c r="B436" s="21" t="str">
        <f>VLOOKUP(Ruimtestaat[[#This Row],[Code]],Locaties[#All],2,FALSE)</f>
        <v>PXC Rijssen</v>
      </c>
      <c r="C436" s="281" t="str">
        <f>VLOOKUP(Ruimtestaat[[#This Row],[Code]],Locaties[#All],4,FALSE)</f>
        <v>Graaf Ottostraat 48</v>
      </c>
      <c r="D436" s="281" t="str">
        <f>VLOOKUP(Ruimtestaat[[#This Row],[Code]],Locaties[#All],5,FALSE)</f>
        <v>7461 CP</v>
      </c>
      <c r="E436" s="281" t="str">
        <f>VLOOKUP(Ruimtestaat[[#This Row],[Code]],Locaties[#All],6,FALSE)</f>
        <v>Rijssen</v>
      </c>
      <c r="F436" s="282"/>
      <c r="G436" s="283"/>
      <c r="H436" s="280">
        <v>0.09</v>
      </c>
      <c r="I436" s="282" t="s">
        <v>1064</v>
      </c>
      <c r="J436" s="200">
        <v>6</v>
      </c>
      <c r="K436" s="243" t="s">
        <v>1040</v>
      </c>
      <c r="L436" s="284" t="s">
        <v>1122</v>
      </c>
      <c r="M436" s="213">
        <v>61.5</v>
      </c>
      <c r="N436" s="202"/>
      <c r="O436" s="243" t="str">
        <f>VLOOKUP(Ruimtestaat[[#This Row],[Ruimte code]],Ruimtegroepen[#All],4,FALSE)</f>
        <v>V  (Verkeersruimte)</v>
      </c>
      <c r="P436" s="214"/>
      <c r="Q436" s="215">
        <v>40</v>
      </c>
      <c r="R436" s="215" t="s">
        <v>2</v>
      </c>
      <c r="S436" s="215">
        <f>IF(R436&gt;0,IF(RIGHT(Ruimtestaat[[#This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6" s="215">
        <f>IF(S436&gt;0,VLOOKUP($J436,Ruimtegroepen[],3,FALSE)*VLOOKUP($K436,Vloersoorten[],3,FALSE)*VLOOKUP($R436,Frequenties[],3,FALSE)*VLOOKUP($A436,Locaties[],3,FALSE),0)</f>
        <v>0</v>
      </c>
      <c r="U436" s="215">
        <f>Ruimtestaat[[#This Row],[Uitvoeringen werkdagen]]*Ruimtestaat[[#This Row],[Oppervlak (netto)]]</f>
        <v>12300</v>
      </c>
      <c r="V436" s="259">
        <f>IF(T436&gt;0,Ruimtestaat[[#This Row],[Prest. (m2 /jaar) werkdagen]]/Ruimtestaat[[#This Row],[Norm (m2/uur) werkdagen]],0)</f>
        <v>0</v>
      </c>
      <c r="W436" s="260">
        <f>Ruimtestaat[[#This Row],[uren / jaar werkdagen]]*Tariefsopbouw!$D$38</f>
        <v>0</v>
      </c>
      <c r="X436" s="33"/>
      <c r="Y436" s="33">
        <f>IF(Ruimtestaat[[#This Row],[Frequentie weekend]]&gt;0,VALUE(LEFT(X436,1))*Q436,0)</f>
        <v>0</v>
      </c>
      <c r="Z436" s="33">
        <f>IF($Y436&gt;0,VLOOKUP($J436,Ruimtegroepen[],3,FALSE)*VLOOKUP($K436,Vloersoorten[],3,FALSE)*VLOOKUP($X436,Frequenties[],3,FALSE)*VLOOKUP(#REF!,Locaties[],3,FALSE),0)</f>
        <v>0</v>
      </c>
      <c r="AA436" s="33"/>
      <c r="AB436" s="33"/>
      <c r="AC436" s="33">
        <f>Ruimtestaat[[#This Row],[uren / jaar weekend]]*Tariefsopbouw!$D$40</f>
        <v>0</v>
      </c>
      <c r="AD436" s="88">
        <f>Ruimtestaat[[#This Row],[Prest. (m2 /jaar) weekend]]+Ruimtestaat[[#This Row],[Prest. (m2 /jaar) werkdagen]]</f>
        <v>12300</v>
      </c>
      <c r="AE436" s="88">
        <f>Ruimtestaat[[#This Row],[uren / jaar weekend]]+Ruimtestaat[[#This Row],[uren / jaar werkdagen]]</f>
        <v>0</v>
      </c>
      <c r="AF436" s="89">
        <f>Ruimtestaat[[#This Row],[kosten / jaar weekend]]+Ruimtestaat[[#This Row],[kosten / jaar werkdagen]]</f>
        <v>0</v>
      </c>
    </row>
    <row r="437" spans="1:32" ht="15" customHeight="1">
      <c r="A437" s="280">
        <v>4</v>
      </c>
      <c r="B437" s="21" t="str">
        <f>VLOOKUP(Ruimtestaat[[#This Row],[Code]],Locaties[#All],2,FALSE)</f>
        <v>PXC Rijssen</v>
      </c>
      <c r="C437" s="281" t="str">
        <f>VLOOKUP(Ruimtestaat[[#This Row],[Code]],Locaties[#All],4,FALSE)</f>
        <v>Graaf Ottostraat 48</v>
      </c>
      <c r="D437" s="281" t="str">
        <f>VLOOKUP(Ruimtestaat[[#This Row],[Code]],Locaties[#All],5,FALSE)</f>
        <v>7461 CP</v>
      </c>
      <c r="E437" s="281" t="str">
        <f>VLOOKUP(Ruimtestaat[[#This Row],[Code]],Locaties[#All],6,FALSE)</f>
        <v>Rijssen</v>
      </c>
      <c r="F437" s="282"/>
      <c r="G437" s="283"/>
      <c r="H437" s="280">
        <v>0.1</v>
      </c>
      <c r="I437" s="282" t="s">
        <v>1065</v>
      </c>
      <c r="J437" s="200">
        <v>16</v>
      </c>
      <c r="K437" s="243" t="s">
        <v>1040</v>
      </c>
      <c r="L437" s="284" t="s">
        <v>1122</v>
      </c>
      <c r="M437" s="213">
        <v>53.28</v>
      </c>
      <c r="N437" s="202"/>
      <c r="O437" s="243" t="str">
        <f>VLOOKUP(Ruimtestaat[[#This Row],[Ruimte code]],Ruimtegroepen[#All],4,FALSE)</f>
        <v>L  (Lesruimte)</v>
      </c>
      <c r="P437" s="214"/>
      <c r="Q437" s="215">
        <v>40</v>
      </c>
      <c r="R437" s="215" t="s">
        <v>2</v>
      </c>
      <c r="S437" s="215">
        <f>IF(R437&gt;0,IF(RIGHT(Ruimtestaat[[#This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7" s="215">
        <f>IF(S437&gt;0,VLOOKUP($J437,Ruimtegroepen[],3,FALSE)*VLOOKUP($K437,Vloersoorten[],3,FALSE)*VLOOKUP($R437,Frequenties[],3,FALSE)*VLOOKUP($A437,Locaties[],3,FALSE),0)</f>
        <v>0</v>
      </c>
      <c r="U437" s="215">
        <f>Ruimtestaat[[#This Row],[Uitvoeringen werkdagen]]*Ruimtestaat[[#This Row],[Oppervlak (netto)]]</f>
        <v>10656</v>
      </c>
      <c r="V437" s="259">
        <f>IF(T437&gt;0,Ruimtestaat[[#This Row],[Prest. (m2 /jaar) werkdagen]]/Ruimtestaat[[#This Row],[Norm (m2/uur) werkdagen]],0)</f>
        <v>0</v>
      </c>
      <c r="W437" s="260">
        <f>Ruimtestaat[[#This Row],[uren / jaar werkdagen]]*Tariefsopbouw!$D$38</f>
        <v>0</v>
      </c>
      <c r="X437" s="33"/>
      <c r="Y437" s="33">
        <f>IF(Ruimtestaat[[#This Row],[Frequentie weekend]]&gt;0,VALUE(LEFT(X437,1))*Q437,0)</f>
        <v>0</v>
      </c>
      <c r="Z437" s="33">
        <f>IF($Y437&gt;0,VLOOKUP($J437,Ruimtegroepen[],3,FALSE)*VLOOKUP($K437,Vloersoorten[],3,FALSE)*VLOOKUP($X437,Frequenties[],3,FALSE)*VLOOKUP(#REF!,Locaties[],3,FALSE),0)</f>
        <v>0</v>
      </c>
      <c r="AA437" s="33"/>
      <c r="AB437" s="33"/>
      <c r="AC437" s="33">
        <f>Ruimtestaat[[#This Row],[uren / jaar weekend]]*Tariefsopbouw!$D$40</f>
        <v>0</v>
      </c>
      <c r="AD437" s="88">
        <f>Ruimtestaat[[#This Row],[Prest. (m2 /jaar) weekend]]+Ruimtestaat[[#This Row],[Prest. (m2 /jaar) werkdagen]]</f>
        <v>10656</v>
      </c>
      <c r="AE437" s="88">
        <f>Ruimtestaat[[#This Row],[uren / jaar weekend]]+Ruimtestaat[[#This Row],[uren / jaar werkdagen]]</f>
        <v>0</v>
      </c>
      <c r="AF437" s="89">
        <f>Ruimtestaat[[#This Row],[kosten / jaar weekend]]+Ruimtestaat[[#This Row],[kosten / jaar werkdagen]]</f>
        <v>0</v>
      </c>
    </row>
    <row r="438" spans="1:32" ht="15" customHeight="1">
      <c r="A438" s="280">
        <v>4</v>
      </c>
      <c r="B438" s="21" t="str">
        <f>VLOOKUP(Ruimtestaat[[#This Row],[Code]],Locaties[#All],2,FALSE)</f>
        <v>PXC Rijssen</v>
      </c>
      <c r="C438" s="281" t="str">
        <f>VLOOKUP(Ruimtestaat[[#This Row],[Code]],Locaties[#All],4,FALSE)</f>
        <v>Graaf Ottostraat 48</v>
      </c>
      <c r="D438" s="281" t="str">
        <f>VLOOKUP(Ruimtestaat[[#This Row],[Code]],Locaties[#All],5,FALSE)</f>
        <v>7461 CP</v>
      </c>
      <c r="E438" s="281" t="str">
        <f>VLOOKUP(Ruimtestaat[[#This Row],[Code]],Locaties[#All],6,FALSE)</f>
        <v>Rijssen</v>
      </c>
      <c r="F438" s="282"/>
      <c r="G438" s="283"/>
      <c r="H438" s="280">
        <v>0.11</v>
      </c>
      <c r="I438" s="282" t="s">
        <v>1066</v>
      </c>
      <c r="J438" s="200">
        <v>16</v>
      </c>
      <c r="K438" s="243" t="s">
        <v>1040</v>
      </c>
      <c r="L438" s="284" t="s">
        <v>1122</v>
      </c>
      <c r="M438" s="213">
        <v>54.57</v>
      </c>
      <c r="N438" s="202"/>
      <c r="O438" s="243" t="str">
        <f>VLOOKUP(Ruimtestaat[[#This Row],[Ruimte code]],Ruimtegroepen[#All],4,FALSE)</f>
        <v>L  (Lesruimte)</v>
      </c>
      <c r="P438" s="214"/>
      <c r="Q438" s="215">
        <v>40</v>
      </c>
      <c r="R438" s="215" t="s">
        <v>2</v>
      </c>
      <c r="S438" s="215">
        <f>IF(R438&gt;0,IF(RIGHT(Ruimtestaat[[#This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8" s="215">
        <f>IF(S438&gt;0,VLOOKUP($J438,Ruimtegroepen[],3,FALSE)*VLOOKUP($K438,Vloersoorten[],3,FALSE)*VLOOKUP($R438,Frequenties[],3,FALSE)*VLOOKUP($A438,Locaties[],3,FALSE),0)</f>
        <v>0</v>
      </c>
      <c r="U438" s="215">
        <f>Ruimtestaat[[#This Row],[Uitvoeringen werkdagen]]*Ruimtestaat[[#This Row],[Oppervlak (netto)]]</f>
        <v>10914</v>
      </c>
      <c r="V438" s="259">
        <f>IF(T438&gt;0,Ruimtestaat[[#This Row],[Prest. (m2 /jaar) werkdagen]]/Ruimtestaat[[#This Row],[Norm (m2/uur) werkdagen]],0)</f>
        <v>0</v>
      </c>
      <c r="W438" s="260">
        <f>Ruimtestaat[[#This Row],[uren / jaar werkdagen]]*Tariefsopbouw!$D$38</f>
        <v>0</v>
      </c>
      <c r="X438" s="33"/>
      <c r="Y438" s="33">
        <f>IF(Ruimtestaat[[#This Row],[Frequentie weekend]]&gt;0,VALUE(LEFT(X438,1))*Q438,0)</f>
        <v>0</v>
      </c>
      <c r="Z438" s="33">
        <f>IF($Y438&gt;0,VLOOKUP($J438,Ruimtegroepen[],3,FALSE)*VLOOKUP($K438,Vloersoorten[],3,FALSE)*VLOOKUP($X438,Frequenties[],3,FALSE)*VLOOKUP(#REF!,Locaties[],3,FALSE),0)</f>
        <v>0</v>
      </c>
      <c r="AA438" s="33"/>
      <c r="AB438" s="33"/>
      <c r="AC438" s="33">
        <f>Ruimtestaat[[#This Row],[uren / jaar weekend]]*Tariefsopbouw!$D$40</f>
        <v>0</v>
      </c>
      <c r="AD438" s="88">
        <f>Ruimtestaat[[#This Row],[Prest. (m2 /jaar) weekend]]+Ruimtestaat[[#This Row],[Prest. (m2 /jaar) werkdagen]]</f>
        <v>10914</v>
      </c>
      <c r="AE438" s="88">
        <f>Ruimtestaat[[#This Row],[uren / jaar weekend]]+Ruimtestaat[[#This Row],[uren / jaar werkdagen]]</f>
        <v>0</v>
      </c>
      <c r="AF438" s="89">
        <f>Ruimtestaat[[#This Row],[kosten / jaar weekend]]+Ruimtestaat[[#This Row],[kosten / jaar werkdagen]]</f>
        <v>0</v>
      </c>
    </row>
    <row r="439" spans="1:32" ht="15" customHeight="1">
      <c r="A439" s="280">
        <v>4</v>
      </c>
      <c r="B439" s="21" t="str">
        <f>VLOOKUP(Ruimtestaat[[#This Row],[Code]],Locaties[#All],2,FALSE)</f>
        <v>PXC Rijssen</v>
      </c>
      <c r="C439" s="281" t="str">
        <f>VLOOKUP(Ruimtestaat[[#This Row],[Code]],Locaties[#All],4,FALSE)</f>
        <v>Graaf Ottostraat 48</v>
      </c>
      <c r="D439" s="281" t="str">
        <f>VLOOKUP(Ruimtestaat[[#This Row],[Code]],Locaties[#All],5,FALSE)</f>
        <v>7461 CP</v>
      </c>
      <c r="E439" s="281" t="str">
        <f>VLOOKUP(Ruimtestaat[[#This Row],[Code]],Locaties[#All],6,FALSE)</f>
        <v>Rijssen</v>
      </c>
      <c r="F439" s="282"/>
      <c r="G439" s="283"/>
      <c r="H439" s="280">
        <v>0.12</v>
      </c>
      <c r="I439" s="282" t="s">
        <v>1067</v>
      </c>
      <c r="J439" s="200">
        <v>16</v>
      </c>
      <c r="K439" s="243" t="s">
        <v>1040</v>
      </c>
      <c r="L439" s="284" t="s">
        <v>1122</v>
      </c>
      <c r="M439" s="213">
        <v>53.28</v>
      </c>
      <c r="N439" s="202"/>
      <c r="O439" s="243" t="str">
        <f>VLOOKUP(Ruimtestaat[[#This Row],[Ruimte code]],Ruimtegroepen[#All],4,FALSE)</f>
        <v>L  (Lesruimte)</v>
      </c>
      <c r="P439" s="214"/>
      <c r="Q439" s="215">
        <v>40</v>
      </c>
      <c r="R439" s="215" t="s">
        <v>2</v>
      </c>
      <c r="S439" s="215">
        <f>IF(R439&gt;0,IF(RIGHT(Ruimtestaat[[#This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39" s="215">
        <f>IF(S439&gt;0,VLOOKUP($J439,Ruimtegroepen[],3,FALSE)*VLOOKUP($K439,Vloersoorten[],3,FALSE)*VLOOKUP($R439,Frequenties[],3,FALSE)*VLOOKUP($A439,Locaties[],3,FALSE),0)</f>
        <v>0</v>
      </c>
      <c r="U439" s="215">
        <f>Ruimtestaat[[#This Row],[Uitvoeringen werkdagen]]*Ruimtestaat[[#This Row],[Oppervlak (netto)]]</f>
        <v>10656</v>
      </c>
      <c r="V439" s="259">
        <f>IF(T439&gt;0,Ruimtestaat[[#This Row],[Prest. (m2 /jaar) werkdagen]]/Ruimtestaat[[#This Row],[Norm (m2/uur) werkdagen]],0)</f>
        <v>0</v>
      </c>
      <c r="W439" s="260">
        <f>Ruimtestaat[[#This Row],[uren / jaar werkdagen]]*Tariefsopbouw!$D$38</f>
        <v>0</v>
      </c>
      <c r="X439" s="33"/>
      <c r="Y439" s="33">
        <f>IF(Ruimtestaat[[#This Row],[Frequentie weekend]]&gt;0,VALUE(LEFT(X439,1))*Q439,0)</f>
        <v>0</v>
      </c>
      <c r="Z439" s="33">
        <f>IF($Y439&gt;0,VLOOKUP($J439,Ruimtegroepen[],3,FALSE)*VLOOKUP($K439,Vloersoorten[],3,FALSE)*VLOOKUP($X439,Frequenties[],3,FALSE)*VLOOKUP(#REF!,Locaties[],3,FALSE),0)</f>
        <v>0</v>
      </c>
      <c r="AA439" s="33"/>
      <c r="AB439" s="33"/>
      <c r="AC439" s="33">
        <f>Ruimtestaat[[#This Row],[uren / jaar weekend]]*Tariefsopbouw!$D$40</f>
        <v>0</v>
      </c>
      <c r="AD439" s="88">
        <f>Ruimtestaat[[#This Row],[Prest. (m2 /jaar) weekend]]+Ruimtestaat[[#This Row],[Prest. (m2 /jaar) werkdagen]]</f>
        <v>10656</v>
      </c>
      <c r="AE439" s="88">
        <f>Ruimtestaat[[#This Row],[uren / jaar weekend]]+Ruimtestaat[[#This Row],[uren / jaar werkdagen]]</f>
        <v>0</v>
      </c>
      <c r="AF439" s="89">
        <f>Ruimtestaat[[#This Row],[kosten / jaar weekend]]+Ruimtestaat[[#This Row],[kosten / jaar werkdagen]]</f>
        <v>0</v>
      </c>
    </row>
    <row r="440" spans="1:32" ht="15" customHeight="1">
      <c r="A440" s="280">
        <v>4</v>
      </c>
      <c r="B440" s="21" t="str">
        <f>VLOOKUP(Ruimtestaat[[#This Row],[Code]],Locaties[#All],2,FALSE)</f>
        <v>PXC Rijssen</v>
      </c>
      <c r="C440" s="281" t="str">
        <f>VLOOKUP(Ruimtestaat[[#This Row],[Code]],Locaties[#All],4,FALSE)</f>
        <v>Graaf Ottostraat 48</v>
      </c>
      <c r="D440" s="281" t="str">
        <f>VLOOKUP(Ruimtestaat[[#This Row],[Code]],Locaties[#All],5,FALSE)</f>
        <v>7461 CP</v>
      </c>
      <c r="E440" s="281" t="str">
        <f>VLOOKUP(Ruimtestaat[[#This Row],[Code]],Locaties[#All],6,FALSE)</f>
        <v>Rijssen</v>
      </c>
      <c r="F440" s="282"/>
      <c r="G440" s="283"/>
      <c r="H440" s="280">
        <v>0.13</v>
      </c>
      <c r="I440" s="282" t="s">
        <v>1068</v>
      </c>
      <c r="J440" s="200">
        <v>2</v>
      </c>
      <c r="K440" s="243" t="s">
        <v>1040</v>
      </c>
      <c r="L440" s="284" t="s">
        <v>1122</v>
      </c>
      <c r="M440" s="213">
        <v>19.420000000000002</v>
      </c>
      <c r="N440" s="202"/>
      <c r="O440" s="243" t="str">
        <f>VLOOKUP(Ruimtestaat[[#This Row],[Ruimte code]],Ruimtegroepen[#All],4,FALSE)</f>
        <v>B  (Bureauruimte)</v>
      </c>
      <c r="P440" s="214"/>
      <c r="Q440" s="215">
        <v>40</v>
      </c>
      <c r="R440" s="215" t="s">
        <v>17</v>
      </c>
      <c r="S440" s="215">
        <f>IF(R440&gt;0,IF(RIGHT(Ruimtestaat[[#This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440" s="215">
        <f>IF(S440&gt;0,VLOOKUP($J440,Ruimtegroepen[],3,FALSE)*VLOOKUP($K440,Vloersoorten[],3,FALSE)*VLOOKUP($R440,Frequenties[],3,FALSE)*VLOOKUP($A440,Locaties[],3,FALSE),0)</f>
        <v>0</v>
      </c>
      <c r="U440" s="215">
        <f>Ruimtestaat[[#This Row],[Uitvoeringen werkdagen]]*Ruimtestaat[[#This Row],[Oppervlak (netto)]]</f>
        <v>1553.6000000000001</v>
      </c>
      <c r="V440" s="259">
        <f>IF(T440&gt;0,Ruimtestaat[[#This Row],[Prest. (m2 /jaar) werkdagen]]/Ruimtestaat[[#This Row],[Norm (m2/uur) werkdagen]],0)</f>
        <v>0</v>
      </c>
      <c r="W440" s="260">
        <f>Ruimtestaat[[#This Row],[uren / jaar werkdagen]]*Tariefsopbouw!$D$38</f>
        <v>0</v>
      </c>
      <c r="X440" s="33"/>
      <c r="Y440" s="33">
        <f>IF(Ruimtestaat[[#This Row],[Frequentie weekend]]&gt;0,VALUE(LEFT(X440,1))*Q440,0)</f>
        <v>0</v>
      </c>
      <c r="Z440" s="33">
        <f>IF($Y440&gt;0,VLOOKUP($J440,Ruimtegroepen[],3,FALSE)*VLOOKUP($K440,Vloersoorten[],3,FALSE)*VLOOKUP($X440,Frequenties[],3,FALSE)*VLOOKUP(#REF!,Locaties[],3,FALSE),0)</f>
        <v>0</v>
      </c>
      <c r="AA440" s="33"/>
      <c r="AB440" s="33"/>
      <c r="AC440" s="33">
        <f>Ruimtestaat[[#This Row],[uren / jaar weekend]]*Tariefsopbouw!$D$40</f>
        <v>0</v>
      </c>
      <c r="AD440" s="88">
        <f>Ruimtestaat[[#This Row],[Prest. (m2 /jaar) weekend]]+Ruimtestaat[[#This Row],[Prest. (m2 /jaar) werkdagen]]</f>
        <v>1553.6000000000001</v>
      </c>
      <c r="AE440" s="88">
        <f>Ruimtestaat[[#This Row],[uren / jaar weekend]]+Ruimtestaat[[#This Row],[uren / jaar werkdagen]]</f>
        <v>0</v>
      </c>
      <c r="AF440" s="89">
        <f>Ruimtestaat[[#This Row],[kosten / jaar weekend]]+Ruimtestaat[[#This Row],[kosten / jaar werkdagen]]</f>
        <v>0</v>
      </c>
    </row>
    <row r="441" spans="1:32" ht="15" customHeight="1">
      <c r="A441" s="280">
        <v>4</v>
      </c>
      <c r="B441" s="21" t="str">
        <f>VLOOKUP(Ruimtestaat[[#This Row],[Code]],Locaties[#All],2,FALSE)</f>
        <v>PXC Rijssen</v>
      </c>
      <c r="C441" s="281" t="str">
        <f>VLOOKUP(Ruimtestaat[[#This Row],[Code]],Locaties[#All],4,FALSE)</f>
        <v>Graaf Ottostraat 48</v>
      </c>
      <c r="D441" s="281" t="str">
        <f>VLOOKUP(Ruimtestaat[[#This Row],[Code]],Locaties[#All],5,FALSE)</f>
        <v>7461 CP</v>
      </c>
      <c r="E441" s="281" t="str">
        <f>VLOOKUP(Ruimtestaat[[#This Row],[Code]],Locaties[#All],6,FALSE)</f>
        <v>Rijssen</v>
      </c>
      <c r="F441" s="282"/>
      <c r="G441" s="283"/>
      <c r="H441" s="280">
        <v>0.14000000000000001</v>
      </c>
      <c r="I441" s="282" t="s">
        <v>1069</v>
      </c>
      <c r="J441" s="200">
        <v>10</v>
      </c>
      <c r="K441" s="243" t="s">
        <v>1040</v>
      </c>
      <c r="L441" s="284" t="s">
        <v>1123</v>
      </c>
      <c r="M441" s="213">
        <v>26.07</v>
      </c>
      <c r="N441" s="202"/>
      <c r="O441" s="243" t="str">
        <f>VLOOKUP(Ruimtestaat[[#This Row],[Ruimte code]],Ruimtegroepen[#All],4,FALSE)</f>
        <v>V  (Verkeersruimte)</v>
      </c>
      <c r="P441" s="214"/>
      <c r="Q441" s="215">
        <v>40</v>
      </c>
      <c r="R441" s="215" t="s">
        <v>2</v>
      </c>
      <c r="S441" s="215">
        <f>IF(R441&gt;0,IF(RIGHT(Ruimtestaat[[#This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1" s="215">
        <f>IF(S441&gt;0,VLOOKUP($J441,Ruimtegroepen[],3,FALSE)*VLOOKUP($K441,Vloersoorten[],3,FALSE)*VLOOKUP($R441,Frequenties[],3,FALSE)*VLOOKUP($A441,Locaties[],3,FALSE),0)</f>
        <v>0</v>
      </c>
      <c r="U441" s="215">
        <f>Ruimtestaat[[#This Row],[Uitvoeringen werkdagen]]*Ruimtestaat[[#This Row],[Oppervlak (netto)]]</f>
        <v>5214</v>
      </c>
      <c r="V441" s="259">
        <f>IF(T441&gt;0,Ruimtestaat[[#This Row],[Prest. (m2 /jaar) werkdagen]]/Ruimtestaat[[#This Row],[Norm (m2/uur) werkdagen]],0)</f>
        <v>0</v>
      </c>
      <c r="W441" s="260">
        <f>Ruimtestaat[[#This Row],[uren / jaar werkdagen]]*Tariefsopbouw!$D$38</f>
        <v>0</v>
      </c>
      <c r="X441" s="33"/>
      <c r="Y441" s="33">
        <f>IF(Ruimtestaat[[#This Row],[Frequentie weekend]]&gt;0,VALUE(LEFT(X441,1))*Q441,0)</f>
        <v>0</v>
      </c>
      <c r="Z441" s="33">
        <f>IF($Y441&gt;0,VLOOKUP($J441,Ruimtegroepen[],3,FALSE)*VLOOKUP($K441,Vloersoorten[],3,FALSE)*VLOOKUP($X441,Frequenties[],3,FALSE)*VLOOKUP(#REF!,Locaties[],3,FALSE),0)</f>
        <v>0</v>
      </c>
      <c r="AA441" s="33"/>
      <c r="AB441" s="33"/>
      <c r="AC441" s="33">
        <f>Ruimtestaat[[#This Row],[uren / jaar weekend]]*Tariefsopbouw!$D$40</f>
        <v>0</v>
      </c>
      <c r="AD441" s="88">
        <f>Ruimtestaat[[#This Row],[Prest. (m2 /jaar) weekend]]+Ruimtestaat[[#This Row],[Prest. (m2 /jaar) werkdagen]]</f>
        <v>5214</v>
      </c>
      <c r="AE441" s="88">
        <f>Ruimtestaat[[#This Row],[uren / jaar weekend]]+Ruimtestaat[[#This Row],[uren / jaar werkdagen]]</f>
        <v>0</v>
      </c>
      <c r="AF441" s="89">
        <f>Ruimtestaat[[#This Row],[kosten / jaar weekend]]+Ruimtestaat[[#This Row],[kosten / jaar werkdagen]]</f>
        <v>0</v>
      </c>
    </row>
    <row r="442" spans="1:32" ht="15" customHeight="1">
      <c r="A442" s="280">
        <v>4</v>
      </c>
      <c r="B442" s="21" t="str">
        <f>VLOOKUP(Ruimtestaat[[#This Row],[Code]],Locaties[#All],2,FALSE)</f>
        <v>PXC Rijssen</v>
      </c>
      <c r="C442" s="281" t="str">
        <f>VLOOKUP(Ruimtestaat[[#This Row],[Code]],Locaties[#All],4,FALSE)</f>
        <v>Graaf Ottostraat 48</v>
      </c>
      <c r="D442" s="281" t="str">
        <f>VLOOKUP(Ruimtestaat[[#This Row],[Code]],Locaties[#All],5,FALSE)</f>
        <v>7461 CP</v>
      </c>
      <c r="E442" s="281" t="str">
        <f>VLOOKUP(Ruimtestaat[[#This Row],[Code]],Locaties[#All],6,FALSE)</f>
        <v>Rijssen</v>
      </c>
      <c r="F442" s="282"/>
      <c r="G442" s="283"/>
      <c r="H442" s="280">
        <v>0.15</v>
      </c>
      <c r="I442" s="282" t="s">
        <v>1063</v>
      </c>
      <c r="J442" s="200">
        <v>1</v>
      </c>
      <c r="K442" s="243" t="s">
        <v>1042</v>
      </c>
      <c r="L442" s="284" t="s">
        <v>1121</v>
      </c>
      <c r="M442" s="213">
        <v>1.97</v>
      </c>
      <c r="N442" s="202"/>
      <c r="O442" s="243" t="str">
        <f>VLOOKUP(Ruimtestaat[[#This Row],[Ruimte code]],Ruimtegroepen[#All],4,FALSE)</f>
        <v>V  (Verkeersruimte)</v>
      </c>
      <c r="P442" s="214"/>
      <c r="Q442" s="215">
        <v>40</v>
      </c>
      <c r="R442" s="215" t="s">
        <v>16</v>
      </c>
      <c r="S442" s="215">
        <f>IF(R442&gt;0,IF(RIGHT(Ruimtestaat[[#This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42" s="215">
        <f>IF(S442&gt;0,VLOOKUP($J442,Ruimtegroepen[],3,FALSE)*VLOOKUP($K442,Vloersoorten[],3,FALSE)*VLOOKUP($R442,Frequenties[],3,FALSE)*VLOOKUP($A442,Locaties[],3,FALSE),0)</f>
        <v>0</v>
      </c>
      <c r="U442" s="215">
        <f>Ruimtestaat[[#This Row],[Uitvoeringen werkdagen]]*Ruimtestaat[[#This Row],[Oppervlak (netto)]]</f>
        <v>23.64</v>
      </c>
      <c r="V442" s="259">
        <f>IF(T442&gt;0,Ruimtestaat[[#This Row],[Prest. (m2 /jaar) werkdagen]]/Ruimtestaat[[#This Row],[Norm (m2/uur) werkdagen]],0)</f>
        <v>0</v>
      </c>
      <c r="W442" s="260">
        <f>Ruimtestaat[[#This Row],[uren / jaar werkdagen]]*Tariefsopbouw!$D$38</f>
        <v>0</v>
      </c>
      <c r="X442" s="33"/>
      <c r="Y442" s="33">
        <f>IF(Ruimtestaat[[#This Row],[Frequentie weekend]]&gt;0,VALUE(LEFT(X442,1))*Q442,0)</f>
        <v>0</v>
      </c>
      <c r="Z442" s="33">
        <f>IF($Y442&gt;0,VLOOKUP($J442,Ruimtegroepen[],3,FALSE)*VLOOKUP($K442,Vloersoorten[],3,FALSE)*VLOOKUP($X442,Frequenties[],3,FALSE)*VLOOKUP(#REF!,Locaties[],3,FALSE),0)</f>
        <v>0</v>
      </c>
      <c r="AA442" s="33"/>
      <c r="AB442" s="33"/>
      <c r="AC442" s="33">
        <f>Ruimtestaat[[#This Row],[uren / jaar weekend]]*Tariefsopbouw!$D$40</f>
        <v>0</v>
      </c>
      <c r="AD442" s="88">
        <f>Ruimtestaat[[#This Row],[Prest. (m2 /jaar) weekend]]+Ruimtestaat[[#This Row],[Prest. (m2 /jaar) werkdagen]]</f>
        <v>23.64</v>
      </c>
      <c r="AE442" s="88">
        <f>Ruimtestaat[[#This Row],[uren / jaar weekend]]+Ruimtestaat[[#This Row],[uren / jaar werkdagen]]</f>
        <v>0</v>
      </c>
      <c r="AF442" s="89">
        <f>Ruimtestaat[[#This Row],[kosten / jaar weekend]]+Ruimtestaat[[#This Row],[kosten / jaar werkdagen]]</f>
        <v>0</v>
      </c>
    </row>
    <row r="443" spans="1:32" ht="15" customHeight="1">
      <c r="A443" s="280">
        <v>4</v>
      </c>
      <c r="B443" s="21" t="str">
        <f>VLOOKUP(Ruimtestaat[[#This Row],[Code]],Locaties[#All],2,FALSE)</f>
        <v>PXC Rijssen</v>
      </c>
      <c r="C443" s="281" t="str">
        <f>VLOOKUP(Ruimtestaat[[#This Row],[Code]],Locaties[#All],4,FALSE)</f>
        <v>Graaf Ottostraat 48</v>
      </c>
      <c r="D443" s="281" t="str">
        <f>VLOOKUP(Ruimtestaat[[#This Row],[Code]],Locaties[#All],5,FALSE)</f>
        <v>7461 CP</v>
      </c>
      <c r="E443" s="281" t="str">
        <f>VLOOKUP(Ruimtestaat[[#This Row],[Code]],Locaties[#All],6,FALSE)</f>
        <v>Rijssen</v>
      </c>
      <c r="F443" s="282"/>
      <c r="G443" s="283"/>
      <c r="H443" s="280">
        <v>0.16</v>
      </c>
      <c r="I443" s="282" t="s">
        <v>1064</v>
      </c>
      <c r="J443" s="200">
        <v>6</v>
      </c>
      <c r="K443" s="243" t="s">
        <v>1042</v>
      </c>
      <c r="L443" s="284" t="s">
        <v>1121</v>
      </c>
      <c r="M443" s="213">
        <v>6.29</v>
      </c>
      <c r="N443" s="202"/>
      <c r="O443" s="243" t="str">
        <f>VLOOKUP(Ruimtestaat[[#This Row],[Ruimte code]],Ruimtegroepen[#All],4,FALSE)</f>
        <v>V  (Verkeersruimte)</v>
      </c>
      <c r="P443" s="214"/>
      <c r="Q443" s="215">
        <v>40</v>
      </c>
      <c r="R443" s="215" t="s">
        <v>2</v>
      </c>
      <c r="S443" s="215">
        <f>IF(R443&gt;0,IF(RIGHT(Ruimtestaat[[#This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3" s="215">
        <f>IF(S443&gt;0,VLOOKUP($J443,Ruimtegroepen[],3,FALSE)*VLOOKUP($K443,Vloersoorten[],3,FALSE)*VLOOKUP($R443,Frequenties[],3,FALSE)*VLOOKUP($A443,Locaties[],3,FALSE),0)</f>
        <v>0</v>
      </c>
      <c r="U443" s="215">
        <f>Ruimtestaat[[#This Row],[Uitvoeringen werkdagen]]*Ruimtestaat[[#This Row],[Oppervlak (netto)]]</f>
        <v>1258</v>
      </c>
      <c r="V443" s="259">
        <f>IF(T443&gt;0,Ruimtestaat[[#This Row],[Prest. (m2 /jaar) werkdagen]]/Ruimtestaat[[#This Row],[Norm (m2/uur) werkdagen]],0)</f>
        <v>0</v>
      </c>
      <c r="W443" s="260">
        <f>Ruimtestaat[[#This Row],[uren / jaar werkdagen]]*Tariefsopbouw!$D$38</f>
        <v>0</v>
      </c>
      <c r="X443" s="33"/>
      <c r="Y443" s="33">
        <f>IF(Ruimtestaat[[#This Row],[Frequentie weekend]]&gt;0,VALUE(LEFT(X443,1))*Q443,0)</f>
        <v>0</v>
      </c>
      <c r="Z443" s="33">
        <f>IF($Y443&gt;0,VLOOKUP($J443,Ruimtegroepen[],3,FALSE)*VLOOKUP($K443,Vloersoorten[],3,FALSE)*VLOOKUP($X443,Frequenties[],3,FALSE)*VLOOKUP(#REF!,Locaties[],3,FALSE),0)</f>
        <v>0</v>
      </c>
      <c r="AA443" s="33"/>
      <c r="AB443" s="33"/>
      <c r="AC443" s="33">
        <f>Ruimtestaat[[#This Row],[uren / jaar weekend]]*Tariefsopbouw!$D$40</f>
        <v>0</v>
      </c>
      <c r="AD443" s="88">
        <f>Ruimtestaat[[#This Row],[Prest. (m2 /jaar) weekend]]+Ruimtestaat[[#This Row],[Prest. (m2 /jaar) werkdagen]]</f>
        <v>1258</v>
      </c>
      <c r="AE443" s="88">
        <f>Ruimtestaat[[#This Row],[uren / jaar weekend]]+Ruimtestaat[[#This Row],[uren / jaar werkdagen]]</f>
        <v>0</v>
      </c>
      <c r="AF443" s="89">
        <f>Ruimtestaat[[#This Row],[kosten / jaar weekend]]+Ruimtestaat[[#This Row],[kosten / jaar werkdagen]]</f>
        <v>0</v>
      </c>
    </row>
    <row r="444" spans="1:32" ht="15" customHeight="1">
      <c r="A444" s="280">
        <v>4</v>
      </c>
      <c r="B444" s="21" t="str">
        <f>VLOOKUP(Ruimtestaat[[#This Row],[Code]],Locaties[#All],2,FALSE)</f>
        <v>PXC Rijssen</v>
      </c>
      <c r="C444" s="281" t="str">
        <f>VLOOKUP(Ruimtestaat[[#This Row],[Code]],Locaties[#All],4,FALSE)</f>
        <v>Graaf Ottostraat 48</v>
      </c>
      <c r="D444" s="281" t="str">
        <f>VLOOKUP(Ruimtestaat[[#This Row],[Code]],Locaties[#All],5,FALSE)</f>
        <v>7461 CP</v>
      </c>
      <c r="E444" s="281" t="str">
        <f>VLOOKUP(Ruimtestaat[[#This Row],[Code]],Locaties[#All],6,FALSE)</f>
        <v>Rijssen</v>
      </c>
      <c r="F444" s="282"/>
      <c r="G444" s="283"/>
      <c r="H444" s="280">
        <v>0.17</v>
      </c>
      <c r="I444" s="282" t="s">
        <v>1070</v>
      </c>
      <c r="J444" s="243">
        <v>9</v>
      </c>
      <c r="K444" s="243" t="s">
        <v>1042</v>
      </c>
      <c r="L444" s="284" t="s">
        <v>1121</v>
      </c>
      <c r="M444" s="213">
        <v>19</v>
      </c>
      <c r="N444" s="202"/>
      <c r="O444" s="243" t="str">
        <f>VLOOKUP(Ruimtestaat[[#This Row],[Ruimte code]],Ruimtegroepen[#All],4,FALSE)</f>
        <v>V  (Verkeersruimte)</v>
      </c>
      <c r="P444" s="214"/>
      <c r="Q444" s="215">
        <v>40</v>
      </c>
      <c r="R444" s="215" t="s">
        <v>2</v>
      </c>
      <c r="S444" s="215">
        <f>IF(R444&gt;0,IF(RIGHT(Ruimtestaat[[#This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4" s="215">
        <f>IF(S444&gt;0,VLOOKUP($J444,Ruimtegroepen[],3,FALSE)*VLOOKUP($K444,Vloersoorten[],3,FALSE)*VLOOKUP($R444,Frequenties[],3,FALSE)*VLOOKUP($A444,Locaties[],3,FALSE),0)</f>
        <v>0</v>
      </c>
      <c r="U444" s="215">
        <f>Ruimtestaat[[#This Row],[Uitvoeringen werkdagen]]*Ruimtestaat[[#This Row],[Oppervlak (netto)]]</f>
        <v>3800</v>
      </c>
      <c r="V444" s="259">
        <f>IF(T444&gt;0,Ruimtestaat[[#This Row],[Prest. (m2 /jaar) werkdagen]]/Ruimtestaat[[#This Row],[Norm (m2/uur) werkdagen]],0)</f>
        <v>0</v>
      </c>
      <c r="W444" s="260">
        <f>Ruimtestaat[[#This Row],[uren / jaar werkdagen]]*Tariefsopbouw!$D$38</f>
        <v>0</v>
      </c>
      <c r="X444" s="33"/>
      <c r="Y444" s="33">
        <f>IF(Ruimtestaat[[#This Row],[Frequentie weekend]]&gt;0,VALUE(LEFT(X444,1))*Q444,0)</f>
        <v>0</v>
      </c>
      <c r="Z444" s="33">
        <f>IF($Y444&gt;0,VLOOKUP($J444,Ruimtegroepen[],3,FALSE)*VLOOKUP($K444,Vloersoorten[],3,FALSE)*VLOOKUP($X444,Frequenties[],3,FALSE)*VLOOKUP(#REF!,Locaties[],3,FALSE),0)</f>
        <v>0</v>
      </c>
      <c r="AA444" s="33"/>
      <c r="AB444" s="33"/>
      <c r="AC444" s="33">
        <f>Ruimtestaat[[#This Row],[uren / jaar weekend]]*Tariefsopbouw!$D$40</f>
        <v>0</v>
      </c>
      <c r="AD444" s="88">
        <f>Ruimtestaat[[#This Row],[Prest. (m2 /jaar) weekend]]+Ruimtestaat[[#This Row],[Prest. (m2 /jaar) werkdagen]]</f>
        <v>3800</v>
      </c>
      <c r="AE444" s="88">
        <f>Ruimtestaat[[#This Row],[uren / jaar weekend]]+Ruimtestaat[[#This Row],[uren / jaar werkdagen]]</f>
        <v>0</v>
      </c>
      <c r="AF444" s="89">
        <f>Ruimtestaat[[#This Row],[kosten / jaar weekend]]+Ruimtestaat[[#This Row],[kosten / jaar werkdagen]]</f>
        <v>0</v>
      </c>
    </row>
    <row r="445" spans="1:32" ht="15" customHeight="1">
      <c r="A445" s="280">
        <v>4</v>
      </c>
      <c r="B445" s="21" t="str">
        <f>VLOOKUP(Ruimtestaat[[#This Row],[Code]],Locaties[#All],2,FALSE)</f>
        <v>PXC Rijssen</v>
      </c>
      <c r="C445" s="281" t="str">
        <f>VLOOKUP(Ruimtestaat[[#This Row],[Code]],Locaties[#All],4,FALSE)</f>
        <v>Graaf Ottostraat 48</v>
      </c>
      <c r="D445" s="281" t="str">
        <f>VLOOKUP(Ruimtestaat[[#This Row],[Code]],Locaties[#All],5,FALSE)</f>
        <v>7461 CP</v>
      </c>
      <c r="E445" s="281" t="str">
        <f>VLOOKUP(Ruimtestaat[[#This Row],[Code]],Locaties[#All],6,FALSE)</f>
        <v>Rijssen</v>
      </c>
      <c r="F445" s="282"/>
      <c r="G445" s="283"/>
      <c r="H445" s="280">
        <v>0.18</v>
      </c>
      <c r="I445" s="282" t="s">
        <v>1070</v>
      </c>
      <c r="J445" s="200">
        <v>9</v>
      </c>
      <c r="K445" s="243" t="s">
        <v>1042</v>
      </c>
      <c r="L445" s="284" t="s">
        <v>1121</v>
      </c>
      <c r="M445" s="213">
        <v>19</v>
      </c>
      <c r="N445" s="202"/>
      <c r="O445" s="243" t="str">
        <f>VLOOKUP(Ruimtestaat[[#This Row],[Ruimte code]],Ruimtegroepen[#All],4,FALSE)</f>
        <v>V  (Verkeersruimte)</v>
      </c>
      <c r="P445" s="214"/>
      <c r="Q445" s="215">
        <v>40</v>
      </c>
      <c r="R445" s="215" t="s">
        <v>2</v>
      </c>
      <c r="S445" s="215">
        <f>IF(R445&gt;0,IF(RIGHT(Ruimtestaat[[#This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5" s="215">
        <f>IF(S445&gt;0,VLOOKUP($J445,Ruimtegroepen[],3,FALSE)*VLOOKUP($K445,Vloersoorten[],3,FALSE)*VLOOKUP($R445,Frequenties[],3,FALSE)*VLOOKUP($A445,Locaties[],3,FALSE),0)</f>
        <v>0</v>
      </c>
      <c r="U445" s="215">
        <f>Ruimtestaat[[#This Row],[Uitvoeringen werkdagen]]*Ruimtestaat[[#This Row],[Oppervlak (netto)]]</f>
        <v>3800</v>
      </c>
      <c r="V445" s="259">
        <f>IF(T445&gt;0,Ruimtestaat[[#This Row],[Prest. (m2 /jaar) werkdagen]]/Ruimtestaat[[#This Row],[Norm (m2/uur) werkdagen]],0)</f>
        <v>0</v>
      </c>
      <c r="W445" s="260">
        <f>Ruimtestaat[[#This Row],[uren / jaar werkdagen]]*Tariefsopbouw!$D$38</f>
        <v>0</v>
      </c>
      <c r="X445" s="33"/>
      <c r="Y445" s="33">
        <f>IF(Ruimtestaat[[#This Row],[Frequentie weekend]]&gt;0,VALUE(LEFT(X445,1))*Q445,0)</f>
        <v>0</v>
      </c>
      <c r="Z445" s="33">
        <f>IF($Y445&gt;0,VLOOKUP($J445,Ruimtegroepen[],3,FALSE)*VLOOKUP($K445,Vloersoorten[],3,FALSE)*VLOOKUP($X445,Frequenties[],3,FALSE)*VLOOKUP(#REF!,Locaties[],3,FALSE),0)</f>
        <v>0</v>
      </c>
      <c r="AA445" s="33"/>
      <c r="AB445" s="33"/>
      <c r="AC445" s="33">
        <f>Ruimtestaat[[#This Row],[uren / jaar weekend]]*Tariefsopbouw!$D$40</f>
        <v>0</v>
      </c>
      <c r="AD445" s="88">
        <f>Ruimtestaat[[#This Row],[Prest. (m2 /jaar) weekend]]+Ruimtestaat[[#This Row],[Prest. (m2 /jaar) werkdagen]]</f>
        <v>3800</v>
      </c>
      <c r="AE445" s="88">
        <f>Ruimtestaat[[#This Row],[uren / jaar weekend]]+Ruimtestaat[[#This Row],[uren / jaar werkdagen]]</f>
        <v>0</v>
      </c>
      <c r="AF445" s="89">
        <f>Ruimtestaat[[#This Row],[kosten / jaar weekend]]+Ruimtestaat[[#This Row],[kosten / jaar werkdagen]]</f>
        <v>0</v>
      </c>
    </row>
    <row r="446" spans="1:32" ht="15" customHeight="1">
      <c r="A446" s="280">
        <v>4</v>
      </c>
      <c r="B446" s="21" t="str">
        <f>VLOOKUP(Ruimtestaat[[#This Row],[Code]],Locaties[#All],2,FALSE)</f>
        <v>PXC Rijssen</v>
      </c>
      <c r="C446" s="281" t="str">
        <f>VLOOKUP(Ruimtestaat[[#This Row],[Code]],Locaties[#All],4,FALSE)</f>
        <v>Graaf Ottostraat 48</v>
      </c>
      <c r="D446" s="281" t="str">
        <f>VLOOKUP(Ruimtestaat[[#This Row],[Code]],Locaties[#All],5,FALSE)</f>
        <v>7461 CP</v>
      </c>
      <c r="E446" s="281" t="str">
        <f>VLOOKUP(Ruimtestaat[[#This Row],[Code]],Locaties[#All],6,FALSE)</f>
        <v>Rijssen</v>
      </c>
      <c r="F446" s="282"/>
      <c r="G446" s="283"/>
      <c r="H446" s="280">
        <v>0.19</v>
      </c>
      <c r="I446" s="282" t="s">
        <v>1064</v>
      </c>
      <c r="J446" s="200">
        <v>6</v>
      </c>
      <c r="K446" s="243" t="s">
        <v>1042</v>
      </c>
      <c r="L446" s="284" t="s">
        <v>1121</v>
      </c>
      <c r="M446" s="213">
        <v>6.29</v>
      </c>
      <c r="N446" s="202"/>
      <c r="O446" s="243" t="str">
        <f>VLOOKUP(Ruimtestaat[[#This Row],[Ruimte code]],Ruimtegroepen[#All],4,FALSE)</f>
        <v>V  (Verkeersruimte)</v>
      </c>
      <c r="P446" s="214"/>
      <c r="Q446" s="215">
        <v>40</v>
      </c>
      <c r="R446" s="215" t="s">
        <v>2</v>
      </c>
      <c r="S446" s="215">
        <f>IF(R446&gt;0,IF(RIGHT(Ruimtestaat[[#This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6" s="215">
        <f>IF(S446&gt;0,VLOOKUP($J446,Ruimtegroepen[],3,FALSE)*VLOOKUP($K446,Vloersoorten[],3,FALSE)*VLOOKUP($R446,Frequenties[],3,FALSE)*VLOOKUP($A446,Locaties[],3,FALSE),0)</f>
        <v>0</v>
      </c>
      <c r="U446" s="215">
        <f>Ruimtestaat[[#This Row],[Uitvoeringen werkdagen]]*Ruimtestaat[[#This Row],[Oppervlak (netto)]]</f>
        <v>1258</v>
      </c>
      <c r="V446" s="259">
        <f>IF(T446&gt;0,Ruimtestaat[[#This Row],[Prest. (m2 /jaar) werkdagen]]/Ruimtestaat[[#This Row],[Norm (m2/uur) werkdagen]],0)</f>
        <v>0</v>
      </c>
      <c r="W446" s="260">
        <f>Ruimtestaat[[#This Row],[uren / jaar werkdagen]]*Tariefsopbouw!$D$38</f>
        <v>0</v>
      </c>
      <c r="X446" s="33"/>
      <c r="Y446" s="33">
        <f>IF(Ruimtestaat[[#This Row],[Frequentie weekend]]&gt;0,VALUE(LEFT(X446,1))*Q446,0)</f>
        <v>0</v>
      </c>
      <c r="Z446" s="33">
        <f>IF($Y446&gt;0,VLOOKUP($J446,Ruimtegroepen[],3,FALSE)*VLOOKUP($K446,Vloersoorten[],3,FALSE)*VLOOKUP($X446,Frequenties[],3,FALSE)*VLOOKUP(#REF!,Locaties[],3,FALSE),0)</f>
        <v>0</v>
      </c>
      <c r="AA446" s="33"/>
      <c r="AB446" s="33"/>
      <c r="AC446" s="33">
        <f>Ruimtestaat[[#This Row],[uren / jaar weekend]]*Tariefsopbouw!$D$40</f>
        <v>0</v>
      </c>
      <c r="AD446" s="88">
        <f>Ruimtestaat[[#This Row],[Prest. (m2 /jaar) weekend]]+Ruimtestaat[[#This Row],[Prest. (m2 /jaar) werkdagen]]</f>
        <v>1258</v>
      </c>
      <c r="AE446" s="88">
        <f>Ruimtestaat[[#This Row],[uren / jaar weekend]]+Ruimtestaat[[#This Row],[uren / jaar werkdagen]]</f>
        <v>0</v>
      </c>
      <c r="AF446" s="89">
        <f>Ruimtestaat[[#This Row],[kosten / jaar weekend]]+Ruimtestaat[[#This Row],[kosten / jaar werkdagen]]</f>
        <v>0</v>
      </c>
    </row>
    <row r="447" spans="1:32" ht="15" customHeight="1">
      <c r="A447" s="280">
        <v>4</v>
      </c>
      <c r="B447" s="21" t="str">
        <f>VLOOKUP(Ruimtestaat[[#This Row],[Code]],Locaties[#All],2,FALSE)</f>
        <v>PXC Rijssen</v>
      </c>
      <c r="C447" s="281" t="str">
        <f>VLOOKUP(Ruimtestaat[[#This Row],[Code]],Locaties[#All],4,FALSE)</f>
        <v>Graaf Ottostraat 48</v>
      </c>
      <c r="D447" s="281" t="str">
        <f>VLOOKUP(Ruimtestaat[[#This Row],[Code]],Locaties[#All],5,FALSE)</f>
        <v>7461 CP</v>
      </c>
      <c r="E447" s="281" t="str">
        <f>VLOOKUP(Ruimtestaat[[#This Row],[Code]],Locaties[#All],6,FALSE)</f>
        <v>Rijssen</v>
      </c>
      <c r="F447" s="282"/>
      <c r="G447" s="283"/>
      <c r="H447" s="280">
        <v>0.2</v>
      </c>
      <c r="I447" s="282" t="s">
        <v>1063</v>
      </c>
      <c r="J447" s="200">
        <v>1</v>
      </c>
      <c r="K447" s="243" t="s">
        <v>1042</v>
      </c>
      <c r="L447" s="284" t="s">
        <v>1121</v>
      </c>
      <c r="M447" s="213">
        <v>1.97</v>
      </c>
      <c r="N447" s="202"/>
      <c r="O447" s="243" t="str">
        <f>VLOOKUP(Ruimtestaat[[#This Row],[Ruimte code]],Ruimtegroepen[#All],4,FALSE)</f>
        <v>V  (Verkeersruimte)</v>
      </c>
      <c r="P447" s="214"/>
      <c r="Q447" s="215">
        <v>40</v>
      </c>
      <c r="R447" s="215" t="s">
        <v>16</v>
      </c>
      <c r="S447" s="215">
        <f>IF(R447&gt;0,IF(RIGHT(Ruimtestaat[[#This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47" s="215">
        <f>IF(S447&gt;0,VLOOKUP($J447,Ruimtegroepen[],3,FALSE)*VLOOKUP($K447,Vloersoorten[],3,FALSE)*VLOOKUP($R447,Frequenties[],3,FALSE)*VLOOKUP($A447,Locaties[],3,FALSE),0)</f>
        <v>0</v>
      </c>
      <c r="U447" s="215">
        <f>Ruimtestaat[[#This Row],[Uitvoeringen werkdagen]]*Ruimtestaat[[#This Row],[Oppervlak (netto)]]</f>
        <v>23.64</v>
      </c>
      <c r="V447" s="259">
        <f>IF(T447&gt;0,Ruimtestaat[[#This Row],[Prest. (m2 /jaar) werkdagen]]/Ruimtestaat[[#This Row],[Norm (m2/uur) werkdagen]],0)</f>
        <v>0</v>
      </c>
      <c r="W447" s="260">
        <f>Ruimtestaat[[#This Row],[uren / jaar werkdagen]]*Tariefsopbouw!$D$38</f>
        <v>0</v>
      </c>
      <c r="X447" s="33"/>
      <c r="Y447" s="33">
        <f>IF(Ruimtestaat[[#This Row],[Frequentie weekend]]&gt;0,VALUE(LEFT(X447,1))*Q447,0)</f>
        <v>0</v>
      </c>
      <c r="Z447" s="33">
        <f>IF($Y447&gt;0,VLOOKUP($J447,Ruimtegroepen[],3,FALSE)*VLOOKUP($K447,Vloersoorten[],3,FALSE)*VLOOKUP($X447,Frequenties[],3,FALSE)*VLOOKUP(#REF!,Locaties[],3,FALSE),0)</f>
        <v>0</v>
      </c>
      <c r="AA447" s="33"/>
      <c r="AB447" s="33"/>
      <c r="AC447" s="33">
        <f>Ruimtestaat[[#This Row],[uren / jaar weekend]]*Tariefsopbouw!$D$40</f>
        <v>0</v>
      </c>
      <c r="AD447" s="88">
        <f>Ruimtestaat[[#This Row],[Prest. (m2 /jaar) weekend]]+Ruimtestaat[[#This Row],[Prest. (m2 /jaar) werkdagen]]</f>
        <v>23.64</v>
      </c>
      <c r="AE447" s="88">
        <f>Ruimtestaat[[#This Row],[uren / jaar weekend]]+Ruimtestaat[[#This Row],[uren / jaar werkdagen]]</f>
        <v>0</v>
      </c>
      <c r="AF447" s="89">
        <f>Ruimtestaat[[#This Row],[kosten / jaar weekend]]+Ruimtestaat[[#This Row],[kosten / jaar werkdagen]]</f>
        <v>0</v>
      </c>
    </row>
    <row r="448" spans="1:32" ht="15" customHeight="1">
      <c r="A448" s="280">
        <v>4</v>
      </c>
      <c r="B448" s="21" t="str">
        <f>VLOOKUP(Ruimtestaat[[#This Row],[Code]],Locaties[#All],2,FALSE)</f>
        <v>PXC Rijssen</v>
      </c>
      <c r="C448" s="281" t="str">
        <f>VLOOKUP(Ruimtestaat[[#This Row],[Code]],Locaties[#All],4,FALSE)</f>
        <v>Graaf Ottostraat 48</v>
      </c>
      <c r="D448" s="281" t="str">
        <f>VLOOKUP(Ruimtestaat[[#This Row],[Code]],Locaties[#All],5,FALSE)</f>
        <v>7461 CP</v>
      </c>
      <c r="E448" s="281" t="str">
        <f>VLOOKUP(Ruimtestaat[[#This Row],[Code]],Locaties[#All],6,FALSE)</f>
        <v>Rijssen</v>
      </c>
      <c r="F448" s="282"/>
      <c r="G448" s="283"/>
      <c r="H448" s="280">
        <v>0.21</v>
      </c>
      <c r="I448" s="282" t="s">
        <v>1069</v>
      </c>
      <c r="J448" s="200">
        <v>10</v>
      </c>
      <c r="K448" s="243" t="s">
        <v>1040</v>
      </c>
      <c r="L448" s="284" t="s">
        <v>1123</v>
      </c>
      <c r="M448" s="213">
        <v>26.07</v>
      </c>
      <c r="N448" s="202"/>
      <c r="O448" s="243" t="str">
        <f>VLOOKUP(Ruimtestaat[[#This Row],[Ruimte code]],Ruimtegroepen[#All],4,FALSE)</f>
        <v>V  (Verkeersruimte)</v>
      </c>
      <c r="P448" s="214"/>
      <c r="Q448" s="215">
        <v>40</v>
      </c>
      <c r="R448" s="215" t="s">
        <v>2</v>
      </c>
      <c r="S448" s="215">
        <f>IF(R448&gt;0,IF(RIGHT(Ruimtestaat[[#This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48" s="215">
        <f>IF(S448&gt;0,VLOOKUP($J448,Ruimtegroepen[],3,FALSE)*VLOOKUP($K448,Vloersoorten[],3,FALSE)*VLOOKUP($R448,Frequenties[],3,FALSE)*VLOOKUP($A448,Locaties[],3,FALSE),0)</f>
        <v>0</v>
      </c>
      <c r="U448" s="215">
        <f>Ruimtestaat[[#This Row],[Uitvoeringen werkdagen]]*Ruimtestaat[[#This Row],[Oppervlak (netto)]]</f>
        <v>5214</v>
      </c>
      <c r="V448" s="259">
        <f>IF(T448&gt;0,Ruimtestaat[[#This Row],[Prest. (m2 /jaar) werkdagen]]/Ruimtestaat[[#This Row],[Norm (m2/uur) werkdagen]],0)</f>
        <v>0</v>
      </c>
      <c r="W448" s="260">
        <f>Ruimtestaat[[#This Row],[uren / jaar werkdagen]]*Tariefsopbouw!$D$38</f>
        <v>0</v>
      </c>
      <c r="X448" s="33"/>
      <c r="Y448" s="33">
        <f>IF(Ruimtestaat[[#This Row],[Frequentie weekend]]&gt;0,VALUE(LEFT(X448,1))*Q448,0)</f>
        <v>0</v>
      </c>
      <c r="Z448" s="33">
        <f>IF($Y448&gt;0,VLOOKUP($J448,Ruimtegroepen[],3,FALSE)*VLOOKUP($K448,Vloersoorten[],3,FALSE)*VLOOKUP($X448,Frequenties[],3,FALSE)*VLOOKUP(#REF!,Locaties[],3,FALSE),0)</f>
        <v>0</v>
      </c>
      <c r="AA448" s="33"/>
      <c r="AB448" s="33"/>
      <c r="AC448" s="33">
        <f>Ruimtestaat[[#This Row],[uren / jaar weekend]]*Tariefsopbouw!$D$40</f>
        <v>0</v>
      </c>
      <c r="AD448" s="88">
        <f>Ruimtestaat[[#This Row],[Prest. (m2 /jaar) weekend]]+Ruimtestaat[[#This Row],[Prest. (m2 /jaar) werkdagen]]</f>
        <v>5214</v>
      </c>
      <c r="AE448" s="88">
        <f>Ruimtestaat[[#This Row],[uren / jaar weekend]]+Ruimtestaat[[#This Row],[uren / jaar werkdagen]]</f>
        <v>0</v>
      </c>
      <c r="AF448" s="89">
        <f>Ruimtestaat[[#This Row],[kosten / jaar weekend]]+Ruimtestaat[[#This Row],[kosten / jaar werkdagen]]</f>
        <v>0</v>
      </c>
    </row>
    <row r="449" spans="1:32" ht="15" customHeight="1">
      <c r="A449" s="280">
        <v>4</v>
      </c>
      <c r="B449" s="21" t="str">
        <f>VLOOKUP(Ruimtestaat[[#This Row],[Code]],Locaties[#All],2,FALSE)</f>
        <v>PXC Rijssen</v>
      </c>
      <c r="C449" s="281" t="str">
        <f>VLOOKUP(Ruimtestaat[[#This Row],[Code]],Locaties[#All],4,FALSE)</f>
        <v>Graaf Ottostraat 48</v>
      </c>
      <c r="D449" s="281" t="str">
        <f>VLOOKUP(Ruimtestaat[[#This Row],[Code]],Locaties[#All],5,FALSE)</f>
        <v>7461 CP</v>
      </c>
      <c r="E449" s="281" t="str">
        <f>VLOOKUP(Ruimtestaat[[#This Row],[Code]],Locaties[#All],6,FALSE)</f>
        <v>Rijssen</v>
      </c>
      <c r="F449" s="282"/>
      <c r="G449" s="283"/>
      <c r="H449" s="280">
        <v>0.22</v>
      </c>
      <c r="I449" s="282" t="s">
        <v>1071</v>
      </c>
      <c r="J449" s="200">
        <v>2</v>
      </c>
      <c r="K449" s="243" t="s">
        <v>1040</v>
      </c>
      <c r="L449" s="284" t="s">
        <v>1122</v>
      </c>
      <c r="M449" s="213">
        <v>19.420000000000002</v>
      </c>
      <c r="N449" s="202"/>
      <c r="O449" s="243" t="str">
        <f>VLOOKUP(Ruimtestaat[[#This Row],[Ruimte code]],Ruimtegroepen[#All],4,FALSE)</f>
        <v>B  (Bureauruimte)</v>
      </c>
      <c r="P449" s="214"/>
      <c r="Q449" s="215">
        <v>40</v>
      </c>
      <c r="R449" s="215" t="s">
        <v>17</v>
      </c>
      <c r="S449" s="215">
        <f>IF(R449&gt;0,IF(RIGHT(Ruimtestaat[[#This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449" s="215">
        <f>IF(S449&gt;0,VLOOKUP($J449,Ruimtegroepen[],3,FALSE)*VLOOKUP($K449,Vloersoorten[],3,FALSE)*VLOOKUP($R449,Frequenties[],3,FALSE)*VLOOKUP($A449,Locaties[],3,FALSE),0)</f>
        <v>0</v>
      </c>
      <c r="U449" s="215">
        <f>Ruimtestaat[[#This Row],[Uitvoeringen werkdagen]]*Ruimtestaat[[#This Row],[Oppervlak (netto)]]</f>
        <v>1553.6000000000001</v>
      </c>
      <c r="V449" s="259">
        <f>IF(T449&gt;0,Ruimtestaat[[#This Row],[Prest. (m2 /jaar) werkdagen]]/Ruimtestaat[[#This Row],[Norm (m2/uur) werkdagen]],0)</f>
        <v>0</v>
      </c>
      <c r="W449" s="260">
        <f>Ruimtestaat[[#This Row],[uren / jaar werkdagen]]*Tariefsopbouw!$D$38</f>
        <v>0</v>
      </c>
      <c r="X449" s="33"/>
      <c r="Y449" s="33">
        <f>IF(Ruimtestaat[[#This Row],[Frequentie weekend]]&gt;0,VALUE(LEFT(X449,1))*Q449,0)</f>
        <v>0</v>
      </c>
      <c r="Z449" s="33">
        <f>IF($Y449&gt;0,VLOOKUP($J449,Ruimtegroepen[],3,FALSE)*VLOOKUP($K449,Vloersoorten[],3,FALSE)*VLOOKUP($X449,Frequenties[],3,FALSE)*VLOOKUP(#REF!,Locaties[],3,FALSE),0)</f>
        <v>0</v>
      </c>
      <c r="AA449" s="33"/>
      <c r="AB449" s="33"/>
      <c r="AC449" s="33">
        <f>Ruimtestaat[[#This Row],[uren / jaar weekend]]*Tariefsopbouw!$D$40</f>
        <v>0</v>
      </c>
      <c r="AD449" s="88">
        <f>Ruimtestaat[[#This Row],[Prest. (m2 /jaar) weekend]]+Ruimtestaat[[#This Row],[Prest. (m2 /jaar) werkdagen]]</f>
        <v>1553.6000000000001</v>
      </c>
      <c r="AE449" s="88">
        <f>Ruimtestaat[[#This Row],[uren / jaar weekend]]+Ruimtestaat[[#This Row],[uren / jaar werkdagen]]</f>
        <v>0</v>
      </c>
      <c r="AF449" s="89">
        <f>Ruimtestaat[[#This Row],[kosten / jaar weekend]]+Ruimtestaat[[#This Row],[kosten / jaar werkdagen]]</f>
        <v>0</v>
      </c>
    </row>
    <row r="450" spans="1:32" ht="15" customHeight="1">
      <c r="A450" s="280">
        <v>4</v>
      </c>
      <c r="B450" s="21" t="str">
        <f>VLOOKUP(Ruimtestaat[[#This Row],[Code]],Locaties[#All],2,FALSE)</f>
        <v>PXC Rijssen</v>
      </c>
      <c r="C450" s="281" t="str">
        <f>VLOOKUP(Ruimtestaat[[#This Row],[Code]],Locaties[#All],4,FALSE)</f>
        <v>Graaf Ottostraat 48</v>
      </c>
      <c r="D450" s="281" t="str">
        <f>VLOOKUP(Ruimtestaat[[#This Row],[Code]],Locaties[#All],5,FALSE)</f>
        <v>7461 CP</v>
      </c>
      <c r="E450" s="281" t="str">
        <f>VLOOKUP(Ruimtestaat[[#This Row],[Code]],Locaties[#All],6,FALSE)</f>
        <v>Rijssen</v>
      </c>
      <c r="F450" s="282"/>
      <c r="G450" s="283"/>
      <c r="H450" s="280">
        <v>0.23</v>
      </c>
      <c r="I450" s="282" t="s">
        <v>1072</v>
      </c>
      <c r="J450" s="200">
        <v>16</v>
      </c>
      <c r="K450" s="243" t="s">
        <v>1040</v>
      </c>
      <c r="L450" s="284" t="s">
        <v>1122</v>
      </c>
      <c r="M450" s="213">
        <v>53.28</v>
      </c>
      <c r="N450" s="202"/>
      <c r="O450" s="243" t="str">
        <f>VLOOKUP(Ruimtestaat[[#This Row],[Ruimte code]],Ruimtegroepen[#All],4,FALSE)</f>
        <v>L  (Lesruimte)</v>
      </c>
      <c r="P450" s="214"/>
      <c r="Q450" s="215">
        <v>40</v>
      </c>
      <c r="R450" s="215" t="s">
        <v>2</v>
      </c>
      <c r="S450" s="215">
        <f>IF(R450&gt;0,IF(RIGHT(Ruimtestaat[[#This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0" s="215">
        <f>IF(S450&gt;0,VLOOKUP($J450,Ruimtegroepen[],3,FALSE)*VLOOKUP($K450,Vloersoorten[],3,FALSE)*VLOOKUP($R450,Frequenties[],3,FALSE)*VLOOKUP($A450,Locaties[],3,FALSE),0)</f>
        <v>0</v>
      </c>
      <c r="U450" s="215">
        <f>Ruimtestaat[[#This Row],[Uitvoeringen werkdagen]]*Ruimtestaat[[#This Row],[Oppervlak (netto)]]</f>
        <v>10656</v>
      </c>
      <c r="V450" s="259">
        <f>IF(T450&gt;0,Ruimtestaat[[#This Row],[Prest. (m2 /jaar) werkdagen]]/Ruimtestaat[[#This Row],[Norm (m2/uur) werkdagen]],0)</f>
        <v>0</v>
      </c>
      <c r="W450" s="260">
        <f>Ruimtestaat[[#This Row],[uren / jaar werkdagen]]*Tariefsopbouw!$D$38</f>
        <v>0</v>
      </c>
      <c r="X450" s="33"/>
      <c r="Y450" s="33">
        <f>IF(Ruimtestaat[[#This Row],[Frequentie weekend]]&gt;0,VALUE(LEFT(X450,1))*Q450,0)</f>
        <v>0</v>
      </c>
      <c r="Z450" s="33">
        <f>IF($Y450&gt;0,VLOOKUP($J450,Ruimtegroepen[],3,FALSE)*VLOOKUP($K450,Vloersoorten[],3,FALSE)*VLOOKUP($X450,Frequenties[],3,FALSE)*VLOOKUP(#REF!,Locaties[],3,FALSE),0)</f>
        <v>0</v>
      </c>
      <c r="AA450" s="33"/>
      <c r="AB450" s="33"/>
      <c r="AC450" s="33">
        <f>Ruimtestaat[[#This Row],[uren / jaar weekend]]*Tariefsopbouw!$D$40</f>
        <v>0</v>
      </c>
      <c r="AD450" s="88">
        <f>Ruimtestaat[[#This Row],[Prest. (m2 /jaar) weekend]]+Ruimtestaat[[#This Row],[Prest. (m2 /jaar) werkdagen]]</f>
        <v>10656</v>
      </c>
      <c r="AE450" s="88">
        <f>Ruimtestaat[[#This Row],[uren / jaar weekend]]+Ruimtestaat[[#This Row],[uren / jaar werkdagen]]</f>
        <v>0</v>
      </c>
      <c r="AF450" s="89">
        <f>Ruimtestaat[[#This Row],[kosten / jaar weekend]]+Ruimtestaat[[#This Row],[kosten / jaar werkdagen]]</f>
        <v>0</v>
      </c>
    </row>
    <row r="451" spans="1:32" ht="15" customHeight="1">
      <c r="A451" s="280">
        <v>4</v>
      </c>
      <c r="B451" s="21" t="str">
        <f>VLOOKUP(Ruimtestaat[[#This Row],[Code]],Locaties[#All],2,FALSE)</f>
        <v>PXC Rijssen</v>
      </c>
      <c r="C451" s="281" t="str">
        <f>VLOOKUP(Ruimtestaat[[#This Row],[Code]],Locaties[#All],4,FALSE)</f>
        <v>Graaf Ottostraat 48</v>
      </c>
      <c r="D451" s="281" t="str">
        <f>VLOOKUP(Ruimtestaat[[#This Row],[Code]],Locaties[#All],5,FALSE)</f>
        <v>7461 CP</v>
      </c>
      <c r="E451" s="281" t="str">
        <f>VLOOKUP(Ruimtestaat[[#This Row],[Code]],Locaties[#All],6,FALSE)</f>
        <v>Rijssen</v>
      </c>
      <c r="F451" s="282"/>
      <c r="G451" s="283"/>
      <c r="H451" s="280">
        <v>0.24</v>
      </c>
      <c r="I451" s="282" t="s">
        <v>1073</v>
      </c>
      <c r="J451" s="200">
        <v>16</v>
      </c>
      <c r="K451" s="243" t="s">
        <v>1040</v>
      </c>
      <c r="L451" s="284" t="s">
        <v>1122</v>
      </c>
      <c r="M451" s="213">
        <v>54.57</v>
      </c>
      <c r="N451" s="202"/>
      <c r="O451" s="243" t="str">
        <f>VLOOKUP(Ruimtestaat[[#This Row],[Ruimte code]],Ruimtegroepen[#All],4,FALSE)</f>
        <v>L  (Lesruimte)</v>
      </c>
      <c r="P451" s="214"/>
      <c r="Q451" s="215">
        <v>40</v>
      </c>
      <c r="R451" s="215" t="s">
        <v>2</v>
      </c>
      <c r="S451" s="215">
        <f>IF(R451&gt;0,IF(RIGHT(Ruimtestaat[[#This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1" s="215">
        <f>IF(S451&gt;0,VLOOKUP($J451,Ruimtegroepen[],3,FALSE)*VLOOKUP($K451,Vloersoorten[],3,FALSE)*VLOOKUP($R451,Frequenties[],3,FALSE)*VLOOKUP($A451,Locaties[],3,FALSE),0)</f>
        <v>0</v>
      </c>
      <c r="U451" s="215">
        <f>Ruimtestaat[[#This Row],[Uitvoeringen werkdagen]]*Ruimtestaat[[#This Row],[Oppervlak (netto)]]</f>
        <v>10914</v>
      </c>
      <c r="V451" s="259">
        <f>IF(T451&gt;0,Ruimtestaat[[#This Row],[Prest. (m2 /jaar) werkdagen]]/Ruimtestaat[[#This Row],[Norm (m2/uur) werkdagen]],0)</f>
        <v>0</v>
      </c>
      <c r="W451" s="260">
        <f>Ruimtestaat[[#This Row],[uren / jaar werkdagen]]*Tariefsopbouw!$D$38</f>
        <v>0</v>
      </c>
      <c r="X451" s="33"/>
      <c r="Y451" s="33">
        <f>IF(Ruimtestaat[[#This Row],[Frequentie weekend]]&gt;0,VALUE(LEFT(X451,1))*Q451,0)</f>
        <v>0</v>
      </c>
      <c r="Z451" s="33">
        <f>IF($Y451&gt;0,VLOOKUP($J451,Ruimtegroepen[],3,FALSE)*VLOOKUP($K451,Vloersoorten[],3,FALSE)*VLOOKUP($X451,Frequenties[],3,FALSE)*VLOOKUP(#REF!,Locaties[],3,FALSE),0)</f>
        <v>0</v>
      </c>
      <c r="AA451" s="33"/>
      <c r="AB451" s="33"/>
      <c r="AC451" s="33">
        <f>Ruimtestaat[[#This Row],[uren / jaar weekend]]*Tariefsopbouw!$D$40</f>
        <v>0</v>
      </c>
      <c r="AD451" s="88">
        <f>Ruimtestaat[[#This Row],[Prest. (m2 /jaar) weekend]]+Ruimtestaat[[#This Row],[Prest. (m2 /jaar) werkdagen]]</f>
        <v>10914</v>
      </c>
      <c r="AE451" s="88">
        <f>Ruimtestaat[[#This Row],[uren / jaar weekend]]+Ruimtestaat[[#This Row],[uren / jaar werkdagen]]</f>
        <v>0</v>
      </c>
      <c r="AF451" s="89">
        <f>Ruimtestaat[[#This Row],[kosten / jaar weekend]]+Ruimtestaat[[#This Row],[kosten / jaar werkdagen]]</f>
        <v>0</v>
      </c>
    </row>
    <row r="452" spans="1:32" ht="15" customHeight="1">
      <c r="A452" s="280">
        <v>4</v>
      </c>
      <c r="B452" s="21" t="str">
        <f>VLOOKUP(Ruimtestaat[[#This Row],[Code]],Locaties[#All],2,FALSE)</f>
        <v>PXC Rijssen</v>
      </c>
      <c r="C452" s="281" t="str">
        <f>VLOOKUP(Ruimtestaat[[#This Row],[Code]],Locaties[#All],4,FALSE)</f>
        <v>Graaf Ottostraat 48</v>
      </c>
      <c r="D452" s="281" t="str">
        <f>VLOOKUP(Ruimtestaat[[#This Row],[Code]],Locaties[#All],5,FALSE)</f>
        <v>7461 CP</v>
      </c>
      <c r="E452" s="281" t="str">
        <f>VLOOKUP(Ruimtestaat[[#This Row],[Code]],Locaties[#All],6,FALSE)</f>
        <v>Rijssen</v>
      </c>
      <c r="F452" s="282"/>
      <c r="G452" s="283"/>
      <c r="H452" s="280">
        <v>0.25</v>
      </c>
      <c r="I452" s="282" t="s">
        <v>1074</v>
      </c>
      <c r="J452" s="200">
        <v>16</v>
      </c>
      <c r="K452" s="243" t="s">
        <v>1040</v>
      </c>
      <c r="L452" s="284" t="s">
        <v>1122</v>
      </c>
      <c r="M452" s="213">
        <v>53.28</v>
      </c>
      <c r="N452" s="202"/>
      <c r="O452" s="243" t="str">
        <f>VLOOKUP(Ruimtestaat[[#This Row],[Ruimte code]],Ruimtegroepen[#All],4,FALSE)</f>
        <v>L  (Lesruimte)</v>
      </c>
      <c r="P452" s="214"/>
      <c r="Q452" s="215">
        <v>40</v>
      </c>
      <c r="R452" s="215" t="s">
        <v>2</v>
      </c>
      <c r="S452" s="215">
        <f>IF(R452&gt;0,IF(RIGHT(Ruimtestaat[[#This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2" s="215">
        <f>IF(S452&gt;0,VLOOKUP($J452,Ruimtegroepen[],3,FALSE)*VLOOKUP($K452,Vloersoorten[],3,FALSE)*VLOOKUP($R452,Frequenties[],3,FALSE)*VLOOKUP($A452,Locaties[],3,FALSE),0)</f>
        <v>0</v>
      </c>
      <c r="U452" s="215">
        <f>Ruimtestaat[[#This Row],[Uitvoeringen werkdagen]]*Ruimtestaat[[#This Row],[Oppervlak (netto)]]</f>
        <v>10656</v>
      </c>
      <c r="V452" s="259">
        <f>IF(T452&gt;0,Ruimtestaat[[#This Row],[Prest. (m2 /jaar) werkdagen]]/Ruimtestaat[[#This Row],[Norm (m2/uur) werkdagen]],0)</f>
        <v>0</v>
      </c>
      <c r="W452" s="260">
        <f>Ruimtestaat[[#This Row],[uren / jaar werkdagen]]*Tariefsopbouw!$D$38</f>
        <v>0</v>
      </c>
      <c r="X452" s="33"/>
      <c r="Y452" s="33">
        <f>IF(Ruimtestaat[[#This Row],[Frequentie weekend]]&gt;0,VALUE(LEFT(X452,1))*Q452,0)</f>
        <v>0</v>
      </c>
      <c r="Z452" s="33">
        <f>IF($Y452&gt;0,VLOOKUP($J452,Ruimtegroepen[],3,FALSE)*VLOOKUP($K452,Vloersoorten[],3,FALSE)*VLOOKUP($X452,Frequenties[],3,FALSE)*VLOOKUP(#REF!,Locaties[],3,FALSE),0)</f>
        <v>0</v>
      </c>
      <c r="AA452" s="33"/>
      <c r="AB452" s="33"/>
      <c r="AC452" s="33">
        <f>Ruimtestaat[[#This Row],[uren / jaar weekend]]*Tariefsopbouw!$D$40</f>
        <v>0</v>
      </c>
      <c r="AD452" s="88">
        <f>Ruimtestaat[[#This Row],[Prest. (m2 /jaar) weekend]]+Ruimtestaat[[#This Row],[Prest. (m2 /jaar) werkdagen]]</f>
        <v>10656</v>
      </c>
      <c r="AE452" s="88">
        <f>Ruimtestaat[[#This Row],[uren / jaar weekend]]+Ruimtestaat[[#This Row],[uren / jaar werkdagen]]</f>
        <v>0</v>
      </c>
      <c r="AF452" s="89">
        <f>Ruimtestaat[[#This Row],[kosten / jaar weekend]]+Ruimtestaat[[#This Row],[kosten / jaar werkdagen]]</f>
        <v>0</v>
      </c>
    </row>
    <row r="453" spans="1:32" ht="15" customHeight="1">
      <c r="A453" s="280">
        <v>4</v>
      </c>
      <c r="B453" s="21" t="str">
        <f>VLOOKUP(Ruimtestaat[[#This Row],[Code]],Locaties[#All],2,FALSE)</f>
        <v>PXC Rijssen</v>
      </c>
      <c r="C453" s="281" t="str">
        <f>VLOOKUP(Ruimtestaat[[#This Row],[Code]],Locaties[#All],4,FALSE)</f>
        <v>Graaf Ottostraat 48</v>
      </c>
      <c r="D453" s="281" t="str">
        <f>VLOOKUP(Ruimtestaat[[#This Row],[Code]],Locaties[#All],5,FALSE)</f>
        <v>7461 CP</v>
      </c>
      <c r="E453" s="281" t="str">
        <f>VLOOKUP(Ruimtestaat[[#This Row],[Code]],Locaties[#All],6,FALSE)</f>
        <v>Rijssen</v>
      </c>
      <c r="F453" s="282"/>
      <c r="G453" s="283"/>
      <c r="H453" s="280">
        <v>0.26</v>
      </c>
      <c r="I453" s="282" t="s">
        <v>1075</v>
      </c>
      <c r="J453" s="200">
        <v>11</v>
      </c>
      <c r="K453" s="243" t="s">
        <v>111</v>
      </c>
      <c r="L453" s="284" t="s">
        <v>913</v>
      </c>
      <c r="M453" s="213">
        <v>96.6</v>
      </c>
      <c r="N453" s="202"/>
      <c r="O453" s="243" t="str">
        <f>VLOOKUP(Ruimtestaat[[#This Row],[Ruimte code]],Ruimtegroepen[#All],4,FALSE)</f>
        <v>L  (Lesruimte)</v>
      </c>
      <c r="P453" s="214"/>
      <c r="Q453" s="215">
        <v>40</v>
      </c>
      <c r="R453" s="215" t="s">
        <v>2</v>
      </c>
      <c r="S453" s="215">
        <f>IF(R453&gt;0,IF(RIGHT(Ruimtestaat[[#This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3" s="215">
        <f>IF(S453&gt;0,VLOOKUP($J453,Ruimtegroepen[],3,FALSE)*VLOOKUP($K453,Vloersoorten[],3,FALSE)*VLOOKUP($R453,Frequenties[],3,FALSE)*VLOOKUP($A453,Locaties[],3,FALSE),0)</f>
        <v>0</v>
      </c>
      <c r="U453" s="215">
        <f>Ruimtestaat[[#This Row],[Uitvoeringen werkdagen]]*Ruimtestaat[[#This Row],[Oppervlak (netto)]]</f>
        <v>19320</v>
      </c>
      <c r="V453" s="259">
        <f>IF(T453&gt;0,Ruimtestaat[[#This Row],[Prest. (m2 /jaar) werkdagen]]/Ruimtestaat[[#This Row],[Norm (m2/uur) werkdagen]],0)</f>
        <v>0</v>
      </c>
      <c r="W453" s="260">
        <f>Ruimtestaat[[#This Row],[uren / jaar werkdagen]]*Tariefsopbouw!$D$38</f>
        <v>0</v>
      </c>
      <c r="X453" s="33"/>
      <c r="Y453" s="33">
        <f>IF(Ruimtestaat[[#This Row],[Frequentie weekend]]&gt;0,VALUE(LEFT(X453,1))*Q453,0)</f>
        <v>0</v>
      </c>
      <c r="Z453" s="33">
        <f>IF($Y453&gt;0,VLOOKUP($J453,Ruimtegroepen[],3,FALSE)*VLOOKUP($K453,Vloersoorten[],3,FALSE)*VLOOKUP($X453,Frequenties[],3,FALSE)*VLOOKUP(#REF!,Locaties[],3,FALSE),0)</f>
        <v>0</v>
      </c>
      <c r="AA453" s="33"/>
      <c r="AB453" s="33"/>
      <c r="AC453" s="33">
        <f>Ruimtestaat[[#This Row],[uren / jaar weekend]]*Tariefsopbouw!$D$40</f>
        <v>0</v>
      </c>
      <c r="AD453" s="88">
        <f>Ruimtestaat[[#This Row],[Prest. (m2 /jaar) weekend]]+Ruimtestaat[[#This Row],[Prest. (m2 /jaar) werkdagen]]</f>
        <v>19320</v>
      </c>
      <c r="AE453" s="88">
        <f>Ruimtestaat[[#This Row],[uren / jaar weekend]]+Ruimtestaat[[#This Row],[uren / jaar werkdagen]]</f>
        <v>0</v>
      </c>
      <c r="AF453" s="89">
        <f>Ruimtestaat[[#This Row],[kosten / jaar weekend]]+Ruimtestaat[[#This Row],[kosten / jaar werkdagen]]</f>
        <v>0</v>
      </c>
    </row>
    <row r="454" spans="1:32" ht="15" customHeight="1">
      <c r="A454" s="280">
        <v>4</v>
      </c>
      <c r="B454" s="21" t="str">
        <f>VLOOKUP(Ruimtestaat[[#This Row],[Code]],Locaties[#All],2,FALSE)</f>
        <v>PXC Rijssen</v>
      </c>
      <c r="C454" s="281" t="str">
        <f>VLOOKUP(Ruimtestaat[[#This Row],[Code]],Locaties[#All],4,FALSE)</f>
        <v>Graaf Ottostraat 48</v>
      </c>
      <c r="D454" s="281" t="str">
        <f>VLOOKUP(Ruimtestaat[[#This Row],[Code]],Locaties[#All],5,FALSE)</f>
        <v>7461 CP</v>
      </c>
      <c r="E454" s="281" t="str">
        <f>VLOOKUP(Ruimtestaat[[#This Row],[Code]],Locaties[#All],6,FALSE)</f>
        <v>Rijssen</v>
      </c>
      <c r="F454" s="282"/>
      <c r="G454" s="283"/>
      <c r="H454" s="280">
        <v>0.27</v>
      </c>
      <c r="I454" s="282" t="s">
        <v>1076</v>
      </c>
      <c r="J454" s="200">
        <v>1</v>
      </c>
      <c r="K454" s="243" t="s">
        <v>1040</v>
      </c>
      <c r="L454" s="284" t="s">
        <v>1120</v>
      </c>
      <c r="M454" s="213">
        <v>3.14</v>
      </c>
      <c r="N454" s="202"/>
      <c r="O454" s="243" t="str">
        <f>VLOOKUP(Ruimtestaat[[#This Row],[Ruimte code]],Ruimtegroepen[#All],4,FALSE)</f>
        <v>V  (Verkeersruimte)</v>
      </c>
      <c r="P454" s="214"/>
      <c r="Q454" s="215">
        <v>40</v>
      </c>
      <c r="R454" s="215" t="s">
        <v>16</v>
      </c>
      <c r="S454" s="215">
        <f>IF(R454&gt;0,IF(RIGHT(Ruimtestaat[[#This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54" s="215">
        <f>IF(S454&gt;0,VLOOKUP($J454,Ruimtegroepen[],3,FALSE)*VLOOKUP($K454,Vloersoorten[],3,FALSE)*VLOOKUP($R454,Frequenties[],3,FALSE)*VLOOKUP($A454,Locaties[],3,FALSE),0)</f>
        <v>0</v>
      </c>
      <c r="U454" s="215">
        <f>Ruimtestaat[[#This Row],[Uitvoeringen werkdagen]]*Ruimtestaat[[#This Row],[Oppervlak (netto)]]</f>
        <v>37.68</v>
      </c>
      <c r="V454" s="259">
        <f>IF(T454&gt;0,Ruimtestaat[[#This Row],[Prest. (m2 /jaar) werkdagen]]/Ruimtestaat[[#This Row],[Norm (m2/uur) werkdagen]],0)</f>
        <v>0</v>
      </c>
      <c r="W454" s="260">
        <f>Ruimtestaat[[#This Row],[uren / jaar werkdagen]]*Tariefsopbouw!$D$38</f>
        <v>0</v>
      </c>
      <c r="X454" s="33"/>
      <c r="Y454" s="33">
        <f>IF(Ruimtestaat[[#This Row],[Frequentie weekend]]&gt;0,VALUE(LEFT(X454,1))*Q454,0)</f>
        <v>0</v>
      </c>
      <c r="Z454" s="33">
        <f>IF($Y454&gt;0,VLOOKUP($J454,Ruimtegroepen[],3,FALSE)*VLOOKUP($K454,Vloersoorten[],3,FALSE)*VLOOKUP($X454,Frequenties[],3,FALSE)*VLOOKUP(#REF!,Locaties[],3,FALSE),0)</f>
        <v>0</v>
      </c>
      <c r="AA454" s="33"/>
      <c r="AB454" s="33"/>
      <c r="AC454" s="33">
        <f>Ruimtestaat[[#This Row],[uren / jaar weekend]]*Tariefsopbouw!$D$40</f>
        <v>0</v>
      </c>
      <c r="AD454" s="88">
        <f>Ruimtestaat[[#This Row],[Prest. (m2 /jaar) weekend]]+Ruimtestaat[[#This Row],[Prest. (m2 /jaar) werkdagen]]</f>
        <v>37.68</v>
      </c>
      <c r="AE454" s="88">
        <f>Ruimtestaat[[#This Row],[uren / jaar weekend]]+Ruimtestaat[[#This Row],[uren / jaar werkdagen]]</f>
        <v>0</v>
      </c>
      <c r="AF454" s="89">
        <f>Ruimtestaat[[#This Row],[kosten / jaar weekend]]+Ruimtestaat[[#This Row],[kosten / jaar werkdagen]]</f>
        <v>0</v>
      </c>
    </row>
    <row r="455" spans="1:32" ht="15" customHeight="1">
      <c r="A455" s="280">
        <v>4</v>
      </c>
      <c r="B455" s="21" t="str">
        <f>VLOOKUP(Ruimtestaat[[#This Row],[Code]],Locaties[#All],2,FALSE)</f>
        <v>PXC Rijssen</v>
      </c>
      <c r="C455" s="281" t="str">
        <f>VLOOKUP(Ruimtestaat[[#This Row],[Code]],Locaties[#All],4,FALSE)</f>
        <v>Graaf Ottostraat 48</v>
      </c>
      <c r="D455" s="281" t="str">
        <f>VLOOKUP(Ruimtestaat[[#This Row],[Code]],Locaties[#All],5,FALSE)</f>
        <v>7461 CP</v>
      </c>
      <c r="E455" s="281" t="str">
        <f>VLOOKUP(Ruimtestaat[[#This Row],[Code]],Locaties[#All],6,FALSE)</f>
        <v>Rijssen</v>
      </c>
      <c r="F455" s="282"/>
      <c r="G455" s="283"/>
      <c r="H455" s="280">
        <v>0.28000000000000003</v>
      </c>
      <c r="I455" s="282" t="s">
        <v>1077</v>
      </c>
      <c r="J455" s="200">
        <v>10</v>
      </c>
      <c r="K455" s="243" t="s">
        <v>1042</v>
      </c>
      <c r="L455" s="284" t="s">
        <v>1121</v>
      </c>
      <c r="M455" s="213">
        <v>2.66</v>
      </c>
      <c r="N455" s="213"/>
      <c r="O455" s="243" t="str">
        <f>VLOOKUP(Ruimtestaat[[#This Row],[Ruimte code]],Ruimtegroepen[#All],4,FALSE)</f>
        <v>V  (Verkeersruimte)</v>
      </c>
      <c r="P455" s="214"/>
      <c r="Q455" s="215">
        <v>40</v>
      </c>
      <c r="R455" s="215" t="s">
        <v>2</v>
      </c>
      <c r="S455" s="215">
        <f>IF(R455&gt;0,IF(RIGHT(Ruimtestaat[[#This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5" s="215">
        <f>IF(S455&gt;0,VLOOKUP($J455,Ruimtegroepen[],3,FALSE)*VLOOKUP($K455,Vloersoorten[],3,FALSE)*VLOOKUP($R455,Frequenties[],3,FALSE)*VLOOKUP($A455,Locaties[],3,FALSE),0)</f>
        <v>0</v>
      </c>
      <c r="U455" s="215">
        <f>Ruimtestaat[[#This Row],[Uitvoeringen werkdagen]]*Ruimtestaat[[#This Row],[Oppervlak (netto)]]</f>
        <v>532</v>
      </c>
      <c r="V455" s="259">
        <f>IF(T455&gt;0,Ruimtestaat[[#This Row],[Prest. (m2 /jaar) werkdagen]]/Ruimtestaat[[#This Row],[Norm (m2/uur) werkdagen]],0)</f>
        <v>0</v>
      </c>
      <c r="W455" s="260">
        <f>Ruimtestaat[[#This Row],[uren / jaar werkdagen]]*Tariefsopbouw!$D$38</f>
        <v>0</v>
      </c>
      <c r="X455" s="33"/>
      <c r="Y455" s="33">
        <f>IF(Ruimtestaat[[#This Row],[Frequentie weekend]]&gt;0,VALUE(LEFT(X455,1))*Q455,0)</f>
        <v>0</v>
      </c>
      <c r="Z455" s="33">
        <f>IF($Y455&gt;0,VLOOKUP($J455,Ruimtegroepen[],3,FALSE)*VLOOKUP($K455,Vloersoorten[],3,FALSE)*VLOOKUP($X455,Frequenties[],3,FALSE)*VLOOKUP(#REF!,Locaties[],3,FALSE),0)</f>
        <v>0</v>
      </c>
      <c r="AA455" s="33"/>
      <c r="AB455" s="33"/>
      <c r="AC455" s="33">
        <f>Ruimtestaat[[#This Row],[uren / jaar weekend]]*Tariefsopbouw!$D$40</f>
        <v>0</v>
      </c>
      <c r="AD455" s="88">
        <f>Ruimtestaat[[#This Row],[Prest. (m2 /jaar) weekend]]+Ruimtestaat[[#This Row],[Prest. (m2 /jaar) werkdagen]]</f>
        <v>532</v>
      </c>
      <c r="AE455" s="88">
        <f>Ruimtestaat[[#This Row],[uren / jaar weekend]]+Ruimtestaat[[#This Row],[uren / jaar werkdagen]]</f>
        <v>0</v>
      </c>
      <c r="AF455" s="89">
        <f>Ruimtestaat[[#This Row],[kosten / jaar weekend]]+Ruimtestaat[[#This Row],[kosten / jaar werkdagen]]</f>
        <v>0</v>
      </c>
    </row>
    <row r="456" spans="1:32" ht="15" customHeight="1">
      <c r="A456" s="280">
        <v>4</v>
      </c>
      <c r="B456" s="21" t="str">
        <f>VLOOKUP(Ruimtestaat[[#This Row],[Code]],Locaties[#All],2,FALSE)</f>
        <v>PXC Rijssen</v>
      </c>
      <c r="C456" s="281" t="str">
        <f>VLOOKUP(Ruimtestaat[[#This Row],[Code]],Locaties[#All],4,FALSE)</f>
        <v>Graaf Ottostraat 48</v>
      </c>
      <c r="D456" s="281" t="str">
        <f>VLOOKUP(Ruimtestaat[[#This Row],[Code]],Locaties[#All],5,FALSE)</f>
        <v>7461 CP</v>
      </c>
      <c r="E456" s="281" t="str">
        <f>VLOOKUP(Ruimtestaat[[#This Row],[Code]],Locaties[#All],6,FALSE)</f>
        <v>Rijssen</v>
      </c>
      <c r="F456" s="282"/>
      <c r="G456" s="283"/>
      <c r="H456" s="280">
        <v>0.28999999999999998</v>
      </c>
      <c r="I456" s="282" t="s">
        <v>1078</v>
      </c>
      <c r="J456" s="200">
        <v>21</v>
      </c>
      <c r="K456" s="281"/>
      <c r="L456" s="284"/>
      <c r="M456" s="213">
        <v>2.11</v>
      </c>
      <c r="N456" s="202"/>
      <c r="O456" s="243" t="str">
        <f>VLOOKUP(Ruimtestaat[[#This Row],[Ruimte code]],Ruimtegroepen[#All],4,FALSE)</f>
        <v>Niet in onderhoud</v>
      </c>
      <c r="P456" s="214"/>
      <c r="Q456" s="215">
        <v>40</v>
      </c>
      <c r="R456" s="215"/>
      <c r="S456" s="215">
        <f>IF(R456&gt;0,IF(RIGHT(Ruimtestaat[[#This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56" s="215">
        <f>IF(S456&gt;0,VLOOKUP($J456,Ruimtegroepen[],3,FALSE)*VLOOKUP($K456,Vloersoorten[],3,FALSE)*VLOOKUP($R456,Frequenties[],3,FALSE)*VLOOKUP($A456,Locaties[],3,FALSE),0)</f>
        <v>0</v>
      </c>
      <c r="U456" s="215">
        <f>Ruimtestaat[[#This Row],[Uitvoeringen werkdagen]]*Ruimtestaat[[#This Row],[Oppervlak (netto)]]</f>
        <v>0</v>
      </c>
      <c r="V456" s="259">
        <f>IF(T456&gt;0,Ruimtestaat[[#This Row],[Prest. (m2 /jaar) werkdagen]]/Ruimtestaat[[#This Row],[Norm (m2/uur) werkdagen]],0)</f>
        <v>0</v>
      </c>
      <c r="W456" s="260">
        <f>Ruimtestaat[[#This Row],[uren / jaar werkdagen]]*Tariefsopbouw!$D$38</f>
        <v>0</v>
      </c>
      <c r="X456" s="33"/>
      <c r="Y456" s="33">
        <f>IF(Ruimtestaat[[#This Row],[Frequentie weekend]]&gt;0,VALUE(LEFT(X456,1))*Q456,0)</f>
        <v>0</v>
      </c>
      <c r="Z456" s="33">
        <f>IF($Y456&gt;0,VLOOKUP($J456,Ruimtegroepen[],3,FALSE)*VLOOKUP($K456,Vloersoorten[],3,FALSE)*VLOOKUP($X456,Frequenties[],3,FALSE)*VLOOKUP(#REF!,Locaties[],3,FALSE),0)</f>
        <v>0</v>
      </c>
      <c r="AA456" s="33"/>
      <c r="AB456" s="33"/>
      <c r="AC456" s="33">
        <f>Ruimtestaat[[#This Row],[uren / jaar weekend]]*Tariefsopbouw!$D$40</f>
        <v>0</v>
      </c>
      <c r="AD456" s="88">
        <f>Ruimtestaat[[#This Row],[Prest. (m2 /jaar) weekend]]+Ruimtestaat[[#This Row],[Prest. (m2 /jaar) werkdagen]]</f>
        <v>0</v>
      </c>
      <c r="AE456" s="88">
        <f>Ruimtestaat[[#This Row],[uren / jaar weekend]]+Ruimtestaat[[#This Row],[uren / jaar werkdagen]]</f>
        <v>0</v>
      </c>
      <c r="AF456" s="89">
        <f>Ruimtestaat[[#This Row],[kosten / jaar weekend]]+Ruimtestaat[[#This Row],[kosten / jaar werkdagen]]</f>
        <v>0</v>
      </c>
    </row>
    <row r="457" spans="1:32" ht="15" customHeight="1">
      <c r="A457" s="280">
        <v>4</v>
      </c>
      <c r="B457" s="21" t="str">
        <f>VLOOKUP(Ruimtestaat[[#This Row],[Code]],Locaties[#All],2,FALSE)</f>
        <v>PXC Rijssen</v>
      </c>
      <c r="C457" s="281" t="str">
        <f>VLOOKUP(Ruimtestaat[[#This Row],[Code]],Locaties[#All],4,FALSE)</f>
        <v>Graaf Ottostraat 48</v>
      </c>
      <c r="D457" s="281" t="str">
        <f>VLOOKUP(Ruimtestaat[[#This Row],[Code]],Locaties[#All],5,FALSE)</f>
        <v>7461 CP</v>
      </c>
      <c r="E457" s="281" t="str">
        <f>VLOOKUP(Ruimtestaat[[#This Row],[Code]],Locaties[#All],6,FALSE)</f>
        <v>Rijssen</v>
      </c>
      <c r="F457" s="282"/>
      <c r="G457" s="283"/>
      <c r="H457" s="280">
        <v>0.3</v>
      </c>
      <c r="I457" s="282" t="s">
        <v>1079</v>
      </c>
      <c r="J457" s="281">
        <v>5</v>
      </c>
      <c r="K457" s="243" t="s">
        <v>1043</v>
      </c>
      <c r="L457" s="284" t="s">
        <v>920</v>
      </c>
      <c r="M457" s="213">
        <v>3.88</v>
      </c>
      <c r="N457" s="202"/>
      <c r="O457" s="243" t="str">
        <f>VLOOKUP(Ruimtestaat[[#This Row],[Ruimte code]],Ruimtegroepen[#All],4,FALSE)</f>
        <v>S  (Sanitair)</v>
      </c>
      <c r="P457" s="214"/>
      <c r="Q457" s="215">
        <v>40</v>
      </c>
      <c r="R457" s="215" t="s">
        <v>2</v>
      </c>
      <c r="S457" s="215">
        <f>IF(R457&gt;0,IF(RIGHT(Ruimtestaat[[#This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7" s="215">
        <f>IF(S457&gt;0,VLOOKUP($J457,Ruimtegroepen[],3,FALSE)*VLOOKUP($K457,Vloersoorten[],3,FALSE)*VLOOKUP($R457,Frequenties[],3,FALSE)*VLOOKUP($A457,Locaties[],3,FALSE),0)</f>
        <v>0</v>
      </c>
      <c r="U457" s="215">
        <f>Ruimtestaat[[#This Row],[Uitvoeringen werkdagen]]*Ruimtestaat[[#This Row],[Oppervlak (netto)]]</f>
        <v>776</v>
      </c>
      <c r="V457" s="259">
        <f>IF(T457&gt;0,Ruimtestaat[[#This Row],[Prest. (m2 /jaar) werkdagen]]/Ruimtestaat[[#This Row],[Norm (m2/uur) werkdagen]],0)</f>
        <v>0</v>
      </c>
      <c r="W457" s="260">
        <f>Ruimtestaat[[#This Row],[uren / jaar werkdagen]]*Tariefsopbouw!$D$38</f>
        <v>0</v>
      </c>
      <c r="X457" s="33"/>
      <c r="Y457" s="33">
        <f>IF(Ruimtestaat[[#This Row],[Frequentie weekend]]&gt;0,VALUE(LEFT(X457,1))*Q457,0)</f>
        <v>0</v>
      </c>
      <c r="Z457" s="33">
        <f>IF($Y457&gt;0,VLOOKUP($J457,Ruimtegroepen[],3,FALSE)*VLOOKUP($K457,Vloersoorten[],3,FALSE)*VLOOKUP($X457,Frequenties[],3,FALSE)*VLOOKUP(#REF!,Locaties[],3,FALSE),0)</f>
        <v>0</v>
      </c>
      <c r="AA457" s="33"/>
      <c r="AB457" s="33"/>
      <c r="AC457" s="33">
        <f>Ruimtestaat[[#This Row],[uren / jaar weekend]]*Tariefsopbouw!$D$40</f>
        <v>0</v>
      </c>
      <c r="AD457" s="88">
        <f>Ruimtestaat[[#This Row],[Prest. (m2 /jaar) weekend]]+Ruimtestaat[[#This Row],[Prest. (m2 /jaar) werkdagen]]</f>
        <v>776</v>
      </c>
      <c r="AE457" s="88">
        <f>Ruimtestaat[[#This Row],[uren / jaar weekend]]+Ruimtestaat[[#This Row],[uren / jaar werkdagen]]</f>
        <v>0</v>
      </c>
      <c r="AF457" s="89">
        <f>Ruimtestaat[[#This Row],[kosten / jaar weekend]]+Ruimtestaat[[#This Row],[kosten / jaar werkdagen]]</f>
        <v>0</v>
      </c>
    </row>
    <row r="458" spans="1:32" ht="15" customHeight="1">
      <c r="A458" s="280">
        <v>4</v>
      </c>
      <c r="B458" s="21" t="str">
        <f>VLOOKUP(Ruimtestaat[[#This Row],[Code]],Locaties[#All],2,FALSE)</f>
        <v>PXC Rijssen</v>
      </c>
      <c r="C458" s="281" t="str">
        <f>VLOOKUP(Ruimtestaat[[#This Row],[Code]],Locaties[#All],4,FALSE)</f>
        <v>Graaf Ottostraat 48</v>
      </c>
      <c r="D458" s="281" t="str">
        <f>VLOOKUP(Ruimtestaat[[#This Row],[Code]],Locaties[#All],5,FALSE)</f>
        <v>7461 CP</v>
      </c>
      <c r="E458" s="281" t="str">
        <f>VLOOKUP(Ruimtestaat[[#This Row],[Code]],Locaties[#All],6,FALSE)</f>
        <v>Rijssen</v>
      </c>
      <c r="F458" s="282"/>
      <c r="G458" s="283"/>
      <c r="H458" s="280">
        <v>0.31</v>
      </c>
      <c r="I458" s="282" t="s">
        <v>1080</v>
      </c>
      <c r="J458" s="200">
        <v>9</v>
      </c>
      <c r="K458" s="243" t="s">
        <v>1040</v>
      </c>
      <c r="L458" s="284" t="s">
        <v>1122</v>
      </c>
      <c r="M458" s="213">
        <v>23.7</v>
      </c>
      <c r="N458" s="202"/>
      <c r="O458" s="243" t="str">
        <f>VLOOKUP(Ruimtestaat[[#This Row],[Ruimte code]],Ruimtegroepen[#All],4,FALSE)</f>
        <v>V  (Verkeersruimte)</v>
      </c>
      <c r="P458" s="214"/>
      <c r="Q458" s="215">
        <v>40</v>
      </c>
      <c r="R458" s="215" t="s">
        <v>2</v>
      </c>
      <c r="S458" s="215">
        <f>IF(R458&gt;0,IF(RIGHT(Ruimtestaat[[#This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8" s="215">
        <f>IF(S458&gt;0,VLOOKUP($J458,Ruimtegroepen[],3,FALSE)*VLOOKUP($K458,Vloersoorten[],3,FALSE)*VLOOKUP($R458,Frequenties[],3,FALSE)*VLOOKUP($A458,Locaties[],3,FALSE),0)</f>
        <v>0</v>
      </c>
      <c r="U458" s="215">
        <f>Ruimtestaat[[#This Row],[Uitvoeringen werkdagen]]*Ruimtestaat[[#This Row],[Oppervlak (netto)]]</f>
        <v>4740</v>
      </c>
      <c r="V458" s="259">
        <f>IF(T458&gt;0,Ruimtestaat[[#This Row],[Prest. (m2 /jaar) werkdagen]]/Ruimtestaat[[#This Row],[Norm (m2/uur) werkdagen]],0)</f>
        <v>0</v>
      </c>
      <c r="W458" s="260">
        <f>Ruimtestaat[[#This Row],[uren / jaar werkdagen]]*Tariefsopbouw!$D$38</f>
        <v>0</v>
      </c>
      <c r="X458" s="33"/>
      <c r="Y458" s="33">
        <f>IF(Ruimtestaat[[#This Row],[Frequentie weekend]]&gt;0,VALUE(LEFT(X458,1))*Q458,0)</f>
        <v>0</v>
      </c>
      <c r="Z458" s="33">
        <f>IF($Y458&gt;0,VLOOKUP($J458,Ruimtegroepen[],3,FALSE)*VLOOKUP($K458,Vloersoorten[],3,FALSE)*VLOOKUP($X458,Frequenties[],3,FALSE)*VLOOKUP(#REF!,Locaties[],3,FALSE),0)</f>
        <v>0</v>
      </c>
      <c r="AA458" s="33"/>
      <c r="AB458" s="33"/>
      <c r="AC458" s="33">
        <f>Ruimtestaat[[#This Row],[uren / jaar weekend]]*Tariefsopbouw!$D$40</f>
        <v>0</v>
      </c>
      <c r="AD458" s="88">
        <f>Ruimtestaat[[#This Row],[Prest. (m2 /jaar) weekend]]+Ruimtestaat[[#This Row],[Prest. (m2 /jaar) werkdagen]]</f>
        <v>4740</v>
      </c>
      <c r="AE458" s="88">
        <f>Ruimtestaat[[#This Row],[uren / jaar weekend]]+Ruimtestaat[[#This Row],[uren / jaar werkdagen]]</f>
        <v>0</v>
      </c>
      <c r="AF458" s="89">
        <f>Ruimtestaat[[#This Row],[kosten / jaar weekend]]+Ruimtestaat[[#This Row],[kosten / jaar werkdagen]]</f>
        <v>0</v>
      </c>
    </row>
    <row r="459" spans="1:32" ht="15" customHeight="1">
      <c r="A459" s="280">
        <v>4</v>
      </c>
      <c r="B459" s="21" t="str">
        <f>VLOOKUP(Ruimtestaat[[#This Row],[Code]],Locaties[#All],2,FALSE)</f>
        <v>PXC Rijssen</v>
      </c>
      <c r="C459" s="281" t="str">
        <f>VLOOKUP(Ruimtestaat[[#This Row],[Code]],Locaties[#All],4,FALSE)</f>
        <v>Graaf Ottostraat 48</v>
      </c>
      <c r="D459" s="281" t="str">
        <f>VLOOKUP(Ruimtestaat[[#This Row],[Code]],Locaties[#All],5,FALSE)</f>
        <v>7461 CP</v>
      </c>
      <c r="E459" s="281" t="str">
        <f>VLOOKUP(Ruimtestaat[[#This Row],[Code]],Locaties[#All],6,FALSE)</f>
        <v>Rijssen</v>
      </c>
      <c r="F459" s="282"/>
      <c r="G459" s="283"/>
      <c r="H459" s="280">
        <v>0.32</v>
      </c>
      <c r="I459" s="282" t="s">
        <v>1064</v>
      </c>
      <c r="J459" s="200">
        <v>6</v>
      </c>
      <c r="K459" s="243" t="s">
        <v>1040</v>
      </c>
      <c r="L459" s="284" t="s">
        <v>1122</v>
      </c>
      <c r="M459" s="213">
        <v>76.900000000000006</v>
      </c>
      <c r="N459" s="202"/>
      <c r="O459" s="243" t="str">
        <f>VLOOKUP(Ruimtestaat[[#This Row],[Ruimte code]],Ruimtegroepen[#All],4,FALSE)</f>
        <v>V  (Verkeersruimte)</v>
      </c>
      <c r="P459" s="214"/>
      <c r="Q459" s="215">
        <v>40</v>
      </c>
      <c r="R459" s="215" t="s">
        <v>2</v>
      </c>
      <c r="S459" s="215">
        <f>IF(R459&gt;0,IF(RIGHT(Ruimtestaat[[#This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59" s="215">
        <f>IF(S459&gt;0,VLOOKUP($J459,Ruimtegroepen[],3,FALSE)*VLOOKUP($K459,Vloersoorten[],3,FALSE)*VLOOKUP($R459,Frequenties[],3,FALSE)*VLOOKUP($A459,Locaties[],3,FALSE),0)</f>
        <v>0</v>
      </c>
      <c r="U459" s="215">
        <f>Ruimtestaat[[#This Row],[Uitvoeringen werkdagen]]*Ruimtestaat[[#This Row],[Oppervlak (netto)]]</f>
        <v>15380.000000000002</v>
      </c>
      <c r="V459" s="259">
        <f>IF(T459&gt;0,Ruimtestaat[[#This Row],[Prest. (m2 /jaar) werkdagen]]/Ruimtestaat[[#This Row],[Norm (m2/uur) werkdagen]],0)</f>
        <v>0</v>
      </c>
      <c r="W459" s="260">
        <f>Ruimtestaat[[#This Row],[uren / jaar werkdagen]]*Tariefsopbouw!$D$38</f>
        <v>0</v>
      </c>
      <c r="X459" s="33"/>
      <c r="Y459" s="33">
        <f>IF(Ruimtestaat[[#This Row],[Frequentie weekend]]&gt;0,VALUE(LEFT(X459,1))*Q459,0)</f>
        <v>0</v>
      </c>
      <c r="Z459" s="33">
        <f>IF($Y459&gt;0,VLOOKUP($J459,Ruimtegroepen[],3,FALSE)*VLOOKUP($K459,Vloersoorten[],3,FALSE)*VLOOKUP($X459,Frequenties[],3,FALSE)*VLOOKUP(#REF!,Locaties[],3,FALSE),0)</f>
        <v>0</v>
      </c>
      <c r="AA459" s="33"/>
      <c r="AB459" s="33"/>
      <c r="AC459" s="33">
        <f>Ruimtestaat[[#This Row],[uren / jaar weekend]]*Tariefsopbouw!$D$40</f>
        <v>0</v>
      </c>
      <c r="AD459" s="88">
        <f>Ruimtestaat[[#This Row],[Prest. (m2 /jaar) weekend]]+Ruimtestaat[[#This Row],[Prest. (m2 /jaar) werkdagen]]</f>
        <v>15380.000000000002</v>
      </c>
      <c r="AE459" s="88">
        <f>Ruimtestaat[[#This Row],[uren / jaar weekend]]+Ruimtestaat[[#This Row],[uren / jaar werkdagen]]</f>
        <v>0</v>
      </c>
      <c r="AF459" s="89">
        <f>Ruimtestaat[[#This Row],[kosten / jaar weekend]]+Ruimtestaat[[#This Row],[kosten / jaar werkdagen]]</f>
        <v>0</v>
      </c>
    </row>
    <row r="460" spans="1:32" ht="15" customHeight="1">
      <c r="A460" s="280">
        <v>4</v>
      </c>
      <c r="B460" s="21" t="str">
        <f>VLOOKUP(Ruimtestaat[[#This Row],[Code]],Locaties[#All],2,FALSE)</f>
        <v>PXC Rijssen</v>
      </c>
      <c r="C460" s="281" t="str">
        <f>VLOOKUP(Ruimtestaat[[#This Row],[Code]],Locaties[#All],4,FALSE)</f>
        <v>Graaf Ottostraat 48</v>
      </c>
      <c r="D460" s="281" t="str">
        <f>VLOOKUP(Ruimtestaat[[#This Row],[Code]],Locaties[#All],5,FALSE)</f>
        <v>7461 CP</v>
      </c>
      <c r="E460" s="281" t="str">
        <f>VLOOKUP(Ruimtestaat[[#This Row],[Code]],Locaties[#All],6,FALSE)</f>
        <v>Rijssen</v>
      </c>
      <c r="F460" s="282"/>
      <c r="G460" s="283"/>
      <c r="H460" s="280">
        <v>0.33</v>
      </c>
      <c r="I460" s="282" t="s">
        <v>1061</v>
      </c>
      <c r="J460" s="200">
        <v>5</v>
      </c>
      <c r="K460" s="243" t="s">
        <v>111</v>
      </c>
      <c r="L460" s="284" t="s">
        <v>913</v>
      </c>
      <c r="M460" s="213">
        <v>6.69</v>
      </c>
      <c r="N460" s="202"/>
      <c r="O460" s="243" t="str">
        <f>VLOOKUP(Ruimtestaat[[#This Row],[Ruimte code]],Ruimtegroepen[#All],4,FALSE)</f>
        <v>S  (Sanitair)</v>
      </c>
      <c r="P460" s="214"/>
      <c r="Q460" s="215">
        <v>40</v>
      </c>
      <c r="R460" s="215" t="s">
        <v>2</v>
      </c>
      <c r="S460" s="215">
        <f>IF(R460&gt;0,IF(RIGHT(Ruimtestaat[[#This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0" s="215">
        <f>IF(S460&gt;0,VLOOKUP($J460,Ruimtegroepen[],3,FALSE)*VLOOKUP($K460,Vloersoorten[],3,FALSE)*VLOOKUP($R460,Frequenties[],3,FALSE)*VLOOKUP($A460,Locaties[],3,FALSE),0)</f>
        <v>0</v>
      </c>
      <c r="U460" s="215">
        <f>Ruimtestaat[[#This Row],[Uitvoeringen werkdagen]]*Ruimtestaat[[#This Row],[Oppervlak (netto)]]</f>
        <v>1338</v>
      </c>
      <c r="V460" s="259">
        <f>IF(T460&gt;0,Ruimtestaat[[#This Row],[Prest. (m2 /jaar) werkdagen]]/Ruimtestaat[[#This Row],[Norm (m2/uur) werkdagen]],0)</f>
        <v>0</v>
      </c>
      <c r="W460" s="260">
        <f>Ruimtestaat[[#This Row],[uren / jaar werkdagen]]*Tariefsopbouw!$D$38</f>
        <v>0</v>
      </c>
      <c r="X460" s="33"/>
      <c r="Y460" s="33">
        <f>IF(Ruimtestaat[[#This Row],[Frequentie weekend]]&gt;0,VALUE(LEFT(X460,1))*Q460,0)</f>
        <v>0</v>
      </c>
      <c r="Z460" s="33">
        <f>IF($Y460&gt;0,VLOOKUP($J460,Ruimtegroepen[],3,FALSE)*VLOOKUP($K460,Vloersoorten[],3,FALSE)*VLOOKUP($X460,Frequenties[],3,FALSE)*VLOOKUP(#REF!,Locaties[],3,FALSE),0)</f>
        <v>0</v>
      </c>
      <c r="AA460" s="33"/>
      <c r="AB460" s="33"/>
      <c r="AC460" s="33">
        <f>Ruimtestaat[[#This Row],[uren / jaar weekend]]*Tariefsopbouw!$D$40</f>
        <v>0</v>
      </c>
      <c r="AD460" s="88">
        <f>Ruimtestaat[[#This Row],[Prest. (m2 /jaar) weekend]]+Ruimtestaat[[#This Row],[Prest. (m2 /jaar) werkdagen]]</f>
        <v>1338</v>
      </c>
      <c r="AE460" s="88">
        <f>Ruimtestaat[[#This Row],[uren / jaar weekend]]+Ruimtestaat[[#This Row],[uren / jaar werkdagen]]</f>
        <v>0</v>
      </c>
      <c r="AF460" s="89">
        <f>Ruimtestaat[[#This Row],[kosten / jaar weekend]]+Ruimtestaat[[#This Row],[kosten / jaar werkdagen]]</f>
        <v>0</v>
      </c>
    </row>
    <row r="461" spans="1:32" ht="15" customHeight="1">
      <c r="A461" s="280">
        <v>4</v>
      </c>
      <c r="B461" s="21" t="str">
        <f>VLOOKUP(Ruimtestaat[[#This Row],[Code]],Locaties[#All],2,FALSE)</f>
        <v>PXC Rijssen</v>
      </c>
      <c r="C461" s="281" t="str">
        <f>VLOOKUP(Ruimtestaat[[#This Row],[Code]],Locaties[#All],4,FALSE)</f>
        <v>Graaf Ottostraat 48</v>
      </c>
      <c r="D461" s="281" t="str">
        <f>VLOOKUP(Ruimtestaat[[#This Row],[Code]],Locaties[#All],5,FALSE)</f>
        <v>7461 CP</v>
      </c>
      <c r="E461" s="281" t="str">
        <f>VLOOKUP(Ruimtestaat[[#This Row],[Code]],Locaties[#All],6,FALSE)</f>
        <v>Rijssen</v>
      </c>
      <c r="F461" s="282"/>
      <c r="G461" s="283"/>
      <c r="H461" s="280">
        <v>0.34</v>
      </c>
      <c r="I461" s="282" t="s">
        <v>1062</v>
      </c>
      <c r="J461" s="200">
        <v>5</v>
      </c>
      <c r="K461" s="243" t="s">
        <v>111</v>
      </c>
      <c r="L461" s="284" t="s">
        <v>913</v>
      </c>
      <c r="M461" s="213">
        <v>6.79</v>
      </c>
      <c r="N461" s="202"/>
      <c r="O461" s="243" t="str">
        <f>VLOOKUP(Ruimtestaat[[#This Row],[Ruimte code]],Ruimtegroepen[#All],4,FALSE)</f>
        <v>S  (Sanitair)</v>
      </c>
      <c r="P461" s="214"/>
      <c r="Q461" s="215">
        <v>40</v>
      </c>
      <c r="R461" s="215" t="s">
        <v>2</v>
      </c>
      <c r="S461" s="215">
        <f>IF(R461&gt;0,IF(RIGHT(Ruimtestaat[[#This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1" s="215">
        <f>IF(S461&gt;0,VLOOKUP($J461,Ruimtegroepen[],3,FALSE)*VLOOKUP($K461,Vloersoorten[],3,FALSE)*VLOOKUP($R461,Frequenties[],3,FALSE)*VLOOKUP($A461,Locaties[],3,FALSE),0)</f>
        <v>0</v>
      </c>
      <c r="U461" s="215">
        <f>Ruimtestaat[[#This Row],[Uitvoeringen werkdagen]]*Ruimtestaat[[#This Row],[Oppervlak (netto)]]</f>
        <v>1358</v>
      </c>
      <c r="V461" s="259">
        <f>IF(T461&gt;0,Ruimtestaat[[#This Row],[Prest. (m2 /jaar) werkdagen]]/Ruimtestaat[[#This Row],[Norm (m2/uur) werkdagen]],0)</f>
        <v>0</v>
      </c>
      <c r="W461" s="260">
        <f>Ruimtestaat[[#This Row],[uren / jaar werkdagen]]*Tariefsopbouw!$D$38</f>
        <v>0</v>
      </c>
      <c r="X461" s="33"/>
      <c r="Y461" s="33">
        <f>IF(Ruimtestaat[[#This Row],[Frequentie weekend]]&gt;0,VALUE(LEFT(X461,1))*Q461,0)</f>
        <v>0</v>
      </c>
      <c r="Z461" s="33">
        <f>IF($Y461&gt;0,VLOOKUP($J461,Ruimtegroepen[],3,FALSE)*VLOOKUP($K461,Vloersoorten[],3,FALSE)*VLOOKUP($X461,Frequenties[],3,FALSE)*VLOOKUP(#REF!,Locaties[],3,FALSE),0)</f>
        <v>0</v>
      </c>
      <c r="AA461" s="33"/>
      <c r="AB461" s="33"/>
      <c r="AC461" s="33">
        <f>Ruimtestaat[[#This Row],[uren / jaar weekend]]*Tariefsopbouw!$D$40</f>
        <v>0</v>
      </c>
      <c r="AD461" s="88">
        <f>Ruimtestaat[[#This Row],[Prest. (m2 /jaar) weekend]]+Ruimtestaat[[#This Row],[Prest. (m2 /jaar) werkdagen]]</f>
        <v>1358</v>
      </c>
      <c r="AE461" s="88">
        <f>Ruimtestaat[[#This Row],[uren / jaar weekend]]+Ruimtestaat[[#This Row],[uren / jaar werkdagen]]</f>
        <v>0</v>
      </c>
      <c r="AF461" s="89">
        <f>Ruimtestaat[[#This Row],[kosten / jaar weekend]]+Ruimtestaat[[#This Row],[kosten / jaar werkdagen]]</f>
        <v>0</v>
      </c>
    </row>
    <row r="462" spans="1:32" ht="15" customHeight="1">
      <c r="A462" s="280">
        <v>4</v>
      </c>
      <c r="B462" s="21" t="str">
        <f>VLOOKUP(Ruimtestaat[[#This Row],[Code]],Locaties[#All],2,FALSE)</f>
        <v>PXC Rijssen</v>
      </c>
      <c r="C462" s="281" t="str">
        <f>VLOOKUP(Ruimtestaat[[#This Row],[Code]],Locaties[#All],4,FALSE)</f>
        <v>Graaf Ottostraat 48</v>
      </c>
      <c r="D462" s="281" t="str">
        <f>VLOOKUP(Ruimtestaat[[#This Row],[Code]],Locaties[#All],5,FALSE)</f>
        <v>7461 CP</v>
      </c>
      <c r="E462" s="281" t="str">
        <f>VLOOKUP(Ruimtestaat[[#This Row],[Code]],Locaties[#All],6,FALSE)</f>
        <v>Rijssen</v>
      </c>
      <c r="F462" s="282"/>
      <c r="G462" s="283"/>
      <c r="H462" s="280">
        <v>0.35</v>
      </c>
      <c r="I462" s="282" t="s">
        <v>1081</v>
      </c>
      <c r="J462" s="281">
        <v>20</v>
      </c>
      <c r="K462" s="243" t="s">
        <v>111</v>
      </c>
      <c r="L462" s="284" t="s">
        <v>913</v>
      </c>
      <c r="M462" s="213">
        <v>15.81</v>
      </c>
      <c r="N462" s="202"/>
      <c r="O462" s="243" t="str">
        <f>VLOOKUP(Ruimtestaat[[#This Row],[Ruimte code]],Ruimtegroepen[#All],4,FALSE)</f>
        <v>V  (Verkeersruimte)</v>
      </c>
      <c r="P462" s="214"/>
      <c r="Q462" s="215">
        <v>40</v>
      </c>
      <c r="R462" s="215" t="s">
        <v>15</v>
      </c>
      <c r="S462" s="215">
        <f>IF(R462&gt;0,IF(RIGHT(Ruimtestaat[[#This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462" s="215">
        <f>IF(S462&gt;0,VLOOKUP($J462,Ruimtegroepen[],3,FALSE)*VLOOKUP($K462,Vloersoorten[],3,FALSE)*VLOOKUP($R462,Frequenties[],3,FALSE)*VLOOKUP($A462,Locaties[],3,FALSE),0)</f>
        <v>0</v>
      </c>
      <c r="U462" s="215">
        <f>Ruimtestaat[[#This Row],[Uitvoeringen werkdagen]]*Ruimtestaat[[#This Row],[Oppervlak (netto)]]</f>
        <v>632.4</v>
      </c>
      <c r="V462" s="259">
        <f>IF(T462&gt;0,Ruimtestaat[[#This Row],[Prest. (m2 /jaar) werkdagen]]/Ruimtestaat[[#This Row],[Norm (m2/uur) werkdagen]],0)</f>
        <v>0</v>
      </c>
      <c r="W462" s="260">
        <f>Ruimtestaat[[#This Row],[uren / jaar werkdagen]]*Tariefsopbouw!$D$38</f>
        <v>0</v>
      </c>
      <c r="X462" s="33"/>
      <c r="Y462" s="33">
        <f>IF(Ruimtestaat[[#This Row],[Frequentie weekend]]&gt;0,VALUE(LEFT(X462,1))*Q462,0)</f>
        <v>0</v>
      </c>
      <c r="Z462" s="33">
        <f>IF($Y462&gt;0,VLOOKUP($J462,Ruimtegroepen[],3,FALSE)*VLOOKUP($K462,Vloersoorten[],3,FALSE)*VLOOKUP($X462,Frequenties[],3,FALSE)*VLOOKUP(#REF!,Locaties[],3,FALSE),0)</f>
        <v>0</v>
      </c>
      <c r="AA462" s="33"/>
      <c r="AB462" s="33"/>
      <c r="AC462" s="33">
        <f>Ruimtestaat[[#This Row],[uren / jaar weekend]]*Tariefsopbouw!$D$40</f>
        <v>0</v>
      </c>
      <c r="AD462" s="88">
        <f>Ruimtestaat[[#This Row],[Prest. (m2 /jaar) weekend]]+Ruimtestaat[[#This Row],[Prest. (m2 /jaar) werkdagen]]</f>
        <v>632.4</v>
      </c>
      <c r="AE462" s="88">
        <f>Ruimtestaat[[#This Row],[uren / jaar weekend]]+Ruimtestaat[[#This Row],[uren / jaar werkdagen]]</f>
        <v>0</v>
      </c>
      <c r="AF462" s="89">
        <f>Ruimtestaat[[#This Row],[kosten / jaar weekend]]+Ruimtestaat[[#This Row],[kosten / jaar werkdagen]]</f>
        <v>0</v>
      </c>
    </row>
    <row r="463" spans="1:32" ht="15" customHeight="1">
      <c r="A463" s="280">
        <v>4</v>
      </c>
      <c r="B463" s="21" t="str">
        <f>VLOOKUP(Ruimtestaat[[#This Row],[Code]],Locaties[#All],2,FALSE)</f>
        <v>PXC Rijssen</v>
      </c>
      <c r="C463" s="281" t="str">
        <f>VLOOKUP(Ruimtestaat[[#This Row],[Code]],Locaties[#All],4,FALSE)</f>
        <v>Graaf Ottostraat 48</v>
      </c>
      <c r="D463" s="281" t="str">
        <f>VLOOKUP(Ruimtestaat[[#This Row],[Code]],Locaties[#All],5,FALSE)</f>
        <v>7461 CP</v>
      </c>
      <c r="E463" s="281" t="str">
        <f>VLOOKUP(Ruimtestaat[[#This Row],[Code]],Locaties[#All],6,FALSE)</f>
        <v>Rijssen</v>
      </c>
      <c r="F463" s="282"/>
      <c r="G463" s="283"/>
      <c r="H463" s="280">
        <v>0.36</v>
      </c>
      <c r="I463" s="282" t="s">
        <v>1082</v>
      </c>
      <c r="J463" s="200">
        <v>12</v>
      </c>
      <c r="K463" s="243" t="s">
        <v>1042</v>
      </c>
      <c r="L463" s="284" t="s">
        <v>1121</v>
      </c>
      <c r="M463" s="213">
        <v>247.81</v>
      </c>
      <c r="N463" s="202"/>
      <c r="O463" s="243" t="str">
        <f>VLOOKUP(Ruimtestaat[[#This Row],[Ruimte code]],Ruimtegroepen[#All],4,FALSE)</f>
        <v>V  (Verkeersruimte)</v>
      </c>
      <c r="P463" s="214"/>
      <c r="Q463" s="215">
        <v>40</v>
      </c>
      <c r="R463" s="215" t="s">
        <v>2</v>
      </c>
      <c r="S463" s="215">
        <f>IF(R463&gt;0,IF(RIGHT(Ruimtestaat[[#This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3" s="215">
        <f>IF(S463&gt;0,VLOOKUP($J463,Ruimtegroepen[],3,FALSE)*VLOOKUP($K463,Vloersoorten[],3,FALSE)*VLOOKUP($R463,Frequenties[],3,FALSE)*VLOOKUP($A463,Locaties[],3,FALSE),0)</f>
        <v>0</v>
      </c>
      <c r="U463" s="215">
        <f>Ruimtestaat[[#This Row],[Uitvoeringen werkdagen]]*Ruimtestaat[[#This Row],[Oppervlak (netto)]]</f>
        <v>49562</v>
      </c>
      <c r="V463" s="259">
        <f>IF(T463&gt;0,Ruimtestaat[[#This Row],[Prest. (m2 /jaar) werkdagen]]/Ruimtestaat[[#This Row],[Norm (m2/uur) werkdagen]],0)</f>
        <v>0</v>
      </c>
      <c r="W463" s="260">
        <f>Ruimtestaat[[#This Row],[uren / jaar werkdagen]]*Tariefsopbouw!$D$38</f>
        <v>0</v>
      </c>
      <c r="X463" s="33"/>
      <c r="Y463" s="33">
        <f>IF(Ruimtestaat[[#This Row],[Frequentie weekend]]&gt;0,VALUE(LEFT(X463,1))*Q463,0)</f>
        <v>0</v>
      </c>
      <c r="Z463" s="33">
        <f>IF($Y463&gt;0,VLOOKUP($J463,Ruimtegroepen[],3,FALSE)*VLOOKUP($K463,Vloersoorten[],3,FALSE)*VLOOKUP($X463,Frequenties[],3,FALSE)*VLOOKUP(#REF!,Locaties[],3,FALSE),0)</f>
        <v>0</v>
      </c>
      <c r="AA463" s="33"/>
      <c r="AB463" s="33"/>
      <c r="AC463" s="33">
        <f>Ruimtestaat[[#This Row],[uren / jaar weekend]]*Tariefsopbouw!$D$40</f>
        <v>0</v>
      </c>
      <c r="AD463" s="88">
        <f>Ruimtestaat[[#This Row],[Prest. (m2 /jaar) weekend]]+Ruimtestaat[[#This Row],[Prest. (m2 /jaar) werkdagen]]</f>
        <v>49562</v>
      </c>
      <c r="AE463" s="88">
        <f>Ruimtestaat[[#This Row],[uren / jaar weekend]]+Ruimtestaat[[#This Row],[uren / jaar werkdagen]]</f>
        <v>0</v>
      </c>
      <c r="AF463" s="89">
        <f>Ruimtestaat[[#This Row],[kosten / jaar weekend]]+Ruimtestaat[[#This Row],[kosten / jaar werkdagen]]</f>
        <v>0</v>
      </c>
    </row>
    <row r="464" spans="1:32" ht="15" customHeight="1">
      <c r="A464" s="280">
        <v>4</v>
      </c>
      <c r="B464" s="21" t="str">
        <f>VLOOKUP(Ruimtestaat[[#This Row],[Code]],Locaties[#All],2,FALSE)</f>
        <v>PXC Rijssen</v>
      </c>
      <c r="C464" s="281" t="str">
        <f>VLOOKUP(Ruimtestaat[[#This Row],[Code]],Locaties[#All],4,FALSE)</f>
        <v>Graaf Ottostraat 48</v>
      </c>
      <c r="D464" s="281" t="str">
        <f>VLOOKUP(Ruimtestaat[[#This Row],[Code]],Locaties[#All],5,FALSE)</f>
        <v>7461 CP</v>
      </c>
      <c r="E464" s="281" t="str">
        <f>VLOOKUP(Ruimtestaat[[#This Row],[Code]],Locaties[#All],6,FALSE)</f>
        <v>Rijssen</v>
      </c>
      <c r="F464" s="282"/>
      <c r="G464" s="283"/>
      <c r="H464" s="280">
        <v>0.37</v>
      </c>
      <c r="I464" s="282" t="s">
        <v>1076</v>
      </c>
      <c r="J464" s="200">
        <v>1</v>
      </c>
      <c r="K464" s="243" t="s">
        <v>1042</v>
      </c>
      <c r="L464" s="284" t="s">
        <v>1121</v>
      </c>
      <c r="M464" s="213">
        <v>10.77</v>
      </c>
      <c r="N464" s="202"/>
      <c r="O464" s="243" t="str">
        <f>VLOOKUP(Ruimtestaat[[#This Row],[Ruimte code]],Ruimtegroepen[#All],4,FALSE)</f>
        <v>V  (Verkeersruimte)</v>
      </c>
      <c r="P464" s="214"/>
      <c r="Q464" s="215">
        <v>40</v>
      </c>
      <c r="R464" s="215" t="s">
        <v>16</v>
      </c>
      <c r="S464" s="215">
        <f>IF(R464&gt;0,IF(RIGHT(Ruimtestaat[[#This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64" s="215">
        <f>IF(S464&gt;0,VLOOKUP($J464,Ruimtegroepen[],3,FALSE)*VLOOKUP($K464,Vloersoorten[],3,FALSE)*VLOOKUP($R464,Frequenties[],3,FALSE)*VLOOKUP($A464,Locaties[],3,FALSE),0)</f>
        <v>0</v>
      </c>
      <c r="U464" s="215">
        <f>Ruimtestaat[[#This Row],[Uitvoeringen werkdagen]]*Ruimtestaat[[#This Row],[Oppervlak (netto)]]</f>
        <v>129.24</v>
      </c>
      <c r="V464" s="259">
        <f>IF(T464&gt;0,Ruimtestaat[[#This Row],[Prest. (m2 /jaar) werkdagen]]/Ruimtestaat[[#This Row],[Norm (m2/uur) werkdagen]],0)</f>
        <v>0</v>
      </c>
      <c r="W464" s="260">
        <f>Ruimtestaat[[#This Row],[uren / jaar werkdagen]]*Tariefsopbouw!$D$38</f>
        <v>0</v>
      </c>
      <c r="X464" s="33"/>
      <c r="Y464" s="33">
        <f>IF(Ruimtestaat[[#This Row],[Frequentie weekend]]&gt;0,VALUE(LEFT(X464,1))*Q464,0)</f>
        <v>0</v>
      </c>
      <c r="Z464" s="33">
        <f>IF($Y464&gt;0,VLOOKUP($J464,Ruimtegroepen[],3,FALSE)*VLOOKUP($K464,Vloersoorten[],3,FALSE)*VLOOKUP($X464,Frequenties[],3,FALSE)*VLOOKUP(#REF!,Locaties[],3,FALSE),0)</f>
        <v>0</v>
      </c>
      <c r="AA464" s="33"/>
      <c r="AB464" s="33"/>
      <c r="AC464" s="33">
        <f>Ruimtestaat[[#This Row],[uren / jaar weekend]]*Tariefsopbouw!$D$40</f>
        <v>0</v>
      </c>
      <c r="AD464" s="88">
        <f>Ruimtestaat[[#This Row],[Prest. (m2 /jaar) weekend]]+Ruimtestaat[[#This Row],[Prest. (m2 /jaar) werkdagen]]</f>
        <v>129.24</v>
      </c>
      <c r="AE464" s="88">
        <f>Ruimtestaat[[#This Row],[uren / jaar weekend]]+Ruimtestaat[[#This Row],[uren / jaar werkdagen]]</f>
        <v>0</v>
      </c>
      <c r="AF464" s="89">
        <f>Ruimtestaat[[#This Row],[kosten / jaar weekend]]+Ruimtestaat[[#This Row],[kosten / jaar werkdagen]]</f>
        <v>0</v>
      </c>
    </row>
    <row r="465" spans="1:32" ht="15" customHeight="1">
      <c r="A465" s="280">
        <v>4</v>
      </c>
      <c r="B465" s="21" t="str">
        <f>VLOOKUP(Ruimtestaat[[#This Row],[Code]],Locaties[#All],2,FALSE)</f>
        <v>PXC Rijssen</v>
      </c>
      <c r="C465" s="281" t="str">
        <f>VLOOKUP(Ruimtestaat[[#This Row],[Code]],Locaties[#All],4,FALSE)</f>
        <v>Graaf Ottostraat 48</v>
      </c>
      <c r="D465" s="281" t="str">
        <f>VLOOKUP(Ruimtestaat[[#This Row],[Code]],Locaties[#All],5,FALSE)</f>
        <v>7461 CP</v>
      </c>
      <c r="E465" s="281" t="str">
        <f>VLOOKUP(Ruimtestaat[[#This Row],[Code]],Locaties[#All],6,FALSE)</f>
        <v>Rijssen</v>
      </c>
      <c r="F465" s="282"/>
      <c r="G465" s="283"/>
      <c r="H465" s="280">
        <v>0.38</v>
      </c>
      <c r="I465" s="282" t="s">
        <v>1083</v>
      </c>
      <c r="J465" s="200">
        <v>16</v>
      </c>
      <c r="K465" s="243" t="s">
        <v>1040</v>
      </c>
      <c r="L465" s="284" t="s">
        <v>1122</v>
      </c>
      <c r="M465" s="213">
        <v>61.04</v>
      </c>
      <c r="N465" s="202"/>
      <c r="O465" s="243" t="str">
        <f>VLOOKUP(Ruimtestaat[[#This Row],[Ruimte code]],Ruimtegroepen[#All],4,FALSE)</f>
        <v>L  (Lesruimte)</v>
      </c>
      <c r="P465" s="214"/>
      <c r="Q465" s="215">
        <v>40</v>
      </c>
      <c r="R465" s="215" t="s">
        <v>2</v>
      </c>
      <c r="S465" s="215">
        <f>IF(R465&gt;0,IF(RIGHT(Ruimtestaat[[#This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5" s="215">
        <f>IF(S465&gt;0,VLOOKUP($J465,Ruimtegroepen[],3,FALSE)*VLOOKUP($K465,Vloersoorten[],3,FALSE)*VLOOKUP($R465,Frequenties[],3,FALSE)*VLOOKUP($A465,Locaties[],3,FALSE),0)</f>
        <v>0</v>
      </c>
      <c r="U465" s="215">
        <f>Ruimtestaat[[#This Row],[Uitvoeringen werkdagen]]*Ruimtestaat[[#This Row],[Oppervlak (netto)]]</f>
        <v>12208</v>
      </c>
      <c r="V465" s="259">
        <f>IF(T465&gt;0,Ruimtestaat[[#This Row],[Prest. (m2 /jaar) werkdagen]]/Ruimtestaat[[#This Row],[Norm (m2/uur) werkdagen]],0)</f>
        <v>0</v>
      </c>
      <c r="W465" s="260">
        <f>Ruimtestaat[[#This Row],[uren / jaar werkdagen]]*Tariefsopbouw!$D$38</f>
        <v>0</v>
      </c>
      <c r="X465" s="33"/>
      <c r="Y465" s="33">
        <f>IF(Ruimtestaat[[#This Row],[Frequentie weekend]]&gt;0,VALUE(LEFT(X465,1))*Q465,0)</f>
        <v>0</v>
      </c>
      <c r="Z465" s="33">
        <f>IF($Y465&gt;0,VLOOKUP($J465,Ruimtegroepen[],3,FALSE)*VLOOKUP($K465,Vloersoorten[],3,FALSE)*VLOOKUP($X465,Frequenties[],3,FALSE)*VLOOKUP(#REF!,Locaties[],3,FALSE),0)</f>
        <v>0</v>
      </c>
      <c r="AA465" s="33"/>
      <c r="AB465" s="33"/>
      <c r="AC465" s="33">
        <f>Ruimtestaat[[#This Row],[uren / jaar weekend]]*Tariefsopbouw!$D$40</f>
        <v>0</v>
      </c>
      <c r="AD465" s="88">
        <f>Ruimtestaat[[#This Row],[Prest. (m2 /jaar) weekend]]+Ruimtestaat[[#This Row],[Prest. (m2 /jaar) werkdagen]]</f>
        <v>12208</v>
      </c>
      <c r="AE465" s="88">
        <f>Ruimtestaat[[#This Row],[uren / jaar weekend]]+Ruimtestaat[[#This Row],[uren / jaar werkdagen]]</f>
        <v>0</v>
      </c>
      <c r="AF465" s="89">
        <f>Ruimtestaat[[#This Row],[kosten / jaar weekend]]+Ruimtestaat[[#This Row],[kosten / jaar werkdagen]]</f>
        <v>0</v>
      </c>
    </row>
    <row r="466" spans="1:32" ht="15" customHeight="1">
      <c r="A466" s="280">
        <v>4</v>
      </c>
      <c r="B466" s="21" t="str">
        <f>VLOOKUP(Ruimtestaat[[#This Row],[Code]],Locaties[#All],2,FALSE)</f>
        <v>PXC Rijssen</v>
      </c>
      <c r="C466" s="281" t="str">
        <f>VLOOKUP(Ruimtestaat[[#This Row],[Code]],Locaties[#All],4,FALSE)</f>
        <v>Graaf Ottostraat 48</v>
      </c>
      <c r="D466" s="281" t="str">
        <f>VLOOKUP(Ruimtestaat[[#This Row],[Code]],Locaties[#All],5,FALSE)</f>
        <v>7461 CP</v>
      </c>
      <c r="E466" s="281" t="str">
        <f>VLOOKUP(Ruimtestaat[[#This Row],[Code]],Locaties[#All],6,FALSE)</f>
        <v>Rijssen</v>
      </c>
      <c r="F466" s="282"/>
      <c r="G466" s="283"/>
      <c r="H466" s="280">
        <v>0.39</v>
      </c>
      <c r="I466" s="282" t="s">
        <v>1084</v>
      </c>
      <c r="J466" s="200">
        <v>16</v>
      </c>
      <c r="K466" s="243" t="s">
        <v>1040</v>
      </c>
      <c r="L466" s="284" t="s">
        <v>1122</v>
      </c>
      <c r="M466" s="213">
        <v>61.13</v>
      </c>
      <c r="N466" s="202"/>
      <c r="O466" s="243" t="str">
        <f>VLOOKUP(Ruimtestaat[[#This Row],[Ruimte code]],Ruimtegroepen[#All],4,FALSE)</f>
        <v>L  (Lesruimte)</v>
      </c>
      <c r="P466" s="214"/>
      <c r="Q466" s="215">
        <v>40</v>
      </c>
      <c r="R466" s="215" t="s">
        <v>2</v>
      </c>
      <c r="S466" s="215">
        <f>IF(R466&gt;0,IF(RIGHT(Ruimtestaat[[#This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6" s="215">
        <f>IF(S466&gt;0,VLOOKUP($J466,Ruimtegroepen[],3,FALSE)*VLOOKUP($K466,Vloersoorten[],3,FALSE)*VLOOKUP($R466,Frequenties[],3,FALSE)*VLOOKUP($A466,Locaties[],3,FALSE),0)</f>
        <v>0</v>
      </c>
      <c r="U466" s="215">
        <f>Ruimtestaat[[#This Row],[Uitvoeringen werkdagen]]*Ruimtestaat[[#This Row],[Oppervlak (netto)]]</f>
        <v>12226</v>
      </c>
      <c r="V466" s="259">
        <f>IF(T466&gt;0,Ruimtestaat[[#This Row],[Prest. (m2 /jaar) werkdagen]]/Ruimtestaat[[#This Row],[Norm (m2/uur) werkdagen]],0)</f>
        <v>0</v>
      </c>
      <c r="W466" s="260">
        <f>Ruimtestaat[[#This Row],[uren / jaar werkdagen]]*Tariefsopbouw!$D$38</f>
        <v>0</v>
      </c>
      <c r="X466" s="33"/>
      <c r="Y466" s="33">
        <f>IF(Ruimtestaat[[#This Row],[Frequentie weekend]]&gt;0,VALUE(LEFT(X466,1))*Q466,0)</f>
        <v>0</v>
      </c>
      <c r="Z466" s="33">
        <f>IF($Y466&gt;0,VLOOKUP($J466,Ruimtegroepen[],3,FALSE)*VLOOKUP($K466,Vloersoorten[],3,FALSE)*VLOOKUP($X466,Frequenties[],3,FALSE)*VLOOKUP(#REF!,Locaties[],3,FALSE),0)</f>
        <v>0</v>
      </c>
      <c r="AA466" s="33"/>
      <c r="AB466" s="33"/>
      <c r="AC466" s="33">
        <f>Ruimtestaat[[#This Row],[uren / jaar weekend]]*Tariefsopbouw!$D$40</f>
        <v>0</v>
      </c>
      <c r="AD466" s="88">
        <f>Ruimtestaat[[#This Row],[Prest. (m2 /jaar) weekend]]+Ruimtestaat[[#This Row],[Prest. (m2 /jaar) werkdagen]]</f>
        <v>12226</v>
      </c>
      <c r="AE466" s="88">
        <f>Ruimtestaat[[#This Row],[uren / jaar weekend]]+Ruimtestaat[[#This Row],[uren / jaar werkdagen]]</f>
        <v>0</v>
      </c>
      <c r="AF466" s="89">
        <f>Ruimtestaat[[#This Row],[kosten / jaar weekend]]+Ruimtestaat[[#This Row],[kosten / jaar werkdagen]]</f>
        <v>0</v>
      </c>
    </row>
    <row r="467" spans="1:32" ht="15" customHeight="1">
      <c r="A467" s="280">
        <v>4</v>
      </c>
      <c r="B467" s="21" t="str">
        <f>VLOOKUP(Ruimtestaat[[#This Row],[Code]],Locaties[#All],2,FALSE)</f>
        <v>PXC Rijssen</v>
      </c>
      <c r="C467" s="281" t="str">
        <f>VLOOKUP(Ruimtestaat[[#This Row],[Code]],Locaties[#All],4,FALSE)</f>
        <v>Graaf Ottostraat 48</v>
      </c>
      <c r="D467" s="281" t="str">
        <f>VLOOKUP(Ruimtestaat[[#This Row],[Code]],Locaties[#All],5,FALSE)</f>
        <v>7461 CP</v>
      </c>
      <c r="E467" s="281" t="str">
        <f>VLOOKUP(Ruimtestaat[[#This Row],[Code]],Locaties[#All],6,FALSE)</f>
        <v>Rijssen</v>
      </c>
      <c r="F467" s="282"/>
      <c r="G467" s="283"/>
      <c r="H467" s="280">
        <v>0.4</v>
      </c>
      <c r="I467" s="282" t="s">
        <v>1064</v>
      </c>
      <c r="J467" s="200">
        <v>6</v>
      </c>
      <c r="K467" s="243" t="s">
        <v>1040</v>
      </c>
      <c r="L467" s="284" t="s">
        <v>1122</v>
      </c>
      <c r="M467" s="213">
        <v>42.27</v>
      </c>
      <c r="N467" s="213"/>
      <c r="O467" s="243" t="str">
        <f>VLOOKUP(Ruimtestaat[[#This Row],[Ruimte code]],Ruimtegroepen[#All],4,FALSE)</f>
        <v>V  (Verkeersruimte)</v>
      </c>
      <c r="P467" s="214"/>
      <c r="Q467" s="215">
        <v>40</v>
      </c>
      <c r="R467" s="215" t="s">
        <v>2</v>
      </c>
      <c r="S467" s="215">
        <f>IF(R467&gt;0,IF(RIGHT(Ruimtestaat[[#This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7" s="215">
        <f>IF(S467&gt;0,VLOOKUP($J467,Ruimtegroepen[],3,FALSE)*VLOOKUP($K467,Vloersoorten[],3,FALSE)*VLOOKUP($R467,Frequenties[],3,FALSE)*VLOOKUP($A467,Locaties[],3,FALSE),0)</f>
        <v>0</v>
      </c>
      <c r="U467" s="215">
        <f>Ruimtestaat[[#This Row],[Uitvoeringen werkdagen]]*Ruimtestaat[[#This Row],[Oppervlak (netto)]]</f>
        <v>8454</v>
      </c>
      <c r="V467" s="259">
        <f>IF(T467&gt;0,Ruimtestaat[[#This Row],[Prest. (m2 /jaar) werkdagen]]/Ruimtestaat[[#This Row],[Norm (m2/uur) werkdagen]],0)</f>
        <v>0</v>
      </c>
      <c r="W467" s="260">
        <f>Ruimtestaat[[#This Row],[uren / jaar werkdagen]]*Tariefsopbouw!$D$38</f>
        <v>0</v>
      </c>
      <c r="X467" s="33"/>
      <c r="Y467" s="33">
        <f>IF(Ruimtestaat[[#This Row],[Frequentie weekend]]&gt;0,VALUE(LEFT(X467,1))*Q467,0)</f>
        <v>0</v>
      </c>
      <c r="Z467" s="33">
        <f>IF($Y467&gt;0,VLOOKUP($J467,Ruimtegroepen[],3,FALSE)*VLOOKUP($K467,Vloersoorten[],3,FALSE)*VLOOKUP($X467,Frequenties[],3,FALSE)*VLOOKUP(#REF!,Locaties[],3,FALSE),0)</f>
        <v>0</v>
      </c>
      <c r="AA467" s="33"/>
      <c r="AB467" s="33"/>
      <c r="AC467" s="33">
        <f>Ruimtestaat[[#This Row],[uren / jaar weekend]]*Tariefsopbouw!$D$40</f>
        <v>0</v>
      </c>
      <c r="AD467" s="88">
        <f>Ruimtestaat[[#This Row],[Prest. (m2 /jaar) weekend]]+Ruimtestaat[[#This Row],[Prest. (m2 /jaar) werkdagen]]</f>
        <v>8454</v>
      </c>
      <c r="AE467" s="88">
        <f>Ruimtestaat[[#This Row],[uren / jaar weekend]]+Ruimtestaat[[#This Row],[uren / jaar werkdagen]]</f>
        <v>0</v>
      </c>
      <c r="AF467" s="89">
        <f>Ruimtestaat[[#This Row],[kosten / jaar weekend]]+Ruimtestaat[[#This Row],[kosten / jaar werkdagen]]</f>
        <v>0</v>
      </c>
    </row>
    <row r="468" spans="1:32" ht="15" customHeight="1">
      <c r="A468" s="280">
        <v>4</v>
      </c>
      <c r="B468" s="21" t="str">
        <f>VLOOKUP(Ruimtestaat[[#This Row],[Code]],Locaties[#All],2,FALSE)</f>
        <v>PXC Rijssen</v>
      </c>
      <c r="C468" s="281" t="str">
        <f>VLOOKUP(Ruimtestaat[[#This Row],[Code]],Locaties[#All],4,FALSE)</f>
        <v>Graaf Ottostraat 48</v>
      </c>
      <c r="D468" s="281" t="str">
        <f>VLOOKUP(Ruimtestaat[[#This Row],[Code]],Locaties[#All],5,FALSE)</f>
        <v>7461 CP</v>
      </c>
      <c r="E468" s="281" t="str">
        <f>VLOOKUP(Ruimtestaat[[#This Row],[Code]],Locaties[#All],6,FALSE)</f>
        <v>Rijssen</v>
      </c>
      <c r="F468" s="282"/>
      <c r="G468" s="283"/>
      <c r="H468" s="280">
        <v>0.42</v>
      </c>
      <c r="I468" s="282" t="s">
        <v>1085</v>
      </c>
      <c r="J468" s="200">
        <v>1</v>
      </c>
      <c r="K468" s="243" t="s">
        <v>1043</v>
      </c>
      <c r="L468" s="284" t="s">
        <v>920</v>
      </c>
      <c r="M468" s="213">
        <v>6.34</v>
      </c>
      <c r="N468" s="202"/>
      <c r="O468" s="243" t="str">
        <f>VLOOKUP(Ruimtestaat[[#This Row],[Ruimte code]],Ruimtegroepen[#All],4,FALSE)</f>
        <v>V  (Verkeersruimte)</v>
      </c>
      <c r="P468" s="214"/>
      <c r="Q468" s="215">
        <v>40</v>
      </c>
      <c r="R468" s="215" t="s">
        <v>16</v>
      </c>
      <c r="S468" s="215">
        <f>IF(R468&gt;0,IF(RIGHT(Ruimtestaat[[#This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68" s="215">
        <f>IF(S468&gt;0,VLOOKUP($J468,Ruimtegroepen[],3,FALSE)*VLOOKUP($K468,Vloersoorten[],3,FALSE)*VLOOKUP($R468,Frequenties[],3,FALSE)*VLOOKUP($A468,Locaties[],3,FALSE),0)</f>
        <v>0</v>
      </c>
      <c r="U468" s="215">
        <f>Ruimtestaat[[#This Row],[Uitvoeringen werkdagen]]*Ruimtestaat[[#This Row],[Oppervlak (netto)]]</f>
        <v>76.08</v>
      </c>
      <c r="V468" s="259">
        <f>IF(T468&gt;0,Ruimtestaat[[#This Row],[Prest. (m2 /jaar) werkdagen]]/Ruimtestaat[[#This Row],[Norm (m2/uur) werkdagen]],0)</f>
        <v>0</v>
      </c>
      <c r="W468" s="260">
        <f>Ruimtestaat[[#This Row],[uren / jaar werkdagen]]*Tariefsopbouw!$D$38</f>
        <v>0</v>
      </c>
      <c r="X468" s="33"/>
      <c r="Y468" s="33">
        <f>IF(Ruimtestaat[[#This Row],[Frequentie weekend]]&gt;0,VALUE(LEFT(X468,1))*Q468,0)</f>
        <v>0</v>
      </c>
      <c r="Z468" s="33">
        <f>IF($Y468&gt;0,VLOOKUP($J468,Ruimtegroepen[],3,FALSE)*VLOOKUP($K468,Vloersoorten[],3,FALSE)*VLOOKUP($X468,Frequenties[],3,FALSE)*VLOOKUP(#REF!,Locaties[],3,FALSE),0)</f>
        <v>0</v>
      </c>
      <c r="AA468" s="33"/>
      <c r="AB468" s="33"/>
      <c r="AC468" s="33">
        <f>Ruimtestaat[[#This Row],[uren / jaar weekend]]*Tariefsopbouw!$D$40</f>
        <v>0</v>
      </c>
      <c r="AD468" s="88">
        <f>Ruimtestaat[[#This Row],[Prest. (m2 /jaar) weekend]]+Ruimtestaat[[#This Row],[Prest. (m2 /jaar) werkdagen]]</f>
        <v>76.08</v>
      </c>
      <c r="AE468" s="88">
        <f>Ruimtestaat[[#This Row],[uren / jaar weekend]]+Ruimtestaat[[#This Row],[uren / jaar werkdagen]]</f>
        <v>0</v>
      </c>
      <c r="AF468" s="89">
        <f>Ruimtestaat[[#This Row],[kosten / jaar weekend]]+Ruimtestaat[[#This Row],[kosten / jaar werkdagen]]</f>
        <v>0</v>
      </c>
    </row>
    <row r="469" spans="1:32" ht="15" customHeight="1">
      <c r="A469" s="280">
        <v>4</v>
      </c>
      <c r="B469" s="21" t="str">
        <f>VLOOKUP(Ruimtestaat[[#This Row],[Code]],Locaties[#All],2,FALSE)</f>
        <v>PXC Rijssen</v>
      </c>
      <c r="C469" s="281" t="str">
        <f>VLOOKUP(Ruimtestaat[[#This Row],[Code]],Locaties[#All],4,FALSE)</f>
        <v>Graaf Ottostraat 48</v>
      </c>
      <c r="D469" s="281" t="str">
        <f>VLOOKUP(Ruimtestaat[[#This Row],[Code]],Locaties[#All],5,FALSE)</f>
        <v>7461 CP</v>
      </c>
      <c r="E469" s="281" t="str">
        <f>VLOOKUP(Ruimtestaat[[#This Row],[Code]],Locaties[#All],6,FALSE)</f>
        <v>Rijssen</v>
      </c>
      <c r="F469" s="282"/>
      <c r="G469" s="283"/>
      <c r="H469" s="280">
        <v>0.43</v>
      </c>
      <c r="I469" s="282" t="s">
        <v>1086</v>
      </c>
      <c r="J469" s="200">
        <v>11</v>
      </c>
      <c r="K469" s="243" t="s">
        <v>111</v>
      </c>
      <c r="L469" s="284" t="s">
        <v>913</v>
      </c>
      <c r="M469" s="213">
        <v>83.18</v>
      </c>
      <c r="N469" s="213"/>
      <c r="O469" s="243" t="str">
        <f>VLOOKUP(Ruimtestaat[[#This Row],[Ruimte code]],Ruimtegroepen[#All],4,FALSE)</f>
        <v>L  (Lesruimte)</v>
      </c>
      <c r="P469" s="214"/>
      <c r="Q469" s="215">
        <v>40</v>
      </c>
      <c r="R469" s="215" t="s">
        <v>2</v>
      </c>
      <c r="S469" s="215">
        <f>IF(R469&gt;0,IF(RIGHT(Ruimtestaat[[#This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69" s="215">
        <f>IF(S469&gt;0,VLOOKUP($J469,Ruimtegroepen[],3,FALSE)*VLOOKUP($K469,Vloersoorten[],3,FALSE)*VLOOKUP($R469,Frequenties[],3,FALSE)*VLOOKUP($A469,Locaties[],3,FALSE),0)</f>
        <v>0</v>
      </c>
      <c r="U469" s="215">
        <f>Ruimtestaat[[#This Row],[Uitvoeringen werkdagen]]*Ruimtestaat[[#This Row],[Oppervlak (netto)]]</f>
        <v>16636</v>
      </c>
      <c r="V469" s="259">
        <f>IF(T469&gt;0,Ruimtestaat[[#This Row],[Prest. (m2 /jaar) werkdagen]]/Ruimtestaat[[#This Row],[Norm (m2/uur) werkdagen]],0)</f>
        <v>0</v>
      </c>
      <c r="W469" s="260">
        <f>Ruimtestaat[[#This Row],[uren / jaar werkdagen]]*Tariefsopbouw!$D$38</f>
        <v>0</v>
      </c>
      <c r="X469" s="33"/>
      <c r="Y469" s="33">
        <f>IF(Ruimtestaat[[#This Row],[Frequentie weekend]]&gt;0,VALUE(LEFT(X469,1))*Q469,0)</f>
        <v>0</v>
      </c>
      <c r="Z469" s="33">
        <f>IF($Y469&gt;0,VLOOKUP($J469,Ruimtegroepen[],3,FALSE)*VLOOKUP($K469,Vloersoorten[],3,FALSE)*VLOOKUP($X469,Frequenties[],3,FALSE)*VLOOKUP(#REF!,Locaties[],3,FALSE),0)</f>
        <v>0</v>
      </c>
      <c r="AA469" s="33"/>
      <c r="AB469" s="33"/>
      <c r="AC469" s="33">
        <f>Ruimtestaat[[#This Row],[uren / jaar weekend]]*Tariefsopbouw!$D$40</f>
        <v>0</v>
      </c>
      <c r="AD469" s="88">
        <f>Ruimtestaat[[#This Row],[Prest. (m2 /jaar) weekend]]+Ruimtestaat[[#This Row],[Prest. (m2 /jaar) werkdagen]]</f>
        <v>16636</v>
      </c>
      <c r="AE469" s="88">
        <f>Ruimtestaat[[#This Row],[uren / jaar weekend]]+Ruimtestaat[[#This Row],[uren / jaar werkdagen]]</f>
        <v>0</v>
      </c>
      <c r="AF469" s="89">
        <f>Ruimtestaat[[#This Row],[kosten / jaar weekend]]+Ruimtestaat[[#This Row],[kosten / jaar werkdagen]]</f>
        <v>0</v>
      </c>
    </row>
    <row r="470" spans="1:32" ht="15" customHeight="1">
      <c r="A470" s="280">
        <v>4</v>
      </c>
      <c r="B470" s="21" t="str">
        <f>VLOOKUP(Ruimtestaat[[#This Row],[Code]],Locaties[#All],2,FALSE)</f>
        <v>PXC Rijssen</v>
      </c>
      <c r="C470" s="281" t="str">
        <f>VLOOKUP(Ruimtestaat[[#This Row],[Code]],Locaties[#All],4,FALSE)</f>
        <v>Graaf Ottostraat 48</v>
      </c>
      <c r="D470" s="281" t="str">
        <f>VLOOKUP(Ruimtestaat[[#This Row],[Code]],Locaties[#All],5,FALSE)</f>
        <v>7461 CP</v>
      </c>
      <c r="E470" s="281" t="str">
        <f>VLOOKUP(Ruimtestaat[[#This Row],[Code]],Locaties[#All],6,FALSE)</f>
        <v>Rijssen</v>
      </c>
      <c r="F470" s="282"/>
      <c r="G470" s="283"/>
      <c r="H470" s="280">
        <v>0.44</v>
      </c>
      <c r="I470" s="282" t="s">
        <v>1063</v>
      </c>
      <c r="J470" s="200">
        <v>1</v>
      </c>
      <c r="K470" s="243" t="s">
        <v>111</v>
      </c>
      <c r="L470" s="284" t="s">
        <v>913</v>
      </c>
      <c r="M470" s="213">
        <v>13.08</v>
      </c>
      <c r="N470" s="202"/>
      <c r="O470" s="243" t="str">
        <f>VLOOKUP(Ruimtestaat[[#This Row],[Ruimte code]],Ruimtegroepen[#All],4,FALSE)</f>
        <v>V  (Verkeersruimte)</v>
      </c>
      <c r="P470" s="214"/>
      <c r="Q470" s="215">
        <v>40</v>
      </c>
      <c r="R470" s="215" t="s">
        <v>16</v>
      </c>
      <c r="S470" s="215">
        <f>IF(R470&gt;0,IF(RIGHT(Ruimtestaat[[#This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70" s="215">
        <f>IF(S470&gt;0,VLOOKUP($J470,Ruimtegroepen[],3,FALSE)*VLOOKUP($K470,Vloersoorten[],3,FALSE)*VLOOKUP($R470,Frequenties[],3,FALSE)*VLOOKUP($A470,Locaties[],3,FALSE),0)</f>
        <v>0</v>
      </c>
      <c r="U470" s="215">
        <f>Ruimtestaat[[#This Row],[Uitvoeringen werkdagen]]*Ruimtestaat[[#This Row],[Oppervlak (netto)]]</f>
        <v>156.96</v>
      </c>
      <c r="V470" s="259">
        <f>IF(T470&gt;0,Ruimtestaat[[#This Row],[Prest. (m2 /jaar) werkdagen]]/Ruimtestaat[[#This Row],[Norm (m2/uur) werkdagen]],0)</f>
        <v>0</v>
      </c>
      <c r="W470" s="260">
        <f>Ruimtestaat[[#This Row],[uren / jaar werkdagen]]*Tariefsopbouw!$D$38</f>
        <v>0</v>
      </c>
      <c r="X470" s="33"/>
      <c r="Y470" s="33">
        <f>IF(Ruimtestaat[[#This Row],[Frequentie weekend]]&gt;0,VALUE(LEFT(X470,1))*Q470,0)</f>
        <v>0</v>
      </c>
      <c r="Z470" s="33">
        <f>IF($Y470&gt;0,VLOOKUP($J470,Ruimtegroepen[],3,FALSE)*VLOOKUP($K470,Vloersoorten[],3,FALSE)*VLOOKUP($X470,Frequenties[],3,FALSE)*VLOOKUP(#REF!,Locaties[],3,FALSE),0)</f>
        <v>0</v>
      </c>
      <c r="AA470" s="33"/>
      <c r="AB470" s="33"/>
      <c r="AC470" s="33">
        <f>Ruimtestaat[[#This Row],[uren / jaar weekend]]*Tariefsopbouw!$D$40</f>
        <v>0</v>
      </c>
      <c r="AD470" s="88">
        <f>Ruimtestaat[[#This Row],[Prest. (m2 /jaar) weekend]]+Ruimtestaat[[#This Row],[Prest. (m2 /jaar) werkdagen]]</f>
        <v>156.96</v>
      </c>
      <c r="AE470" s="88">
        <f>Ruimtestaat[[#This Row],[uren / jaar weekend]]+Ruimtestaat[[#This Row],[uren / jaar werkdagen]]</f>
        <v>0</v>
      </c>
      <c r="AF470" s="89">
        <f>Ruimtestaat[[#This Row],[kosten / jaar weekend]]+Ruimtestaat[[#This Row],[kosten / jaar werkdagen]]</f>
        <v>0</v>
      </c>
    </row>
    <row r="471" spans="1:32" ht="15" customHeight="1">
      <c r="A471" s="280">
        <v>4</v>
      </c>
      <c r="B471" s="21" t="str">
        <f>VLOOKUP(Ruimtestaat[[#This Row],[Code]],Locaties[#All],2,FALSE)</f>
        <v>PXC Rijssen</v>
      </c>
      <c r="C471" s="281" t="str">
        <f>VLOOKUP(Ruimtestaat[[#This Row],[Code]],Locaties[#All],4,FALSE)</f>
        <v>Graaf Ottostraat 48</v>
      </c>
      <c r="D471" s="281" t="str">
        <f>VLOOKUP(Ruimtestaat[[#This Row],[Code]],Locaties[#All],5,FALSE)</f>
        <v>7461 CP</v>
      </c>
      <c r="E471" s="281" t="str">
        <f>VLOOKUP(Ruimtestaat[[#This Row],[Code]],Locaties[#All],6,FALSE)</f>
        <v>Rijssen</v>
      </c>
      <c r="F471" s="282"/>
      <c r="G471" s="283"/>
      <c r="H471" s="280">
        <v>0.45</v>
      </c>
      <c r="I471" s="282" t="s">
        <v>1087</v>
      </c>
      <c r="J471" s="200">
        <v>21</v>
      </c>
      <c r="K471" s="243" t="s">
        <v>111</v>
      </c>
      <c r="L471" s="284" t="s">
        <v>913</v>
      </c>
      <c r="M471" s="213">
        <v>13.02</v>
      </c>
      <c r="N471" s="202"/>
      <c r="O471" s="243" t="str">
        <f>VLOOKUP(Ruimtestaat[[#This Row],[Ruimte code]],Ruimtegroepen[#All],4,FALSE)</f>
        <v>Niet in onderhoud</v>
      </c>
      <c r="P471" s="214"/>
      <c r="Q471" s="215">
        <v>40</v>
      </c>
      <c r="R471" s="215"/>
      <c r="S471" s="215">
        <f>IF(R471&gt;0,IF(RIGHT(Ruimtestaat[[#This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71" s="215">
        <f>IF(S471&gt;0,VLOOKUP($J471,Ruimtegroepen[],3,FALSE)*VLOOKUP($K471,Vloersoorten[],3,FALSE)*VLOOKUP($R471,Frequenties[],3,FALSE)*VLOOKUP($A471,Locaties[],3,FALSE),0)</f>
        <v>0</v>
      </c>
      <c r="U471" s="215">
        <f>Ruimtestaat[[#This Row],[Uitvoeringen werkdagen]]*Ruimtestaat[[#This Row],[Oppervlak (netto)]]</f>
        <v>0</v>
      </c>
      <c r="V471" s="259">
        <f>IF(T471&gt;0,Ruimtestaat[[#This Row],[Prest. (m2 /jaar) werkdagen]]/Ruimtestaat[[#This Row],[Norm (m2/uur) werkdagen]],0)</f>
        <v>0</v>
      </c>
      <c r="W471" s="260">
        <f>Ruimtestaat[[#This Row],[uren / jaar werkdagen]]*Tariefsopbouw!$D$38</f>
        <v>0</v>
      </c>
      <c r="X471" s="33"/>
      <c r="Y471" s="33">
        <f>IF(Ruimtestaat[[#This Row],[Frequentie weekend]]&gt;0,VALUE(LEFT(X471,1))*Q471,0)</f>
        <v>0</v>
      </c>
      <c r="Z471" s="33">
        <f>IF($Y471&gt;0,VLOOKUP($J471,Ruimtegroepen[],3,FALSE)*VLOOKUP($K471,Vloersoorten[],3,FALSE)*VLOOKUP($X471,Frequenties[],3,FALSE)*VLOOKUP(#REF!,Locaties[],3,FALSE),0)</f>
        <v>0</v>
      </c>
      <c r="AA471" s="33"/>
      <c r="AB471" s="33"/>
      <c r="AC471" s="33">
        <f>Ruimtestaat[[#This Row],[uren / jaar weekend]]*Tariefsopbouw!$D$40</f>
        <v>0</v>
      </c>
      <c r="AD471" s="88">
        <f>Ruimtestaat[[#This Row],[Prest. (m2 /jaar) weekend]]+Ruimtestaat[[#This Row],[Prest. (m2 /jaar) werkdagen]]</f>
        <v>0</v>
      </c>
      <c r="AE471" s="88">
        <f>Ruimtestaat[[#This Row],[uren / jaar weekend]]+Ruimtestaat[[#This Row],[uren / jaar werkdagen]]</f>
        <v>0</v>
      </c>
      <c r="AF471" s="89">
        <f>Ruimtestaat[[#This Row],[kosten / jaar weekend]]+Ruimtestaat[[#This Row],[kosten / jaar werkdagen]]</f>
        <v>0</v>
      </c>
    </row>
    <row r="472" spans="1:32" ht="15" customHeight="1">
      <c r="A472" s="280">
        <v>4</v>
      </c>
      <c r="B472" s="21" t="str">
        <f>VLOOKUP(Ruimtestaat[[#This Row],[Code]],Locaties[#All],2,FALSE)</f>
        <v>PXC Rijssen</v>
      </c>
      <c r="C472" s="281" t="str">
        <f>VLOOKUP(Ruimtestaat[[#This Row],[Code]],Locaties[#All],4,FALSE)</f>
        <v>Graaf Ottostraat 48</v>
      </c>
      <c r="D472" s="281" t="str">
        <f>VLOOKUP(Ruimtestaat[[#This Row],[Code]],Locaties[#All],5,FALSE)</f>
        <v>7461 CP</v>
      </c>
      <c r="E472" s="281" t="str">
        <f>VLOOKUP(Ruimtestaat[[#This Row],[Code]],Locaties[#All],6,FALSE)</f>
        <v>Rijssen</v>
      </c>
      <c r="F472" s="282"/>
      <c r="G472" s="283"/>
      <c r="H472" s="280">
        <v>0.46</v>
      </c>
      <c r="I472" s="282" t="s">
        <v>1088</v>
      </c>
      <c r="J472" s="200">
        <v>11</v>
      </c>
      <c r="K472" s="243" t="s">
        <v>111</v>
      </c>
      <c r="L472" s="284" t="s">
        <v>913</v>
      </c>
      <c r="M472" s="213">
        <v>81.709999999999994</v>
      </c>
      <c r="N472" s="202"/>
      <c r="O472" s="243" t="str">
        <f>VLOOKUP(Ruimtestaat[[#This Row],[Ruimte code]],Ruimtegroepen[#All],4,FALSE)</f>
        <v>L  (Lesruimte)</v>
      </c>
      <c r="P472" s="214"/>
      <c r="Q472" s="215">
        <v>40</v>
      </c>
      <c r="R472" s="215" t="s">
        <v>2</v>
      </c>
      <c r="S472" s="215">
        <f>IF(R472&gt;0,IF(RIGHT(Ruimtestaat[[#This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2" s="215">
        <f>IF(S472&gt;0,VLOOKUP($J472,Ruimtegroepen[],3,FALSE)*VLOOKUP($K472,Vloersoorten[],3,FALSE)*VLOOKUP($R472,Frequenties[],3,FALSE)*VLOOKUP($A472,Locaties[],3,FALSE),0)</f>
        <v>0</v>
      </c>
      <c r="U472" s="215">
        <f>Ruimtestaat[[#This Row],[Uitvoeringen werkdagen]]*Ruimtestaat[[#This Row],[Oppervlak (netto)]]</f>
        <v>16341.999999999998</v>
      </c>
      <c r="V472" s="259">
        <f>IF(T472&gt;0,Ruimtestaat[[#This Row],[Prest. (m2 /jaar) werkdagen]]/Ruimtestaat[[#This Row],[Norm (m2/uur) werkdagen]],0)</f>
        <v>0</v>
      </c>
      <c r="W472" s="260">
        <f>Ruimtestaat[[#This Row],[uren / jaar werkdagen]]*Tariefsopbouw!$D$38</f>
        <v>0</v>
      </c>
      <c r="X472" s="33"/>
      <c r="Y472" s="33">
        <f>IF(Ruimtestaat[[#This Row],[Frequentie weekend]]&gt;0,VALUE(LEFT(X472,1))*Q472,0)</f>
        <v>0</v>
      </c>
      <c r="Z472" s="33">
        <f>IF($Y472&gt;0,VLOOKUP($J472,Ruimtegroepen[],3,FALSE)*VLOOKUP($K472,Vloersoorten[],3,FALSE)*VLOOKUP($X472,Frequenties[],3,FALSE)*VLOOKUP(#REF!,Locaties[],3,FALSE),0)</f>
        <v>0</v>
      </c>
      <c r="AA472" s="33"/>
      <c r="AB472" s="33"/>
      <c r="AC472" s="33">
        <f>Ruimtestaat[[#This Row],[uren / jaar weekend]]*Tariefsopbouw!$D$40</f>
        <v>0</v>
      </c>
      <c r="AD472" s="88">
        <f>Ruimtestaat[[#This Row],[Prest. (m2 /jaar) weekend]]+Ruimtestaat[[#This Row],[Prest. (m2 /jaar) werkdagen]]</f>
        <v>16341.999999999998</v>
      </c>
      <c r="AE472" s="88">
        <f>Ruimtestaat[[#This Row],[uren / jaar weekend]]+Ruimtestaat[[#This Row],[uren / jaar werkdagen]]</f>
        <v>0</v>
      </c>
      <c r="AF472" s="89">
        <f>Ruimtestaat[[#This Row],[kosten / jaar weekend]]+Ruimtestaat[[#This Row],[kosten / jaar werkdagen]]</f>
        <v>0</v>
      </c>
    </row>
    <row r="473" spans="1:32" ht="15" customHeight="1">
      <c r="A473" s="280">
        <v>4</v>
      </c>
      <c r="B473" s="21" t="str">
        <f>VLOOKUP(Ruimtestaat[[#This Row],[Code]],Locaties[#All],2,FALSE)</f>
        <v>PXC Rijssen</v>
      </c>
      <c r="C473" s="281" t="str">
        <f>VLOOKUP(Ruimtestaat[[#This Row],[Code]],Locaties[#All],4,FALSE)</f>
        <v>Graaf Ottostraat 48</v>
      </c>
      <c r="D473" s="281" t="str">
        <f>VLOOKUP(Ruimtestaat[[#This Row],[Code]],Locaties[#All],5,FALSE)</f>
        <v>7461 CP</v>
      </c>
      <c r="E473" s="281" t="str">
        <f>VLOOKUP(Ruimtestaat[[#This Row],[Code]],Locaties[#All],6,FALSE)</f>
        <v>Rijssen</v>
      </c>
      <c r="F473" s="282"/>
      <c r="G473" s="283"/>
      <c r="H473" s="280">
        <v>0.47</v>
      </c>
      <c r="I473" s="282" t="s">
        <v>1089</v>
      </c>
      <c r="J473" s="200">
        <v>11</v>
      </c>
      <c r="K473" s="243" t="s">
        <v>1040</v>
      </c>
      <c r="L473" s="284" t="s">
        <v>1122</v>
      </c>
      <c r="M473" s="213">
        <v>85.95</v>
      </c>
      <c r="N473" s="202"/>
      <c r="O473" s="243" t="str">
        <f>VLOOKUP(Ruimtestaat[[#This Row],[Ruimte code]],Ruimtegroepen[#All],4,FALSE)</f>
        <v>L  (Lesruimte)</v>
      </c>
      <c r="P473" s="214"/>
      <c r="Q473" s="215">
        <v>40</v>
      </c>
      <c r="R473" s="215" t="s">
        <v>2</v>
      </c>
      <c r="S473" s="215">
        <f>IF(R473&gt;0,IF(RIGHT(Ruimtestaat[[#This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3" s="215">
        <f>IF(S473&gt;0,VLOOKUP($J473,Ruimtegroepen[],3,FALSE)*VLOOKUP($K473,Vloersoorten[],3,FALSE)*VLOOKUP($R473,Frequenties[],3,FALSE)*VLOOKUP($A473,Locaties[],3,FALSE),0)</f>
        <v>0</v>
      </c>
      <c r="U473" s="215">
        <f>Ruimtestaat[[#This Row],[Uitvoeringen werkdagen]]*Ruimtestaat[[#This Row],[Oppervlak (netto)]]</f>
        <v>17190</v>
      </c>
      <c r="V473" s="259">
        <f>IF(T473&gt;0,Ruimtestaat[[#This Row],[Prest. (m2 /jaar) werkdagen]]/Ruimtestaat[[#This Row],[Norm (m2/uur) werkdagen]],0)</f>
        <v>0</v>
      </c>
      <c r="W473" s="260">
        <f>Ruimtestaat[[#This Row],[uren / jaar werkdagen]]*Tariefsopbouw!$D$38</f>
        <v>0</v>
      </c>
      <c r="X473" s="33"/>
      <c r="Y473" s="33">
        <f>IF(Ruimtestaat[[#This Row],[Frequentie weekend]]&gt;0,VALUE(LEFT(X473,1))*Q473,0)</f>
        <v>0</v>
      </c>
      <c r="Z473" s="33">
        <f>IF($Y473&gt;0,VLOOKUP($J473,Ruimtegroepen[],3,FALSE)*VLOOKUP($K473,Vloersoorten[],3,FALSE)*VLOOKUP($X473,Frequenties[],3,FALSE)*VLOOKUP(#REF!,Locaties[],3,FALSE),0)</f>
        <v>0</v>
      </c>
      <c r="AA473" s="33"/>
      <c r="AB473" s="33"/>
      <c r="AC473" s="33">
        <f>Ruimtestaat[[#This Row],[uren / jaar weekend]]*Tariefsopbouw!$D$40</f>
        <v>0</v>
      </c>
      <c r="AD473" s="88">
        <f>Ruimtestaat[[#This Row],[Prest. (m2 /jaar) weekend]]+Ruimtestaat[[#This Row],[Prest. (m2 /jaar) werkdagen]]</f>
        <v>17190</v>
      </c>
      <c r="AE473" s="88">
        <f>Ruimtestaat[[#This Row],[uren / jaar weekend]]+Ruimtestaat[[#This Row],[uren / jaar werkdagen]]</f>
        <v>0</v>
      </c>
      <c r="AF473" s="89">
        <f>Ruimtestaat[[#This Row],[kosten / jaar weekend]]+Ruimtestaat[[#This Row],[kosten / jaar werkdagen]]</f>
        <v>0</v>
      </c>
    </row>
    <row r="474" spans="1:32" ht="15" customHeight="1">
      <c r="A474" s="280">
        <v>4</v>
      </c>
      <c r="B474" s="21" t="str">
        <f>VLOOKUP(Ruimtestaat[[#This Row],[Code]],Locaties[#All],2,FALSE)</f>
        <v>PXC Rijssen</v>
      </c>
      <c r="C474" s="281" t="str">
        <f>VLOOKUP(Ruimtestaat[[#This Row],[Code]],Locaties[#All],4,FALSE)</f>
        <v>Graaf Ottostraat 48</v>
      </c>
      <c r="D474" s="281" t="str">
        <f>VLOOKUP(Ruimtestaat[[#This Row],[Code]],Locaties[#All],5,FALSE)</f>
        <v>7461 CP</v>
      </c>
      <c r="E474" s="281" t="str">
        <f>VLOOKUP(Ruimtestaat[[#This Row],[Code]],Locaties[#All],6,FALSE)</f>
        <v>Rijssen</v>
      </c>
      <c r="F474" s="282"/>
      <c r="G474" s="283"/>
      <c r="H474" s="280">
        <v>0.48</v>
      </c>
      <c r="I474" s="282" t="s">
        <v>1061</v>
      </c>
      <c r="J474" s="200">
        <v>5</v>
      </c>
      <c r="K474" s="243" t="s">
        <v>111</v>
      </c>
      <c r="L474" s="284" t="s">
        <v>913</v>
      </c>
      <c r="M474" s="213">
        <v>6.23</v>
      </c>
      <c r="N474" s="202"/>
      <c r="O474" s="243" t="str">
        <f>VLOOKUP(Ruimtestaat[[#This Row],[Ruimte code]],Ruimtegroepen[#All],4,FALSE)</f>
        <v>S  (Sanitair)</v>
      </c>
      <c r="P474" s="214"/>
      <c r="Q474" s="215">
        <v>40</v>
      </c>
      <c r="R474" s="215" t="s">
        <v>2</v>
      </c>
      <c r="S474" s="215">
        <f>IF(R474&gt;0,IF(RIGHT(Ruimtestaat[[#This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4" s="215">
        <f>IF(S474&gt;0,VLOOKUP($J474,Ruimtegroepen[],3,FALSE)*VLOOKUP($K474,Vloersoorten[],3,FALSE)*VLOOKUP($R474,Frequenties[],3,FALSE)*VLOOKUP($A474,Locaties[],3,FALSE),0)</f>
        <v>0</v>
      </c>
      <c r="U474" s="215">
        <f>Ruimtestaat[[#This Row],[Uitvoeringen werkdagen]]*Ruimtestaat[[#This Row],[Oppervlak (netto)]]</f>
        <v>1246</v>
      </c>
      <c r="V474" s="259">
        <f>IF(T474&gt;0,Ruimtestaat[[#This Row],[Prest. (m2 /jaar) werkdagen]]/Ruimtestaat[[#This Row],[Norm (m2/uur) werkdagen]],0)</f>
        <v>0</v>
      </c>
      <c r="W474" s="260">
        <f>Ruimtestaat[[#This Row],[uren / jaar werkdagen]]*Tariefsopbouw!$D$38</f>
        <v>0</v>
      </c>
      <c r="X474" s="33"/>
      <c r="Y474" s="33">
        <f>IF(Ruimtestaat[[#This Row],[Frequentie weekend]]&gt;0,VALUE(LEFT(X474,1))*Q474,0)</f>
        <v>0</v>
      </c>
      <c r="Z474" s="33">
        <f>IF($Y474&gt;0,VLOOKUP($J474,Ruimtegroepen[],3,FALSE)*VLOOKUP($K474,Vloersoorten[],3,FALSE)*VLOOKUP($X474,Frequenties[],3,FALSE)*VLOOKUP(#REF!,Locaties[],3,FALSE),0)</f>
        <v>0</v>
      </c>
      <c r="AA474" s="33"/>
      <c r="AB474" s="33"/>
      <c r="AC474" s="33">
        <f>Ruimtestaat[[#This Row],[uren / jaar weekend]]*Tariefsopbouw!$D$40</f>
        <v>0</v>
      </c>
      <c r="AD474" s="88">
        <f>Ruimtestaat[[#This Row],[Prest. (m2 /jaar) weekend]]+Ruimtestaat[[#This Row],[Prest. (m2 /jaar) werkdagen]]</f>
        <v>1246</v>
      </c>
      <c r="AE474" s="88">
        <f>Ruimtestaat[[#This Row],[uren / jaar weekend]]+Ruimtestaat[[#This Row],[uren / jaar werkdagen]]</f>
        <v>0</v>
      </c>
      <c r="AF474" s="89">
        <f>Ruimtestaat[[#This Row],[kosten / jaar weekend]]+Ruimtestaat[[#This Row],[kosten / jaar werkdagen]]</f>
        <v>0</v>
      </c>
    </row>
    <row r="475" spans="1:32" ht="15" customHeight="1">
      <c r="A475" s="280">
        <v>4</v>
      </c>
      <c r="B475" s="21" t="str">
        <f>VLOOKUP(Ruimtestaat[[#This Row],[Code]],Locaties[#All],2,FALSE)</f>
        <v>PXC Rijssen</v>
      </c>
      <c r="C475" s="281" t="str">
        <f>VLOOKUP(Ruimtestaat[[#This Row],[Code]],Locaties[#All],4,FALSE)</f>
        <v>Graaf Ottostraat 48</v>
      </c>
      <c r="D475" s="281" t="str">
        <f>VLOOKUP(Ruimtestaat[[#This Row],[Code]],Locaties[#All],5,FALSE)</f>
        <v>7461 CP</v>
      </c>
      <c r="E475" s="281" t="str">
        <f>VLOOKUP(Ruimtestaat[[#This Row],[Code]],Locaties[#All],6,FALSE)</f>
        <v>Rijssen</v>
      </c>
      <c r="F475" s="282"/>
      <c r="G475" s="283"/>
      <c r="H475" s="280">
        <v>0.49</v>
      </c>
      <c r="I475" s="282" t="s">
        <v>1062</v>
      </c>
      <c r="J475" s="200">
        <v>5</v>
      </c>
      <c r="K475" s="243" t="s">
        <v>111</v>
      </c>
      <c r="L475" s="284" t="s">
        <v>913</v>
      </c>
      <c r="M475" s="213">
        <v>5.96</v>
      </c>
      <c r="N475" s="202"/>
      <c r="O475" s="243" t="str">
        <f>VLOOKUP(Ruimtestaat[[#This Row],[Ruimte code]],Ruimtegroepen[#All],4,FALSE)</f>
        <v>S  (Sanitair)</v>
      </c>
      <c r="P475" s="214"/>
      <c r="Q475" s="215">
        <v>40</v>
      </c>
      <c r="R475" s="215" t="s">
        <v>2</v>
      </c>
      <c r="S475" s="215">
        <f>IF(R475&gt;0,IF(RIGHT(Ruimtestaat[[#This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5" s="215">
        <f>IF(S475&gt;0,VLOOKUP($J475,Ruimtegroepen[],3,FALSE)*VLOOKUP($K475,Vloersoorten[],3,FALSE)*VLOOKUP($R475,Frequenties[],3,FALSE)*VLOOKUP($A475,Locaties[],3,FALSE),0)</f>
        <v>0</v>
      </c>
      <c r="U475" s="215">
        <f>Ruimtestaat[[#This Row],[Uitvoeringen werkdagen]]*Ruimtestaat[[#This Row],[Oppervlak (netto)]]</f>
        <v>1192</v>
      </c>
      <c r="V475" s="259">
        <f>IF(T475&gt;0,Ruimtestaat[[#This Row],[Prest. (m2 /jaar) werkdagen]]/Ruimtestaat[[#This Row],[Norm (m2/uur) werkdagen]],0)</f>
        <v>0</v>
      </c>
      <c r="W475" s="260">
        <f>Ruimtestaat[[#This Row],[uren / jaar werkdagen]]*Tariefsopbouw!$D$38</f>
        <v>0</v>
      </c>
      <c r="X475" s="33"/>
      <c r="Y475" s="33">
        <f>IF(Ruimtestaat[[#This Row],[Frequentie weekend]]&gt;0,VALUE(LEFT(X475,1))*Q475,0)</f>
        <v>0</v>
      </c>
      <c r="Z475" s="33">
        <f>IF($Y475&gt;0,VLOOKUP($J475,Ruimtegroepen[],3,FALSE)*VLOOKUP($K475,Vloersoorten[],3,FALSE)*VLOOKUP($X475,Frequenties[],3,FALSE)*VLOOKUP(#REF!,Locaties[],3,FALSE),0)</f>
        <v>0</v>
      </c>
      <c r="AA475" s="33"/>
      <c r="AB475" s="33"/>
      <c r="AC475" s="33">
        <f>Ruimtestaat[[#This Row],[uren / jaar weekend]]*Tariefsopbouw!$D$40</f>
        <v>0</v>
      </c>
      <c r="AD475" s="88">
        <f>Ruimtestaat[[#This Row],[Prest. (m2 /jaar) weekend]]+Ruimtestaat[[#This Row],[Prest. (m2 /jaar) werkdagen]]</f>
        <v>1192</v>
      </c>
      <c r="AE475" s="88">
        <f>Ruimtestaat[[#This Row],[uren / jaar weekend]]+Ruimtestaat[[#This Row],[uren / jaar werkdagen]]</f>
        <v>0</v>
      </c>
      <c r="AF475" s="89">
        <f>Ruimtestaat[[#This Row],[kosten / jaar weekend]]+Ruimtestaat[[#This Row],[kosten / jaar werkdagen]]</f>
        <v>0</v>
      </c>
    </row>
    <row r="476" spans="1:32" ht="15" customHeight="1">
      <c r="A476" s="280">
        <v>4</v>
      </c>
      <c r="B476" s="21" t="str">
        <f>VLOOKUP(Ruimtestaat[[#This Row],[Code]],Locaties[#All],2,FALSE)</f>
        <v>PXC Rijssen</v>
      </c>
      <c r="C476" s="281" t="str">
        <f>VLOOKUP(Ruimtestaat[[#This Row],[Code]],Locaties[#All],4,FALSE)</f>
        <v>Graaf Ottostraat 48</v>
      </c>
      <c r="D476" s="281" t="str">
        <f>VLOOKUP(Ruimtestaat[[#This Row],[Code]],Locaties[#All],5,FALSE)</f>
        <v>7461 CP</v>
      </c>
      <c r="E476" s="281" t="str">
        <f>VLOOKUP(Ruimtestaat[[#This Row],[Code]],Locaties[#All],6,FALSE)</f>
        <v>Rijssen</v>
      </c>
      <c r="F476" s="282"/>
      <c r="G476" s="283"/>
      <c r="H476" s="280">
        <v>0.5</v>
      </c>
      <c r="I476" s="282" t="s">
        <v>1063</v>
      </c>
      <c r="J476" s="200">
        <v>1</v>
      </c>
      <c r="K476" s="243" t="s">
        <v>1042</v>
      </c>
      <c r="L476" s="284" t="s">
        <v>1121</v>
      </c>
      <c r="M476" s="213">
        <v>14.47</v>
      </c>
      <c r="N476" s="202"/>
      <c r="O476" s="243" t="str">
        <f>VLOOKUP(Ruimtestaat[[#This Row],[Ruimte code]],Ruimtegroepen[#All],4,FALSE)</f>
        <v>V  (Verkeersruimte)</v>
      </c>
      <c r="P476" s="214"/>
      <c r="Q476" s="215">
        <v>40</v>
      </c>
      <c r="R476" s="215" t="s">
        <v>16</v>
      </c>
      <c r="S476" s="215">
        <f>IF(R476&gt;0,IF(RIGHT(Ruimtestaat[[#This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76" s="215">
        <f>IF(S476&gt;0,VLOOKUP($J476,Ruimtegroepen[],3,FALSE)*VLOOKUP($K476,Vloersoorten[],3,FALSE)*VLOOKUP($R476,Frequenties[],3,FALSE)*VLOOKUP($A476,Locaties[],3,FALSE),0)</f>
        <v>0</v>
      </c>
      <c r="U476" s="215">
        <f>Ruimtestaat[[#This Row],[Uitvoeringen werkdagen]]*Ruimtestaat[[#This Row],[Oppervlak (netto)]]</f>
        <v>173.64000000000001</v>
      </c>
      <c r="V476" s="259">
        <f>IF(T476&gt;0,Ruimtestaat[[#This Row],[Prest. (m2 /jaar) werkdagen]]/Ruimtestaat[[#This Row],[Norm (m2/uur) werkdagen]],0)</f>
        <v>0</v>
      </c>
      <c r="W476" s="260">
        <f>Ruimtestaat[[#This Row],[uren / jaar werkdagen]]*Tariefsopbouw!$D$38</f>
        <v>0</v>
      </c>
      <c r="X476" s="33"/>
      <c r="Y476" s="33">
        <f>IF(Ruimtestaat[[#This Row],[Frequentie weekend]]&gt;0,VALUE(LEFT(X476,1))*Q476,0)</f>
        <v>0</v>
      </c>
      <c r="Z476" s="33">
        <f>IF($Y476&gt;0,VLOOKUP($J476,Ruimtegroepen[],3,FALSE)*VLOOKUP($K476,Vloersoorten[],3,FALSE)*VLOOKUP($X476,Frequenties[],3,FALSE)*VLOOKUP(#REF!,Locaties[],3,FALSE),0)</f>
        <v>0</v>
      </c>
      <c r="AA476" s="33"/>
      <c r="AB476" s="33"/>
      <c r="AC476" s="33">
        <f>Ruimtestaat[[#This Row],[uren / jaar weekend]]*Tariefsopbouw!$D$40</f>
        <v>0</v>
      </c>
      <c r="AD476" s="88">
        <f>Ruimtestaat[[#This Row],[Prest. (m2 /jaar) weekend]]+Ruimtestaat[[#This Row],[Prest. (m2 /jaar) werkdagen]]</f>
        <v>173.64000000000001</v>
      </c>
      <c r="AE476" s="88">
        <f>Ruimtestaat[[#This Row],[uren / jaar weekend]]+Ruimtestaat[[#This Row],[uren / jaar werkdagen]]</f>
        <v>0</v>
      </c>
      <c r="AF476" s="89">
        <f>Ruimtestaat[[#This Row],[kosten / jaar weekend]]+Ruimtestaat[[#This Row],[kosten / jaar werkdagen]]</f>
        <v>0</v>
      </c>
    </row>
    <row r="477" spans="1:32" ht="15" customHeight="1">
      <c r="A477" s="280">
        <v>4</v>
      </c>
      <c r="B477" s="21" t="str">
        <f>VLOOKUP(Ruimtestaat[[#This Row],[Code]],Locaties[#All],2,FALSE)</f>
        <v>PXC Rijssen</v>
      </c>
      <c r="C477" s="281" t="str">
        <f>VLOOKUP(Ruimtestaat[[#This Row],[Code]],Locaties[#All],4,FALSE)</f>
        <v>Graaf Ottostraat 48</v>
      </c>
      <c r="D477" s="281" t="str">
        <f>VLOOKUP(Ruimtestaat[[#This Row],[Code]],Locaties[#All],5,FALSE)</f>
        <v>7461 CP</v>
      </c>
      <c r="E477" s="281" t="str">
        <f>VLOOKUP(Ruimtestaat[[#This Row],[Code]],Locaties[#All],6,FALSE)</f>
        <v>Rijssen</v>
      </c>
      <c r="F477" s="282"/>
      <c r="G477" s="283"/>
      <c r="H477" s="280">
        <v>0.51</v>
      </c>
      <c r="I477" s="282" t="s">
        <v>1064</v>
      </c>
      <c r="J477" s="200">
        <v>6</v>
      </c>
      <c r="K477" s="243" t="s">
        <v>1040</v>
      </c>
      <c r="L477" s="284" t="s">
        <v>1122</v>
      </c>
      <c r="M477" s="213">
        <v>20.54</v>
      </c>
      <c r="N477" s="213"/>
      <c r="O477" s="243" t="str">
        <f>VLOOKUP(Ruimtestaat[[#This Row],[Ruimte code]],Ruimtegroepen[#All],4,FALSE)</f>
        <v>V  (Verkeersruimte)</v>
      </c>
      <c r="P477" s="214"/>
      <c r="Q477" s="215">
        <v>40</v>
      </c>
      <c r="R477" s="215" t="s">
        <v>2</v>
      </c>
      <c r="S477" s="215">
        <f>IF(R477&gt;0,IF(RIGHT(Ruimtestaat[[#This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77" s="215">
        <f>IF(S477&gt;0,VLOOKUP($J477,Ruimtegroepen[],3,FALSE)*VLOOKUP($K477,Vloersoorten[],3,FALSE)*VLOOKUP($R477,Frequenties[],3,FALSE)*VLOOKUP($A477,Locaties[],3,FALSE),0)</f>
        <v>0</v>
      </c>
      <c r="U477" s="215">
        <f>Ruimtestaat[[#This Row],[Uitvoeringen werkdagen]]*Ruimtestaat[[#This Row],[Oppervlak (netto)]]</f>
        <v>4108</v>
      </c>
      <c r="V477" s="259">
        <f>IF(T477&gt;0,Ruimtestaat[[#This Row],[Prest. (m2 /jaar) werkdagen]]/Ruimtestaat[[#This Row],[Norm (m2/uur) werkdagen]],0)</f>
        <v>0</v>
      </c>
      <c r="W477" s="260">
        <f>Ruimtestaat[[#This Row],[uren / jaar werkdagen]]*Tariefsopbouw!$D$38</f>
        <v>0</v>
      </c>
      <c r="X477" s="33"/>
      <c r="Y477" s="33">
        <f>IF(Ruimtestaat[[#This Row],[Frequentie weekend]]&gt;0,VALUE(LEFT(X477,1))*Q477,0)</f>
        <v>0</v>
      </c>
      <c r="Z477" s="33">
        <f>IF($Y477&gt;0,VLOOKUP($J477,Ruimtegroepen[],3,FALSE)*VLOOKUP($K477,Vloersoorten[],3,FALSE)*VLOOKUP($X477,Frequenties[],3,FALSE)*VLOOKUP(#REF!,Locaties[],3,FALSE),0)</f>
        <v>0</v>
      </c>
      <c r="AA477" s="33"/>
      <c r="AB477" s="33"/>
      <c r="AC477" s="33">
        <f>Ruimtestaat[[#This Row],[uren / jaar weekend]]*Tariefsopbouw!$D$40</f>
        <v>0</v>
      </c>
      <c r="AD477" s="88">
        <f>Ruimtestaat[[#This Row],[Prest. (m2 /jaar) weekend]]+Ruimtestaat[[#This Row],[Prest. (m2 /jaar) werkdagen]]</f>
        <v>4108</v>
      </c>
      <c r="AE477" s="88">
        <f>Ruimtestaat[[#This Row],[uren / jaar weekend]]+Ruimtestaat[[#This Row],[uren / jaar werkdagen]]</f>
        <v>0</v>
      </c>
      <c r="AF477" s="89">
        <f>Ruimtestaat[[#This Row],[kosten / jaar weekend]]+Ruimtestaat[[#This Row],[kosten / jaar werkdagen]]</f>
        <v>0</v>
      </c>
    </row>
    <row r="478" spans="1:32" ht="15" customHeight="1">
      <c r="A478" s="280">
        <v>4</v>
      </c>
      <c r="B478" s="21" t="str">
        <f>VLOOKUP(Ruimtestaat[[#This Row],[Code]],Locaties[#All],2,FALSE)</f>
        <v>PXC Rijssen</v>
      </c>
      <c r="C478" s="281" t="str">
        <f>VLOOKUP(Ruimtestaat[[#This Row],[Code]],Locaties[#All],4,FALSE)</f>
        <v>Graaf Ottostraat 48</v>
      </c>
      <c r="D478" s="281" t="str">
        <f>VLOOKUP(Ruimtestaat[[#This Row],[Code]],Locaties[#All],5,FALSE)</f>
        <v>7461 CP</v>
      </c>
      <c r="E478" s="281" t="str">
        <f>VLOOKUP(Ruimtestaat[[#This Row],[Code]],Locaties[#All],6,FALSE)</f>
        <v>Rijssen</v>
      </c>
      <c r="F478" s="282"/>
      <c r="G478" s="283"/>
      <c r="H478" s="280">
        <v>0.52</v>
      </c>
      <c r="I478" s="282" t="s">
        <v>1090</v>
      </c>
      <c r="J478" s="200">
        <v>21</v>
      </c>
      <c r="K478" s="243" t="s">
        <v>1040</v>
      </c>
      <c r="L478" s="284" t="s">
        <v>1122</v>
      </c>
      <c r="M478" s="213">
        <v>5.76</v>
      </c>
      <c r="N478" s="202"/>
      <c r="O478" s="243" t="str">
        <f>VLOOKUP(Ruimtestaat[[#This Row],[Ruimte code]],Ruimtegroepen[#All],4,FALSE)</f>
        <v>Niet in onderhoud</v>
      </c>
      <c r="P478" s="214"/>
      <c r="Q478" s="215">
        <v>40</v>
      </c>
      <c r="R478" s="215"/>
      <c r="S478" s="215">
        <f>IF(R478&gt;0,IF(RIGHT(Ruimtestaat[[#This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78" s="215">
        <f>IF(S478&gt;0,VLOOKUP($J478,Ruimtegroepen[],3,FALSE)*VLOOKUP($K478,Vloersoorten[],3,FALSE)*VLOOKUP($R478,Frequenties[],3,FALSE)*VLOOKUP($A478,Locaties[],3,FALSE),0)</f>
        <v>0</v>
      </c>
      <c r="U478" s="215">
        <f>Ruimtestaat[[#This Row],[Uitvoeringen werkdagen]]*Ruimtestaat[[#This Row],[Oppervlak (netto)]]</f>
        <v>0</v>
      </c>
      <c r="V478" s="259">
        <f>IF(T478&gt;0,Ruimtestaat[[#This Row],[Prest. (m2 /jaar) werkdagen]]/Ruimtestaat[[#This Row],[Norm (m2/uur) werkdagen]],0)</f>
        <v>0</v>
      </c>
      <c r="W478" s="260">
        <f>Ruimtestaat[[#This Row],[uren / jaar werkdagen]]*Tariefsopbouw!$D$38</f>
        <v>0</v>
      </c>
      <c r="X478" s="33"/>
      <c r="Y478" s="33">
        <f>IF(Ruimtestaat[[#This Row],[Frequentie weekend]]&gt;0,VALUE(LEFT(X478,1))*Q478,0)</f>
        <v>0</v>
      </c>
      <c r="Z478" s="33">
        <f>IF($Y478&gt;0,VLOOKUP($J478,Ruimtegroepen[],3,FALSE)*VLOOKUP($K478,Vloersoorten[],3,FALSE)*VLOOKUP($X478,Frequenties[],3,FALSE)*VLOOKUP(#REF!,Locaties[],3,FALSE),0)</f>
        <v>0</v>
      </c>
      <c r="AA478" s="33"/>
      <c r="AB478" s="33"/>
      <c r="AC478" s="33">
        <f>Ruimtestaat[[#This Row],[uren / jaar weekend]]*Tariefsopbouw!$D$40</f>
        <v>0</v>
      </c>
      <c r="AD478" s="88">
        <f>Ruimtestaat[[#This Row],[Prest. (m2 /jaar) weekend]]+Ruimtestaat[[#This Row],[Prest. (m2 /jaar) werkdagen]]</f>
        <v>0</v>
      </c>
      <c r="AE478" s="88">
        <f>Ruimtestaat[[#This Row],[uren / jaar weekend]]+Ruimtestaat[[#This Row],[uren / jaar werkdagen]]</f>
        <v>0</v>
      </c>
      <c r="AF478" s="89">
        <f>Ruimtestaat[[#This Row],[kosten / jaar weekend]]+Ruimtestaat[[#This Row],[kosten / jaar werkdagen]]</f>
        <v>0</v>
      </c>
    </row>
    <row r="479" spans="1:32" ht="15" customHeight="1">
      <c r="A479" s="280">
        <v>4</v>
      </c>
      <c r="B479" s="21" t="str">
        <f>VLOOKUP(Ruimtestaat[[#This Row],[Code]],Locaties[#All],2,FALSE)</f>
        <v>PXC Rijssen</v>
      </c>
      <c r="C479" s="281" t="str">
        <f>VLOOKUP(Ruimtestaat[[#This Row],[Code]],Locaties[#All],4,FALSE)</f>
        <v>Graaf Ottostraat 48</v>
      </c>
      <c r="D479" s="281" t="str">
        <f>VLOOKUP(Ruimtestaat[[#This Row],[Code]],Locaties[#All],5,FALSE)</f>
        <v>7461 CP</v>
      </c>
      <c r="E479" s="281" t="str">
        <f>VLOOKUP(Ruimtestaat[[#This Row],[Code]],Locaties[#All],6,FALSE)</f>
        <v>Rijssen</v>
      </c>
      <c r="F479" s="282"/>
      <c r="G479" s="283"/>
      <c r="H479" s="280">
        <v>0.53</v>
      </c>
      <c r="I479" s="282" t="s">
        <v>1091</v>
      </c>
      <c r="J479" s="200">
        <v>21</v>
      </c>
      <c r="K479" s="243" t="s">
        <v>1042</v>
      </c>
      <c r="L479" s="284" t="s">
        <v>1121</v>
      </c>
      <c r="M479" s="213">
        <v>1.53</v>
      </c>
      <c r="N479" s="202"/>
      <c r="O479" s="243" t="str">
        <f>VLOOKUP(Ruimtestaat[[#This Row],[Ruimte code]],Ruimtegroepen[#All],4,FALSE)</f>
        <v>Niet in onderhoud</v>
      </c>
      <c r="P479" s="214"/>
      <c r="Q479" s="215">
        <v>40</v>
      </c>
      <c r="R479" s="215"/>
      <c r="S479" s="215">
        <f>IF(R479&gt;0,IF(RIGHT(Ruimtestaat[[#This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79" s="215">
        <f>IF(S479&gt;0,VLOOKUP($J479,Ruimtegroepen[],3,FALSE)*VLOOKUP($K479,Vloersoorten[],3,FALSE)*VLOOKUP($R479,Frequenties[],3,FALSE)*VLOOKUP($A479,Locaties[],3,FALSE),0)</f>
        <v>0</v>
      </c>
      <c r="U479" s="215">
        <f>Ruimtestaat[[#This Row],[Uitvoeringen werkdagen]]*Ruimtestaat[[#This Row],[Oppervlak (netto)]]</f>
        <v>0</v>
      </c>
      <c r="V479" s="259">
        <f>IF(T479&gt;0,Ruimtestaat[[#This Row],[Prest. (m2 /jaar) werkdagen]]/Ruimtestaat[[#This Row],[Norm (m2/uur) werkdagen]],0)</f>
        <v>0</v>
      </c>
      <c r="W479" s="260">
        <f>Ruimtestaat[[#This Row],[uren / jaar werkdagen]]*Tariefsopbouw!$D$38</f>
        <v>0</v>
      </c>
      <c r="X479" s="33"/>
      <c r="Y479" s="33">
        <f>IF(Ruimtestaat[[#This Row],[Frequentie weekend]]&gt;0,VALUE(LEFT(X479,1))*Q479,0)</f>
        <v>0</v>
      </c>
      <c r="Z479" s="33">
        <f>IF($Y479&gt;0,VLOOKUP($J479,Ruimtegroepen[],3,FALSE)*VLOOKUP($K479,Vloersoorten[],3,FALSE)*VLOOKUP($X479,Frequenties[],3,FALSE)*VLOOKUP(#REF!,Locaties[],3,FALSE),0)</f>
        <v>0</v>
      </c>
      <c r="AA479" s="33"/>
      <c r="AB479" s="33"/>
      <c r="AC479" s="33">
        <f>Ruimtestaat[[#This Row],[uren / jaar weekend]]*Tariefsopbouw!$D$40</f>
        <v>0</v>
      </c>
      <c r="AD479" s="88">
        <f>Ruimtestaat[[#This Row],[Prest. (m2 /jaar) weekend]]+Ruimtestaat[[#This Row],[Prest. (m2 /jaar) werkdagen]]</f>
        <v>0</v>
      </c>
      <c r="AE479" s="88">
        <f>Ruimtestaat[[#This Row],[uren / jaar weekend]]+Ruimtestaat[[#This Row],[uren / jaar werkdagen]]</f>
        <v>0</v>
      </c>
      <c r="AF479" s="89">
        <f>Ruimtestaat[[#This Row],[kosten / jaar weekend]]+Ruimtestaat[[#This Row],[kosten / jaar werkdagen]]</f>
        <v>0</v>
      </c>
    </row>
    <row r="480" spans="1:32" ht="15" customHeight="1">
      <c r="A480" s="280">
        <v>4</v>
      </c>
      <c r="B480" s="21" t="str">
        <f>VLOOKUP(Ruimtestaat[[#This Row],[Code]],Locaties[#All],2,FALSE)</f>
        <v>PXC Rijssen</v>
      </c>
      <c r="C480" s="281" t="str">
        <f>VLOOKUP(Ruimtestaat[[#This Row],[Code]],Locaties[#All],4,FALSE)</f>
        <v>Graaf Ottostraat 48</v>
      </c>
      <c r="D480" s="281" t="str">
        <f>VLOOKUP(Ruimtestaat[[#This Row],[Code]],Locaties[#All],5,FALSE)</f>
        <v>7461 CP</v>
      </c>
      <c r="E480" s="281" t="str">
        <f>VLOOKUP(Ruimtestaat[[#This Row],[Code]],Locaties[#All],6,FALSE)</f>
        <v>Rijssen</v>
      </c>
      <c r="F480" s="282"/>
      <c r="G480" s="283"/>
      <c r="H480" s="280">
        <v>0.54</v>
      </c>
      <c r="I480" s="282" t="s">
        <v>1092</v>
      </c>
      <c r="J480" s="200">
        <v>19</v>
      </c>
      <c r="K480" s="243" t="s">
        <v>111</v>
      </c>
      <c r="L480" s="284" t="s">
        <v>913</v>
      </c>
      <c r="M480" s="213">
        <v>26.5</v>
      </c>
      <c r="N480" s="202"/>
      <c r="O480" s="243" t="str">
        <f>VLOOKUP(Ruimtestaat[[#This Row],[Ruimte code]],Ruimtegroepen[#All],4,FALSE)</f>
        <v>V  (Verkeersruimte)</v>
      </c>
      <c r="P480" s="214"/>
      <c r="Q480" s="215">
        <v>40</v>
      </c>
      <c r="R480" s="215" t="s">
        <v>2</v>
      </c>
      <c r="S480" s="215">
        <f>IF(R480&gt;0,IF(RIGHT(Ruimtestaat[[#This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0" s="215">
        <f>IF(S480&gt;0,VLOOKUP($J480,Ruimtegroepen[],3,FALSE)*VLOOKUP($K480,Vloersoorten[],3,FALSE)*VLOOKUP($R480,Frequenties[],3,FALSE)*VLOOKUP($A480,Locaties[],3,FALSE),0)</f>
        <v>0</v>
      </c>
      <c r="U480" s="215">
        <f>Ruimtestaat[[#This Row],[Uitvoeringen werkdagen]]*Ruimtestaat[[#This Row],[Oppervlak (netto)]]</f>
        <v>5300</v>
      </c>
      <c r="V480" s="259">
        <f>IF(T480&gt;0,Ruimtestaat[[#This Row],[Prest. (m2 /jaar) werkdagen]]/Ruimtestaat[[#This Row],[Norm (m2/uur) werkdagen]],0)</f>
        <v>0</v>
      </c>
      <c r="W480" s="260">
        <f>Ruimtestaat[[#This Row],[uren / jaar werkdagen]]*Tariefsopbouw!$D$38</f>
        <v>0</v>
      </c>
      <c r="X480" s="33"/>
      <c r="Y480" s="33">
        <f>IF(Ruimtestaat[[#This Row],[Frequentie weekend]]&gt;0,VALUE(LEFT(X480,1))*Q480,0)</f>
        <v>0</v>
      </c>
      <c r="Z480" s="33">
        <f>IF($Y480&gt;0,VLOOKUP($J480,Ruimtegroepen[],3,FALSE)*VLOOKUP($K480,Vloersoorten[],3,FALSE)*VLOOKUP($X480,Frequenties[],3,FALSE)*VLOOKUP(#REF!,Locaties[],3,FALSE),0)</f>
        <v>0</v>
      </c>
      <c r="AA480" s="33"/>
      <c r="AB480" s="33"/>
      <c r="AC480" s="33">
        <f>Ruimtestaat[[#This Row],[uren / jaar weekend]]*Tariefsopbouw!$D$40</f>
        <v>0</v>
      </c>
      <c r="AD480" s="88">
        <f>Ruimtestaat[[#This Row],[Prest. (m2 /jaar) weekend]]+Ruimtestaat[[#This Row],[Prest. (m2 /jaar) werkdagen]]</f>
        <v>5300</v>
      </c>
      <c r="AE480" s="88">
        <f>Ruimtestaat[[#This Row],[uren / jaar weekend]]+Ruimtestaat[[#This Row],[uren / jaar werkdagen]]</f>
        <v>0</v>
      </c>
      <c r="AF480" s="89">
        <f>Ruimtestaat[[#This Row],[kosten / jaar weekend]]+Ruimtestaat[[#This Row],[kosten / jaar werkdagen]]</f>
        <v>0</v>
      </c>
    </row>
    <row r="481" spans="1:32" ht="15" customHeight="1">
      <c r="A481" s="280">
        <v>4</v>
      </c>
      <c r="B481" s="21" t="str">
        <f>VLOOKUP(Ruimtestaat[[#This Row],[Code]],Locaties[#All],2,FALSE)</f>
        <v>PXC Rijssen</v>
      </c>
      <c r="C481" s="281" t="str">
        <f>VLOOKUP(Ruimtestaat[[#This Row],[Code]],Locaties[#All],4,FALSE)</f>
        <v>Graaf Ottostraat 48</v>
      </c>
      <c r="D481" s="281" t="str">
        <f>VLOOKUP(Ruimtestaat[[#This Row],[Code]],Locaties[#All],5,FALSE)</f>
        <v>7461 CP</v>
      </c>
      <c r="E481" s="281" t="str">
        <f>VLOOKUP(Ruimtestaat[[#This Row],[Code]],Locaties[#All],6,FALSE)</f>
        <v>Rijssen</v>
      </c>
      <c r="F481" s="282"/>
      <c r="G481" s="283"/>
      <c r="H481" s="280">
        <v>0.55000000000000004</v>
      </c>
      <c r="I481" s="282" t="s">
        <v>1093</v>
      </c>
      <c r="J481" s="200">
        <v>19</v>
      </c>
      <c r="K481" s="243" t="s">
        <v>111</v>
      </c>
      <c r="L481" s="284" t="s">
        <v>913</v>
      </c>
      <c r="M481" s="213">
        <v>10.5</v>
      </c>
      <c r="N481" s="213"/>
      <c r="O481" s="243" t="str">
        <f>VLOOKUP(Ruimtestaat[[#This Row],[Ruimte code]],Ruimtegroepen[#All],4,FALSE)</f>
        <v>V  (Verkeersruimte)</v>
      </c>
      <c r="P481" s="214"/>
      <c r="Q481" s="215">
        <v>40</v>
      </c>
      <c r="R481" s="215"/>
      <c r="S481" s="215">
        <f>IF(R481&gt;0,IF(RIGHT(Ruimtestaat[[#This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1" s="215">
        <f>IF(S481&gt;0,VLOOKUP($J481,Ruimtegroepen[],3,FALSE)*VLOOKUP($K481,Vloersoorten[],3,FALSE)*VLOOKUP($R481,Frequenties[],3,FALSE)*VLOOKUP($A481,Locaties[],3,FALSE),0)</f>
        <v>0</v>
      </c>
      <c r="U481" s="215">
        <f>Ruimtestaat[[#This Row],[Uitvoeringen werkdagen]]*Ruimtestaat[[#This Row],[Oppervlak (netto)]]</f>
        <v>0</v>
      </c>
      <c r="V481" s="259">
        <f>IF(T481&gt;0,Ruimtestaat[[#This Row],[Prest. (m2 /jaar) werkdagen]]/Ruimtestaat[[#This Row],[Norm (m2/uur) werkdagen]],0)</f>
        <v>0</v>
      </c>
      <c r="W481" s="260">
        <f>Ruimtestaat[[#This Row],[uren / jaar werkdagen]]*Tariefsopbouw!$D$38</f>
        <v>0</v>
      </c>
      <c r="X481" s="33"/>
      <c r="Y481" s="33">
        <f>IF(Ruimtestaat[[#This Row],[Frequentie weekend]]&gt;0,VALUE(LEFT(X481,1))*Q481,0)</f>
        <v>0</v>
      </c>
      <c r="Z481" s="33">
        <f>IF($Y481&gt;0,VLOOKUP($J481,Ruimtegroepen[],3,FALSE)*VLOOKUP($K481,Vloersoorten[],3,FALSE)*VLOOKUP($X481,Frequenties[],3,FALSE)*VLOOKUP(#REF!,Locaties[],3,FALSE),0)</f>
        <v>0</v>
      </c>
      <c r="AA481" s="33"/>
      <c r="AB481" s="33"/>
      <c r="AC481" s="33">
        <f>Ruimtestaat[[#This Row],[uren / jaar weekend]]*Tariefsopbouw!$D$40</f>
        <v>0</v>
      </c>
      <c r="AD481" s="88">
        <f>Ruimtestaat[[#This Row],[Prest. (m2 /jaar) weekend]]+Ruimtestaat[[#This Row],[Prest. (m2 /jaar) werkdagen]]</f>
        <v>0</v>
      </c>
      <c r="AE481" s="88">
        <f>Ruimtestaat[[#This Row],[uren / jaar weekend]]+Ruimtestaat[[#This Row],[uren / jaar werkdagen]]</f>
        <v>0</v>
      </c>
      <c r="AF481" s="89">
        <f>Ruimtestaat[[#This Row],[kosten / jaar weekend]]+Ruimtestaat[[#This Row],[kosten / jaar werkdagen]]</f>
        <v>0</v>
      </c>
    </row>
    <row r="482" spans="1:32" ht="15" customHeight="1">
      <c r="A482" s="280">
        <v>4</v>
      </c>
      <c r="B482" s="21" t="str">
        <f>VLOOKUP(Ruimtestaat[[#This Row],[Code]],Locaties[#All],2,FALSE)</f>
        <v>PXC Rijssen</v>
      </c>
      <c r="C482" s="281" t="str">
        <f>VLOOKUP(Ruimtestaat[[#This Row],[Code]],Locaties[#All],4,FALSE)</f>
        <v>Graaf Ottostraat 48</v>
      </c>
      <c r="D482" s="281" t="str">
        <f>VLOOKUP(Ruimtestaat[[#This Row],[Code]],Locaties[#All],5,FALSE)</f>
        <v>7461 CP</v>
      </c>
      <c r="E482" s="281" t="str">
        <f>VLOOKUP(Ruimtestaat[[#This Row],[Code]],Locaties[#All],6,FALSE)</f>
        <v>Rijssen</v>
      </c>
      <c r="F482" s="282"/>
      <c r="G482" s="283"/>
      <c r="H482" s="280">
        <v>0.56000000000000005</v>
      </c>
      <c r="I482" s="282" t="s">
        <v>1094</v>
      </c>
      <c r="J482" s="200">
        <v>21</v>
      </c>
      <c r="K482" s="243" t="s">
        <v>1043</v>
      </c>
      <c r="L482" s="284" t="s">
        <v>920</v>
      </c>
      <c r="M482" s="213">
        <v>2.72</v>
      </c>
      <c r="N482" s="202"/>
      <c r="O482" s="243" t="str">
        <f>VLOOKUP(Ruimtestaat[[#This Row],[Ruimte code]],Ruimtegroepen[#All],4,FALSE)</f>
        <v>Niet in onderhoud</v>
      </c>
      <c r="P482" s="214"/>
      <c r="Q482" s="215">
        <v>40</v>
      </c>
      <c r="R482" s="215"/>
      <c r="S482" s="215">
        <f>IF(R482&gt;0,IF(RIGHT(Ruimtestaat[[#This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82" s="215">
        <f>IF(S482&gt;0,VLOOKUP($J482,Ruimtegroepen[],3,FALSE)*VLOOKUP($K482,Vloersoorten[],3,FALSE)*VLOOKUP($R482,Frequenties[],3,FALSE)*VLOOKUP($A482,Locaties[],3,FALSE),0)</f>
        <v>0</v>
      </c>
      <c r="U482" s="215">
        <f>Ruimtestaat[[#This Row],[Uitvoeringen werkdagen]]*Ruimtestaat[[#This Row],[Oppervlak (netto)]]</f>
        <v>0</v>
      </c>
      <c r="V482" s="259">
        <f>IF(T482&gt;0,Ruimtestaat[[#This Row],[Prest. (m2 /jaar) werkdagen]]/Ruimtestaat[[#This Row],[Norm (m2/uur) werkdagen]],0)</f>
        <v>0</v>
      </c>
      <c r="W482" s="260">
        <f>Ruimtestaat[[#This Row],[uren / jaar werkdagen]]*Tariefsopbouw!$D$38</f>
        <v>0</v>
      </c>
      <c r="X482" s="33"/>
      <c r="Y482" s="33">
        <f>IF(Ruimtestaat[[#This Row],[Frequentie weekend]]&gt;0,VALUE(LEFT(X482,1))*Q482,0)</f>
        <v>0</v>
      </c>
      <c r="Z482" s="33">
        <f>IF($Y482&gt;0,VLOOKUP($J482,Ruimtegroepen[],3,FALSE)*VLOOKUP($K482,Vloersoorten[],3,FALSE)*VLOOKUP($X482,Frequenties[],3,FALSE)*VLOOKUP(#REF!,Locaties[],3,FALSE),0)</f>
        <v>0</v>
      </c>
      <c r="AA482" s="33"/>
      <c r="AB482" s="33"/>
      <c r="AC482" s="33">
        <f>Ruimtestaat[[#This Row],[uren / jaar weekend]]*Tariefsopbouw!$D$40</f>
        <v>0</v>
      </c>
      <c r="AD482" s="88">
        <f>Ruimtestaat[[#This Row],[Prest. (m2 /jaar) weekend]]+Ruimtestaat[[#This Row],[Prest. (m2 /jaar) werkdagen]]</f>
        <v>0</v>
      </c>
      <c r="AE482" s="88">
        <f>Ruimtestaat[[#This Row],[uren / jaar weekend]]+Ruimtestaat[[#This Row],[uren / jaar werkdagen]]</f>
        <v>0</v>
      </c>
      <c r="AF482" s="89">
        <f>Ruimtestaat[[#This Row],[kosten / jaar weekend]]+Ruimtestaat[[#This Row],[kosten / jaar werkdagen]]</f>
        <v>0</v>
      </c>
    </row>
    <row r="483" spans="1:32" ht="15" customHeight="1">
      <c r="A483" s="280">
        <v>4</v>
      </c>
      <c r="B483" s="21" t="str">
        <f>VLOOKUP(Ruimtestaat[[#This Row],[Code]],Locaties[#All],2,FALSE)</f>
        <v>PXC Rijssen</v>
      </c>
      <c r="C483" s="281" t="str">
        <f>VLOOKUP(Ruimtestaat[[#This Row],[Code]],Locaties[#All],4,FALSE)</f>
        <v>Graaf Ottostraat 48</v>
      </c>
      <c r="D483" s="281" t="str">
        <f>VLOOKUP(Ruimtestaat[[#This Row],[Code]],Locaties[#All],5,FALSE)</f>
        <v>7461 CP</v>
      </c>
      <c r="E483" s="281" t="str">
        <f>VLOOKUP(Ruimtestaat[[#This Row],[Code]],Locaties[#All],6,FALSE)</f>
        <v>Rijssen</v>
      </c>
      <c r="F483" s="282"/>
      <c r="G483" s="283"/>
      <c r="H483" s="280">
        <v>0.56999999999999995</v>
      </c>
      <c r="I483" s="282" t="s">
        <v>1095</v>
      </c>
      <c r="J483" s="200">
        <v>19</v>
      </c>
      <c r="K483" s="243" t="s">
        <v>111</v>
      </c>
      <c r="L483" s="284" t="s">
        <v>913</v>
      </c>
      <c r="M483" s="213">
        <v>27.1</v>
      </c>
      <c r="N483" s="202"/>
      <c r="O483" s="243" t="str">
        <f>VLOOKUP(Ruimtestaat[[#This Row],[Ruimte code]],Ruimtegroepen[#All],4,FALSE)</f>
        <v>V  (Verkeersruimte)</v>
      </c>
      <c r="P483" s="214"/>
      <c r="Q483" s="215">
        <v>40</v>
      </c>
      <c r="R483" s="215" t="s">
        <v>2</v>
      </c>
      <c r="S483" s="215">
        <f>IF(R483&gt;0,IF(RIGHT(Ruimtestaat[[#This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3" s="215">
        <f>IF(S483&gt;0,VLOOKUP($J483,Ruimtegroepen[],3,FALSE)*VLOOKUP($K483,Vloersoorten[],3,FALSE)*VLOOKUP($R483,Frequenties[],3,FALSE)*VLOOKUP($A483,Locaties[],3,FALSE),0)</f>
        <v>0</v>
      </c>
      <c r="U483" s="215">
        <f>Ruimtestaat[[#This Row],[Uitvoeringen werkdagen]]*Ruimtestaat[[#This Row],[Oppervlak (netto)]]</f>
        <v>5420</v>
      </c>
      <c r="V483" s="259">
        <f>IF(T483&gt;0,Ruimtestaat[[#This Row],[Prest. (m2 /jaar) werkdagen]]/Ruimtestaat[[#This Row],[Norm (m2/uur) werkdagen]],0)</f>
        <v>0</v>
      </c>
      <c r="W483" s="260">
        <f>Ruimtestaat[[#This Row],[uren / jaar werkdagen]]*Tariefsopbouw!$D$38</f>
        <v>0</v>
      </c>
      <c r="X483" s="33"/>
      <c r="Y483" s="33">
        <f>IF(Ruimtestaat[[#This Row],[Frequentie weekend]]&gt;0,VALUE(LEFT(X483,1))*Q483,0)</f>
        <v>0</v>
      </c>
      <c r="Z483" s="33">
        <f>IF($Y483&gt;0,VLOOKUP($J483,Ruimtegroepen[],3,FALSE)*VLOOKUP($K483,Vloersoorten[],3,FALSE)*VLOOKUP($X483,Frequenties[],3,FALSE)*VLOOKUP(#REF!,Locaties[],3,FALSE),0)</f>
        <v>0</v>
      </c>
      <c r="AA483" s="33"/>
      <c r="AB483" s="33"/>
      <c r="AC483" s="33">
        <f>Ruimtestaat[[#This Row],[uren / jaar weekend]]*Tariefsopbouw!$D$40</f>
        <v>0</v>
      </c>
      <c r="AD483" s="88">
        <f>Ruimtestaat[[#This Row],[Prest. (m2 /jaar) weekend]]+Ruimtestaat[[#This Row],[Prest. (m2 /jaar) werkdagen]]</f>
        <v>5420</v>
      </c>
      <c r="AE483" s="88">
        <f>Ruimtestaat[[#This Row],[uren / jaar weekend]]+Ruimtestaat[[#This Row],[uren / jaar werkdagen]]</f>
        <v>0</v>
      </c>
      <c r="AF483" s="89">
        <f>Ruimtestaat[[#This Row],[kosten / jaar weekend]]+Ruimtestaat[[#This Row],[kosten / jaar werkdagen]]</f>
        <v>0</v>
      </c>
    </row>
    <row r="484" spans="1:32" ht="15" customHeight="1">
      <c r="A484" s="280">
        <v>4</v>
      </c>
      <c r="B484" s="21" t="str">
        <f>VLOOKUP(Ruimtestaat[[#This Row],[Code]],Locaties[#All],2,FALSE)</f>
        <v>PXC Rijssen</v>
      </c>
      <c r="C484" s="281" t="str">
        <f>VLOOKUP(Ruimtestaat[[#This Row],[Code]],Locaties[#All],4,FALSE)</f>
        <v>Graaf Ottostraat 48</v>
      </c>
      <c r="D484" s="281" t="str">
        <f>VLOOKUP(Ruimtestaat[[#This Row],[Code]],Locaties[#All],5,FALSE)</f>
        <v>7461 CP</v>
      </c>
      <c r="E484" s="281" t="str">
        <f>VLOOKUP(Ruimtestaat[[#This Row],[Code]],Locaties[#All],6,FALSE)</f>
        <v>Rijssen</v>
      </c>
      <c r="F484" s="282"/>
      <c r="G484" s="283"/>
      <c r="H484" s="280">
        <v>0.57999999999999996</v>
      </c>
      <c r="I484" s="282" t="s">
        <v>1096</v>
      </c>
      <c r="J484" s="200">
        <v>18</v>
      </c>
      <c r="K484" s="243" t="s">
        <v>1042</v>
      </c>
      <c r="L484" s="284" t="s">
        <v>1124</v>
      </c>
      <c r="M484" s="213">
        <v>252</v>
      </c>
      <c r="N484" s="202"/>
      <c r="O484" s="243" t="str">
        <f>VLOOKUP(Ruimtestaat[[#This Row],[Ruimte code]],Ruimtegroepen[#All],4,FALSE)</f>
        <v>Sp  (Sportruimte)</v>
      </c>
      <c r="P484" s="214"/>
      <c r="Q484" s="215">
        <v>40</v>
      </c>
      <c r="R484" s="215" t="s">
        <v>2</v>
      </c>
      <c r="S484" s="215">
        <f>IF(R484&gt;0,IF(RIGHT(Ruimtestaat[[#This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4" s="215">
        <f>IF(S484&gt;0,VLOOKUP($J484,Ruimtegroepen[],3,FALSE)*VLOOKUP($K484,Vloersoorten[],3,FALSE)*VLOOKUP($R484,Frequenties[],3,FALSE)*VLOOKUP($A484,Locaties[],3,FALSE),0)</f>
        <v>0</v>
      </c>
      <c r="U484" s="215">
        <f>Ruimtestaat[[#This Row],[Uitvoeringen werkdagen]]*Ruimtestaat[[#This Row],[Oppervlak (netto)]]</f>
        <v>50400</v>
      </c>
      <c r="V484" s="259">
        <f>IF(T484&gt;0,Ruimtestaat[[#This Row],[Prest. (m2 /jaar) werkdagen]]/Ruimtestaat[[#This Row],[Norm (m2/uur) werkdagen]],0)</f>
        <v>0</v>
      </c>
      <c r="W484" s="260">
        <f>Ruimtestaat[[#This Row],[uren / jaar werkdagen]]*Tariefsopbouw!$D$38</f>
        <v>0</v>
      </c>
      <c r="X484" s="33"/>
      <c r="Y484" s="33">
        <f>IF(Ruimtestaat[[#This Row],[Frequentie weekend]]&gt;0,VALUE(LEFT(X484,1))*Q484,0)</f>
        <v>0</v>
      </c>
      <c r="Z484" s="33">
        <f>IF($Y484&gt;0,VLOOKUP($J484,Ruimtegroepen[],3,FALSE)*VLOOKUP($K484,Vloersoorten[],3,FALSE)*VLOOKUP($X484,Frequenties[],3,FALSE)*VLOOKUP(#REF!,Locaties[],3,FALSE),0)</f>
        <v>0</v>
      </c>
      <c r="AA484" s="33"/>
      <c r="AB484" s="33"/>
      <c r="AC484" s="33">
        <f>Ruimtestaat[[#This Row],[uren / jaar weekend]]*Tariefsopbouw!$D$40</f>
        <v>0</v>
      </c>
      <c r="AD484" s="88">
        <f>Ruimtestaat[[#This Row],[Prest. (m2 /jaar) weekend]]+Ruimtestaat[[#This Row],[Prest. (m2 /jaar) werkdagen]]</f>
        <v>50400</v>
      </c>
      <c r="AE484" s="88">
        <f>Ruimtestaat[[#This Row],[uren / jaar weekend]]+Ruimtestaat[[#This Row],[uren / jaar werkdagen]]</f>
        <v>0</v>
      </c>
      <c r="AF484" s="89">
        <f>Ruimtestaat[[#This Row],[kosten / jaar weekend]]+Ruimtestaat[[#This Row],[kosten / jaar werkdagen]]</f>
        <v>0</v>
      </c>
    </row>
    <row r="485" spans="1:32" ht="15" customHeight="1">
      <c r="A485" s="280">
        <v>4</v>
      </c>
      <c r="B485" s="21" t="str">
        <f>VLOOKUP(Ruimtestaat[[#This Row],[Code]],Locaties[#All],2,FALSE)</f>
        <v>PXC Rijssen</v>
      </c>
      <c r="C485" s="281" t="str">
        <f>VLOOKUP(Ruimtestaat[[#This Row],[Code]],Locaties[#All],4,FALSE)</f>
        <v>Graaf Ottostraat 48</v>
      </c>
      <c r="D485" s="281" t="str">
        <f>VLOOKUP(Ruimtestaat[[#This Row],[Code]],Locaties[#All],5,FALSE)</f>
        <v>7461 CP</v>
      </c>
      <c r="E485" s="281" t="str">
        <f>VLOOKUP(Ruimtestaat[[#This Row],[Code]],Locaties[#All],6,FALSE)</f>
        <v>Rijssen</v>
      </c>
      <c r="F485" s="282"/>
      <c r="G485" s="283"/>
      <c r="H485" s="280">
        <v>0.59</v>
      </c>
      <c r="I485" s="282" t="s">
        <v>1097</v>
      </c>
      <c r="J485" s="243">
        <v>17</v>
      </c>
      <c r="K485" s="243" t="s">
        <v>1042</v>
      </c>
      <c r="L485" s="284" t="s">
        <v>1124</v>
      </c>
      <c r="M485" s="213">
        <v>33.94</v>
      </c>
      <c r="N485" s="202"/>
      <c r="O485" s="243" t="str">
        <f>VLOOKUP(Ruimtestaat[[#This Row],[Ruimte code]],Ruimtegroepen[#All],4,FALSE)</f>
        <v>V  (Verkeersruimte)</v>
      </c>
      <c r="P485" s="214"/>
      <c r="Q485" s="215">
        <v>40</v>
      </c>
      <c r="R485" s="215" t="s">
        <v>15</v>
      </c>
      <c r="S485" s="215">
        <f>IF(R485&gt;0,IF(RIGHT(Ruimtestaat[[#This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485" s="215">
        <f>IF(S485&gt;0,VLOOKUP($J485,Ruimtegroepen[],3,FALSE)*VLOOKUP($K485,Vloersoorten[],3,FALSE)*VLOOKUP($R485,Frequenties[],3,FALSE)*VLOOKUP($A485,Locaties[],3,FALSE),0)</f>
        <v>0</v>
      </c>
      <c r="U485" s="215">
        <f>Ruimtestaat[[#This Row],[Uitvoeringen werkdagen]]*Ruimtestaat[[#This Row],[Oppervlak (netto)]]</f>
        <v>1357.6</v>
      </c>
      <c r="V485" s="259">
        <f>IF(T485&gt;0,Ruimtestaat[[#This Row],[Prest. (m2 /jaar) werkdagen]]/Ruimtestaat[[#This Row],[Norm (m2/uur) werkdagen]],0)</f>
        <v>0</v>
      </c>
      <c r="W485" s="260">
        <f>Ruimtestaat[[#This Row],[uren / jaar werkdagen]]*Tariefsopbouw!$D$38</f>
        <v>0</v>
      </c>
      <c r="X485" s="33"/>
      <c r="Y485" s="33">
        <f>IF(Ruimtestaat[[#This Row],[Frequentie weekend]]&gt;0,VALUE(LEFT(X485,1))*Q485,0)</f>
        <v>0</v>
      </c>
      <c r="Z485" s="33">
        <f>IF($Y485&gt;0,VLOOKUP($J485,Ruimtegroepen[],3,FALSE)*VLOOKUP($K485,Vloersoorten[],3,FALSE)*VLOOKUP($X485,Frequenties[],3,FALSE)*VLOOKUP(#REF!,Locaties[],3,FALSE),0)</f>
        <v>0</v>
      </c>
      <c r="AA485" s="33"/>
      <c r="AB485" s="33"/>
      <c r="AC485" s="33">
        <f>Ruimtestaat[[#This Row],[uren / jaar weekend]]*Tariefsopbouw!$D$40</f>
        <v>0</v>
      </c>
      <c r="AD485" s="88">
        <f>Ruimtestaat[[#This Row],[Prest. (m2 /jaar) weekend]]+Ruimtestaat[[#This Row],[Prest. (m2 /jaar) werkdagen]]</f>
        <v>1357.6</v>
      </c>
      <c r="AE485" s="88">
        <f>Ruimtestaat[[#This Row],[uren / jaar weekend]]+Ruimtestaat[[#This Row],[uren / jaar werkdagen]]</f>
        <v>0</v>
      </c>
      <c r="AF485" s="89">
        <f>Ruimtestaat[[#This Row],[kosten / jaar weekend]]+Ruimtestaat[[#This Row],[kosten / jaar werkdagen]]</f>
        <v>0</v>
      </c>
    </row>
    <row r="486" spans="1:32" ht="15" customHeight="1">
      <c r="A486" s="280">
        <v>4</v>
      </c>
      <c r="B486" s="21" t="str">
        <f>VLOOKUP(Ruimtestaat[[#This Row],[Code]],Locaties[#All],2,FALSE)</f>
        <v>PXC Rijssen</v>
      </c>
      <c r="C486" s="281" t="str">
        <f>VLOOKUP(Ruimtestaat[[#This Row],[Code]],Locaties[#All],4,FALSE)</f>
        <v>Graaf Ottostraat 48</v>
      </c>
      <c r="D486" s="281" t="str">
        <f>VLOOKUP(Ruimtestaat[[#This Row],[Code]],Locaties[#All],5,FALSE)</f>
        <v>7461 CP</v>
      </c>
      <c r="E486" s="281" t="str">
        <f>VLOOKUP(Ruimtestaat[[#This Row],[Code]],Locaties[#All],6,FALSE)</f>
        <v>Rijssen</v>
      </c>
      <c r="F486" s="282"/>
      <c r="G486" s="283"/>
      <c r="H486" s="280">
        <v>0.6</v>
      </c>
      <c r="I486" s="282" t="s">
        <v>1076</v>
      </c>
      <c r="J486" s="200">
        <v>1</v>
      </c>
      <c r="K486" s="243" t="s">
        <v>1040</v>
      </c>
      <c r="L486" s="284" t="s">
        <v>1120</v>
      </c>
      <c r="M486" s="213">
        <v>5.24</v>
      </c>
      <c r="N486" s="202"/>
      <c r="O486" s="243" t="str">
        <f>VLOOKUP(Ruimtestaat[[#This Row],[Ruimte code]],Ruimtegroepen[#All],4,FALSE)</f>
        <v>V  (Verkeersruimte)</v>
      </c>
      <c r="P486" s="214"/>
      <c r="Q486" s="215">
        <v>40</v>
      </c>
      <c r="R486" s="215" t="s">
        <v>16</v>
      </c>
      <c r="S486" s="215">
        <f>IF(R486&gt;0,IF(RIGHT(Ruimtestaat[[#This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6" s="215">
        <f>IF(S486&gt;0,VLOOKUP($J486,Ruimtegroepen[],3,FALSE)*VLOOKUP($K486,Vloersoorten[],3,FALSE)*VLOOKUP($R486,Frequenties[],3,FALSE)*VLOOKUP($A486,Locaties[],3,FALSE),0)</f>
        <v>0</v>
      </c>
      <c r="U486" s="215">
        <f>Ruimtestaat[[#This Row],[Uitvoeringen werkdagen]]*Ruimtestaat[[#This Row],[Oppervlak (netto)]]</f>
        <v>62.88</v>
      </c>
      <c r="V486" s="259">
        <f>IF(T486&gt;0,Ruimtestaat[[#This Row],[Prest. (m2 /jaar) werkdagen]]/Ruimtestaat[[#This Row],[Norm (m2/uur) werkdagen]],0)</f>
        <v>0</v>
      </c>
      <c r="W486" s="260">
        <f>Ruimtestaat[[#This Row],[uren / jaar werkdagen]]*Tariefsopbouw!$D$38</f>
        <v>0</v>
      </c>
      <c r="X486" s="33"/>
      <c r="Y486" s="33">
        <f>IF(Ruimtestaat[[#This Row],[Frequentie weekend]]&gt;0,VALUE(LEFT(X486,1))*Q486,0)</f>
        <v>0</v>
      </c>
      <c r="Z486" s="33">
        <f>IF($Y486&gt;0,VLOOKUP($J486,Ruimtegroepen[],3,FALSE)*VLOOKUP($K486,Vloersoorten[],3,FALSE)*VLOOKUP($X486,Frequenties[],3,FALSE)*VLOOKUP(#REF!,Locaties[],3,FALSE),0)</f>
        <v>0</v>
      </c>
      <c r="AA486" s="33"/>
      <c r="AB486" s="33"/>
      <c r="AC486" s="33">
        <f>Ruimtestaat[[#This Row],[uren / jaar weekend]]*Tariefsopbouw!$D$40</f>
        <v>0</v>
      </c>
      <c r="AD486" s="88">
        <f>Ruimtestaat[[#This Row],[Prest. (m2 /jaar) weekend]]+Ruimtestaat[[#This Row],[Prest. (m2 /jaar) werkdagen]]</f>
        <v>62.88</v>
      </c>
      <c r="AE486" s="88">
        <f>Ruimtestaat[[#This Row],[uren / jaar weekend]]+Ruimtestaat[[#This Row],[uren / jaar werkdagen]]</f>
        <v>0</v>
      </c>
      <c r="AF486" s="89">
        <f>Ruimtestaat[[#This Row],[kosten / jaar weekend]]+Ruimtestaat[[#This Row],[kosten / jaar werkdagen]]</f>
        <v>0</v>
      </c>
    </row>
    <row r="487" spans="1:32" ht="15" customHeight="1">
      <c r="A487" s="280">
        <v>4</v>
      </c>
      <c r="B487" s="21" t="str">
        <f>VLOOKUP(Ruimtestaat[[#This Row],[Code]],Locaties[#All],2,FALSE)</f>
        <v>PXC Rijssen</v>
      </c>
      <c r="C487" s="281" t="str">
        <f>VLOOKUP(Ruimtestaat[[#This Row],[Code]],Locaties[#All],4,FALSE)</f>
        <v>Graaf Ottostraat 48</v>
      </c>
      <c r="D487" s="281" t="str">
        <f>VLOOKUP(Ruimtestaat[[#This Row],[Code]],Locaties[#All],5,FALSE)</f>
        <v>7461 CP</v>
      </c>
      <c r="E487" s="281" t="str">
        <f>VLOOKUP(Ruimtestaat[[#This Row],[Code]],Locaties[#All],6,FALSE)</f>
        <v>Rijssen</v>
      </c>
      <c r="F487" s="282"/>
      <c r="G487" s="283"/>
      <c r="H487" s="280">
        <v>1.01</v>
      </c>
      <c r="I487" s="282" t="s">
        <v>1069</v>
      </c>
      <c r="J487" s="200">
        <v>10</v>
      </c>
      <c r="K487" s="243" t="s">
        <v>1040</v>
      </c>
      <c r="L487" s="284" t="s">
        <v>1122</v>
      </c>
      <c r="M487" s="213">
        <v>25.83</v>
      </c>
      <c r="N487" s="202"/>
      <c r="O487" s="243" t="str">
        <f>VLOOKUP(Ruimtestaat[[#This Row],[Ruimte code]],Ruimtegroepen[#All],4,FALSE)</f>
        <v>V  (Verkeersruimte)</v>
      </c>
      <c r="P487" s="214"/>
      <c r="Q487" s="215">
        <v>40</v>
      </c>
      <c r="R487" s="215" t="s">
        <v>2</v>
      </c>
      <c r="S487" s="215">
        <f>IF(R487&gt;0,IF(RIGHT(Ruimtestaat[[#This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87" s="215">
        <f>IF(S487&gt;0,VLOOKUP($J487,Ruimtegroepen[],3,FALSE)*VLOOKUP($K487,Vloersoorten[],3,FALSE)*VLOOKUP($R487,Frequenties[],3,FALSE)*VLOOKUP($A487,Locaties[],3,FALSE),0)</f>
        <v>0</v>
      </c>
      <c r="U487" s="215">
        <f>Ruimtestaat[[#This Row],[Uitvoeringen werkdagen]]*Ruimtestaat[[#This Row],[Oppervlak (netto)]]</f>
        <v>5166</v>
      </c>
      <c r="V487" s="259">
        <f>IF(T487&gt;0,Ruimtestaat[[#This Row],[Prest. (m2 /jaar) werkdagen]]/Ruimtestaat[[#This Row],[Norm (m2/uur) werkdagen]],0)</f>
        <v>0</v>
      </c>
      <c r="W487" s="260">
        <f>Ruimtestaat[[#This Row],[uren / jaar werkdagen]]*Tariefsopbouw!$D$38</f>
        <v>0</v>
      </c>
      <c r="X487" s="33"/>
      <c r="Y487" s="33">
        <f>IF(Ruimtestaat[[#This Row],[Frequentie weekend]]&gt;0,VALUE(LEFT(X487,1))*Q487,0)</f>
        <v>0</v>
      </c>
      <c r="Z487" s="33">
        <f>IF($Y487&gt;0,VLOOKUP($J487,Ruimtegroepen[],3,FALSE)*VLOOKUP($K487,Vloersoorten[],3,FALSE)*VLOOKUP($X487,Frequenties[],3,FALSE)*VLOOKUP(#REF!,Locaties[],3,FALSE),0)</f>
        <v>0</v>
      </c>
      <c r="AA487" s="33"/>
      <c r="AB487" s="33"/>
      <c r="AC487" s="33">
        <f>Ruimtestaat[[#This Row],[uren / jaar weekend]]*Tariefsopbouw!$D$40</f>
        <v>0</v>
      </c>
      <c r="AD487" s="88">
        <f>Ruimtestaat[[#This Row],[Prest. (m2 /jaar) weekend]]+Ruimtestaat[[#This Row],[Prest. (m2 /jaar) werkdagen]]</f>
        <v>5166</v>
      </c>
      <c r="AE487" s="88">
        <f>Ruimtestaat[[#This Row],[uren / jaar weekend]]+Ruimtestaat[[#This Row],[uren / jaar werkdagen]]</f>
        <v>0</v>
      </c>
      <c r="AF487" s="89">
        <f>Ruimtestaat[[#This Row],[kosten / jaar weekend]]+Ruimtestaat[[#This Row],[kosten / jaar werkdagen]]</f>
        <v>0</v>
      </c>
    </row>
    <row r="488" spans="1:32" ht="15" customHeight="1">
      <c r="A488" s="280">
        <v>4</v>
      </c>
      <c r="B488" s="21" t="str">
        <f>VLOOKUP(Ruimtestaat[[#This Row],[Code]],Locaties[#All],2,FALSE)</f>
        <v>PXC Rijssen</v>
      </c>
      <c r="C488" s="281" t="str">
        <f>VLOOKUP(Ruimtestaat[[#This Row],[Code]],Locaties[#All],4,FALSE)</f>
        <v>Graaf Ottostraat 48</v>
      </c>
      <c r="D488" s="281" t="str">
        <f>VLOOKUP(Ruimtestaat[[#This Row],[Code]],Locaties[#All],5,FALSE)</f>
        <v>7461 CP</v>
      </c>
      <c r="E488" s="281" t="str">
        <f>VLOOKUP(Ruimtestaat[[#This Row],[Code]],Locaties[#All],6,FALSE)</f>
        <v>Rijssen</v>
      </c>
      <c r="F488" s="282"/>
      <c r="G488" s="283"/>
      <c r="H488" s="280">
        <v>1.02</v>
      </c>
      <c r="I488" s="282" t="s">
        <v>1076</v>
      </c>
      <c r="J488" s="200">
        <v>1</v>
      </c>
      <c r="K488" s="243" t="s">
        <v>1042</v>
      </c>
      <c r="L488" s="284" t="s">
        <v>1121</v>
      </c>
      <c r="M488" s="213">
        <v>3.35</v>
      </c>
      <c r="N488" s="202"/>
      <c r="O488" s="243" t="str">
        <f>VLOOKUP(Ruimtestaat[[#This Row],[Ruimte code]],Ruimtegroepen[#All],4,FALSE)</f>
        <v>V  (Verkeersruimte)</v>
      </c>
      <c r="P488" s="214"/>
      <c r="Q488" s="215">
        <v>40</v>
      </c>
      <c r="R488" s="215" t="s">
        <v>16</v>
      </c>
      <c r="S488" s="215">
        <f>IF(R488&gt;0,IF(RIGHT(Ruimtestaat[[#This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8" s="215">
        <f>IF(S488&gt;0,VLOOKUP($J488,Ruimtegroepen[],3,FALSE)*VLOOKUP($K488,Vloersoorten[],3,FALSE)*VLOOKUP($R488,Frequenties[],3,FALSE)*VLOOKUP($A488,Locaties[],3,FALSE),0)</f>
        <v>0</v>
      </c>
      <c r="U488" s="215">
        <f>Ruimtestaat[[#This Row],[Uitvoeringen werkdagen]]*Ruimtestaat[[#This Row],[Oppervlak (netto)]]</f>
        <v>40.200000000000003</v>
      </c>
      <c r="V488" s="259">
        <f>IF(T488&gt;0,Ruimtestaat[[#This Row],[Prest. (m2 /jaar) werkdagen]]/Ruimtestaat[[#This Row],[Norm (m2/uur) werkdagen]],0)</f>
        <v>0</v>
      </c>
      <c r="W488" s="260">
        <f>Ruimtestaat[[#This Row],[uren / jaar werkdagen]]*Tariefsopbouw!$D$38</f>
        <v>0</v>
      </c>
      <c r="X488" s="33"/>
      <c r="Y488" s="33">
        <f>IF(Ruimtestaat[[#This Row],[Frequentie weekend]]&gt;0,VALUE(LEFT(X488,1))*Q488,0)</f>
        <v>0</v>
      </c>
      <c r="Z488" s="33">
        <f>IF($Y488&gt;0,VLOOKUP($J488,Ruimtegroepen[],3,FALSE)*VLOOKUP($K488,Vloersoorten[],3,FALSE)*VLOOKUP($X488,Frequenties[],3,FALSE)*VLOOKUP(#REF!,Locaties[],3,FALSE),0)</f>
        <v>0</v>
      </c>
      <c r="AA488" s="33"/>
      <c r="AB488" s="33"/>
      <c r="AC488" s="33">
        <f>Ruimtestaat[[#This Row],[uren / jaar weekend]]*Tariefsopbouw!$D$40</f>
        <v>0</v>
      </c>
      <c r="AD488" s="88">
        <f>Ruimtestaat[[#This Row],[Prest. (m2 /jaar) weekend]]+Ruimtestaat[[#This Row],[Prest. (m2 /jaar) werkdagen]]</f>
        <v>40.200000000000003</v>
      </c>
      <c r="AE488" s="88">
        <f>Ruimtestaat[[#This Row],[uren / jaar weekend]]+Ruimtestaat[[#This Row],[uren / jaar werkdagen]]</f>
        <v>0</v>
      </c>
      <c r="AF488" s="89">
        <f>Ruimtestaat[[#This Row],[kosten / jaar weekend]]+Ruimtestaat[[#This Row],[kosten / jaar werkdagen]]</f>
        <v>0</v>
      </c>
    </row>
    <row r="489" spans="1:32" ht="15" customHeight="1">
      <c r="A489" s="280">
        <v>4</v>
      </c>
      <c r="B489" s="21" t="str">
        <f>VLOOKUP(Ruimtestaat[[#This Row],[Code]],Locaties[#All],2,FALSE)</f>
        <v>PXC Rijssen</v>
      </c>
      <c r="C489" s="281" t="str">
        <f>VLOOKUP(Ruimtestaat[[#This Row],[Code]],Locaties[#All],4,FALSE)</f>
        <v>Graaf Ottostraat 48</v>
      </c>
      <c r="D489" s="281" t="str">
        <f>VLOOKUP(Ruimtestaat[[#This Row],[Code]],Locaties[#All],5,FALSE)</f>
        <v>7461 CP</v>
      </c>
      <c r="E489" s="281" t="str">
        <f>VLOOKUP(Ruimtestaat[[#This Row],[Code]],Locaties[#All],6,FALSE)</f>
        <v>Rijssen</v>
      </c>
      <c r="F489" s="282"/>
      <c r="G489" s="283"/>
      <c r="H489" s="280">
        <v>1.03</v>
      </c>
      <c r="I489" s="282" t="s">
        <v>1063</v>
      </c>
      <c r="J489" s="200">
        <v>1</v>
      </c>
      <c r="K489" s="243" t="s">
        <v>1042</v>
      </c>
      <c r="L489" s="284" t="s">
        <v>1121</v>
      </c>
      <c r="M489" s="213">
        <v>9.3000000000000007</v>
      </c>
      <c r="N489" s="202"/>
      <c r="O489" s="243" t="str">
        <f>VLOOKUP(Ruimtestaat[[#This Row],[Ruimte code]],Ruimtegroepen[#All],4,FALSE)</f>
        <v>V  (Verkeersruimte)</v>
      </c>
      <c r="P489" s="214"/>
      <c r="Q489" s="215">
        <v>40</v>
      </c>
      <c r="R489" s="215" t="s">
        <v>16</v>
      </c>
      <c r="S489" s="215">
        <f>IF(R489&gt;0,IF(RIGHT(Ruimtestaat[[#This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489" s="215">
        <f>IF(S489&gt;0,VLOOKUP($J489,Ruimtegroepen[],3,FALSE)*VLOOKUP($K489,Vloersoorten[],3,FALSE)*VLOOKUP($R489,Frequenties[],3,FALSE)*VLOOKUP($A489,Locaties[],3,FALSE),0)</f>
        <v>0</v>
      </c>
      <c r="U489" s="215">
        <f>Ruimtestaat[[#This Row],[Uitvoeringen werkdagen]]*Ruimtestaat[[#This Row],[Oppervlak (netto)]]</f>
        <v>111.60000000000001</v>
      </c>
      <c r="V489" s="259">
        <f>IF(T489&gt;0,Ruimtestaat[[#This Row],[Prest. (m2 /jaar) werkdagen]]/Ruimtestaat[[#This Row],[Norm (m2/uur) werkdagen]],0)</f>
        <v>0</v>
      </c>
      <c r="W489" s="260">
        <f>Ruimtestaat[[#This Row],[uren / jaar werkdagen]]*Tariefsopbouw!$D$38</f>
        <v>0</v>
      </c>
      <c r="X489" s="33"/>
      <c r="Y489" s="33">
        <f>IF(Ruimtestaat[[#This Row],[Frequentie weekend]]&gt;0,VALUE(LEFT(X489,1))*Q489,0)</f>
        <v>0</v>
      </c>
      <c r="Z489" s="33">
        <f>IF($Y489&gt;0,VLOOKUP($J489,Ruimtegroepen[],3,FALSE)*VLOOKUP($K489,Vloersoorten[],3,FALSE)*VLOOKUP($X489,Frequenties[],3,FALSE)*VLOOKUP(#REF!,Locaties[],3,FALSE),0)</f>
        <v>0</v>
      </c>
      <c r="AA489" s="33"/>
      <c r="AB489" s="33"/>
      <c r="AC489" s="33">
        <f>Ruimtestaat[[#This Row],[uren / jaar weekend]]*Tariefsopbouw!$D$40</f>
        <v>0</v>
      </c>
      <c r="AD489" s="88">
        <f>Ruimtestaat[[#This Row],[Prest. (m2 /jaar) weekend]]+Ruimtestaat[[#This Row],[Prest. (m2 /jaar) werkdagen]]</f>
        <v>111.60000000000001</v>
      </c>
      <c r="AE489" s="88">
        <f>Ruimtestaat[[#This Row],[uren / jaar weekend]]+Ruimtestaat[[#This Row],[uren / jaar werkdagen]]</f>
        <v>0</v>
      </c>
      <c r="AF489" s="89">
        <f>Ruimtestaat[[#This Row],[kosten / jaar weekend]]+Ruimtestaat[[#This Row],[kosten / jaar werkdagen]]</f>
        <v>0</v>
      </c>
    </row>
    <row r="490" spans="1:32" ht="15" customHeight="1">
      <c r="A490" s="280">
        <v>4</v>
      </c>
      <c r="B490" s="21" t="str">
        <f>VLOOKUP(Ruimtestaat[[#This Row],[Code]],Locaties[#All],2,FALSE)</f>
        <v>PXC Rijssen</v>
      </c>
      <c r="C490" s="281" t="str">
        <f>VLOOKUP(Ruimtestaat[[#This Row],[Code]],Locaties[#All],4,FALSE)</f>
        <v>Graaf Ottostraat 48</v>
      </c>
      <c r="D490" s="281" t="str">
        <f>VLOOKUP(Ruimtestaat[[#This Row],[Code]],Locaties[#All],5,FALSE)</f>
        <v>7461 CP</v>
      </c>
      <c r="E490" s="281" t="str">
        <f>VLOOKUP(Ruimtestaat[[#This Row],[Code]],Locaties[#All],6,FALSE)</f>
        <v>Rijssen</v>
      </c>
      <c r="F490" s="282"/>
      <c r="G490" s="283"/>
      <c r="H490" s="280">
        <v>1.04</v>
      </c>
      <c r="I490" s="282" t="s">
        <v>1098</v>
      </c>
      <c r="J490" s="200">
        <v>11</v>
      </c>
      <c r="K490" s="243" t="s">
        <v>1042</v>
      </c>
      <c r="L490" s="284" t="s">
        <v>1121</v>
      </c>
      <c r="M490" s="213">
        <v>67.05</v>
      </c>
      <c r="N490" s="202"/>
      <c r="O490" s="243" t="str">
        <f>VLOOKUP(Ruimtestaat[[#This Row],[Ruimte code]],Ruimtegroepen[#All],4,FALSE)</f>
        <v>L  (Lesruimte)</v>
      </c>
      <c r="P490" s="214"/>
      <c r="Q490" s="215">
        <v>40</v>
      </c>
      <c r="R490" s="215" t="s">
        <v>2</v>
      </c>
      <c r="S490" s="215">
        <f>IF(R490&gt;0,IF(RIGHT(Ruimtestaat[[#This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0" s="215">
        <f>IF(S490&gt;0,VLOOKUP($J490,Ruimtegroepen[],3,FALSE)*VLOOKUP($K490,Vloersoorten[],3,FALSE)*VLOOKUP($R490,Frequenties[],3,FALSE)*VLOOKUP($A490,Locaties[],3,FALSE),0)</f>
        <v>0</v>
      </c>
      <c r="U490" s="215">
        <f>Ruimtestaat[[#This Row],[Uitvoeringen werkdagen]]*Ruimtestaat[[#This Row],[Oppervlak (netto)]]</f>
        <v>13410</v>
      </c>
      <c r="V490" s="259">
        <f>IF(T490&gt;0,Ruimtestaat[[#This Row],[Prest. (m2 /jaar) werkdagen]]/Ruimtestaat[[#This Row],[Norm (m2/uur) werkdagen]],0)</f>
        <v>0</v>
      </c>
      <c r="W490" s="260">
        <f>Ruimtestaat[[#This Row],[uren / jaar werkdagen]]*Tariefsopbouw!$D$38</f>
        <v>0</v>
      </c>
      <c r="X490" s="33"/>
      <c r="Y490" s="33">
        <f>IF(Ruimtestaat[[#This Row],[Frequentie weekend]]&gt;0,VALUE(LEFT(X490,1))*Q490,0)</f>
        <v>0</v>
      </c>
      <c r="Z490" s="33">
        <f>IF($Y490&gt;0,VLOOKUP($J490,Ruimtegroepen[],3,FALSE)*VLOOKUP($K490,Vloersoorten[],3,FALSE)*VLOOKUP($X490,Frequenties[],3,FALSE)*VLOOKUP(#REF!,Locaties[],3,FALSE),0)</f>
        <v>0</v>
      </c>
      <c r="AA490" s="33"/>
      <c r="AB490" s="33"/>
      <c r="AC490" s="33">
        <f>Ruimtestaat[[#This Row],[uren / jaar weekend]]*Tariefsopbouw!$D$40</f>
        <v>0</v>
      </c>
      <c r="AD490" s="88">
        <f>Ruimtestaat[[#This Row],[Prest. (m2 /jaar) weekend]]+Ruimtestaat[[#This Row],[Prest. (m2 /jaar) werkdagen]]</f>
        <v>13410</v>
      </c>
      <c r="AE490" s="88">
        <f>Ruimtestaat[[#This Row],[uren / jaar weekend]]+Ruimtestaat[[#This Row],[uren / jaar werkdagen]]</f>
        <v>0</v>
      </c>
      <c r="AF490" s="89">
        <f>Ruimtestaat[[#This Row],[kosten / jaar weekend]]+Ruimtestaat[[#This Row],[kosten / jaar werkdagen]]</f>
        <v>0</v>
      </c>
    </row>
    <row r="491" spans="1:32" ht="15" customHeight="1">
      <c r="A491" s="280">
        <v>4</v>
      </c>
      <c r="B491" s="21" t="str">
        <f>VLOOKUP(Ruimtestaat[[#This Row],[Code]],Locaties[#All],2,FALSE)</f>
        <v>PXC Rijssen</v>
      </c>
      <c r="C491" s="281" t="str">
        <f>VLOOKUP(Ruimtestaat[[#This Row],[Code]],Locaties[#All],4,FALSE)</f>
        <v>Graaf Ottostraat 48</v>
      </c>
      <c r="D491" s="281" t="str">
        <f>VLOOKUP(Ruimtestaat[[#This Row],[Code]],Locaties[#All],5,FALSE)</f>
        <v>7461 CP</v>
      </c>
      <c r="E491" s="281" t="str">
        <f>VLOOKUP(Ruimtestaat[[#This Row],[Code]],Locaties[#All],6,FALSE)</f>
        <v>Rijssen</v>
      </c>
      <c r="F491" s="282"/>
      <c r="G491" s="283"/>
      <c r="H491" s="280">
        <v>1.05</v>
      </c>
      <c r="I491" s="282" t="s">
        <v>1099</v>
      </c>
      <c r="J491" s="200">
        <v>16</v>
      </c>
      <c r="K491" s="243" t="s">
        <v>1040</v>
      </c>
      <c r="L491" s="284" t="s">
        <v>1122</v>
      </c>
      <c r="M491" s="213">
        <v>54.56</v>
      </c>
      <c r="N491" s="202"/>
      <c r="O491" s="243" t="str">
        <f>VLOOKUP(Ruimtestaat[[#This Row],[Ruimte code]],Ruimtegroepen[#All],4,FALSE)</f>
        <v>L  (Lesruimte)</v>
      </c>
      <c r="P491" s="214"/>
      <c r="Q491" s="215">
        <v>40</v>
      </c>
      <c r="R491" s="215" t="s">
        <v>2</v>
      </c>
      <c r="S491" s="215">
        <f>IF(R491&gt;0,IF(RIGHT(Ruimtestaat[[#This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1" s="215">
        <f>IF(S491&gt;0,VLOOKUP($J491,Ruimtegroepen[],3,FALSE)*VLOOKUP($K491,Vloersoorten[],3,FALSE)*VLOOKUP($R491,Frequenties[],3,FALSE)*VLOOKUP($A491,Locaties[],3,FALSE),0)</f>
        <v>0</v>
      </c>
      <c r="U491" s="215">
        <f>Ruimtestaat[[#This Row],[Uitvoeringen werkdagen]]*Ruimtestaat[[#This Row],[Oppervlak (netto)]]</f>
        <v>10912</v>
      </c>
      <c r="V491" s="259">
        <f>IF(T491&gt;0,Ruimtestaat[[#This Row],[Prest. (m2 /jaar) werkdagen]]/Ruimtestaat[[#This Row],[Norm (m2/uur) werkdagen]],0)</f>
        <v>0</v>
      </c>
      <c r="W491" s="260">
        <f>Ruimtestaat[[#This Row],[uren / jaar werkdagen]]*Tariefsopbouw!$D$38</f>
        <v>0</v>
      </c>
      <c r="X491" s="33"/>
      <c r="Y491" s="33">
        <f>IF(Ruimtestaat[[#This Row],[Frequentie weekend]]&gt;0,VALUE(LEFT(X491,1))*Q491,0)</f>
        <v>0</v>
      </c>
      <c r="Z491" s="33">
        <f>IF($Y491&gt;0,VLOOKUP($J491,Ruimtegroepen[],3,FALSE)*VLOOKUP($K491,Vloersoorten[],3,FALSE)*VLOOKUP($X491,Frequenties[],3,FALSE)*VLOOKUP(#REF!,Locaties[],3,FALSE),0)</f>
        <v>0</v>
      </c>
      <c r="AA491" s="33"/>
      <c r="AB491" s="33"/>
      <c r="AC491" s="33">
        <f>Ruimtestaat[[#This Row],[uren / jaar weekend]]*Tariefsopbouw!$D$40</f>
        <v>0</v>
      </c>
      <c r="AD491" s="88">
        <f>Ruimtestaat[[#This Row],[Prest. (m2 /jaar) weekend]]+Ruimtestaat[[#This Row],[Prest. (m2 /jaar) werkdagen]]</f>
        <v>10912</v>
      </c>
      <c r="AE491" s="88">
        <f>Ruimtestaat[[#This Row],[uren / jaar weekend]]+Ruimtestaat[[#This Row],[uren / jaar werkdagen]]</f>
        <v>0</v>
      </c>
      <c r="AF491" s="89">
        <f>Ruimtestaat[[#This Row],[kosten / jaar weekend]]+Ruimtestaat[[#This Row],[kosten / jaar werkdagen]]</f>
        <v>0</v>
      </c>
    </row>
    <row r="492" spans="1:32" ht="15" customHeight="1">
      <c r="A492" s="280">
        <v>4</v>
      </c>
      <c r="B492" s="21" t="str">
        <f>VLOOKUP(Ruimtestaat[[#This Row],[Code]],Locaties[#All],2,FALSE)</f>
        <v>PXC Rijssen</v>
      </c>
      <c r="C492" s="281" t="str">
        <f>VLOOKUP(Ruimtestaat[[#This Row],[Code]],Locaties[#All],4,FALSE)</f>
        <v>Graaf Ottostraat 48</v>
      </c>
      <c r="D492" s="281" t="str">
        <f>VLOOKUP(Ruimtestaat[[#This Row],[Code]],Locaties[#All],5,FALSE)</f>
        <v>7461 CP</v>
      </c>
      <c r="E492" s="281" t="str">
        <f>VLOOKUP(Ruimtestaat[[#This Row],[Code]],Locaties[#All],6,FALSE)</f>
        <v>Rijssen</v>
      </c>
      <c r="F492" s="282"/>
      <c r="G492" s="283"/>
      <c r="H492" s="280">
        <v>1.06</v>
      </c>
      <c r="I492" s="282" t="s">
        <v>1100</v>
      </c>
      <c r="J492" s="200">
        <v>16</v>
      </c>
      <c r="K492" s="243" t="s">
        <v>1040</v>
      </c>
      <c r="L492" s="284" t="s">
        <v>1122</v>
      </c>
      <c r="M492" s="213">
        <v>53.29</v>
      </c>
      <c r="N492" s="202"/>
      <c r="O492" s="243" t="str">
        <f>VLOOKUP(Ruimtestaat[[#This Row],[Ruimte code]],Ruimtegroepen[#All],4,FALSE)</f>
        <v>L  (Lesruimte)</v>
      </c>
      <c r="P492" s="214"/>
      <c r="Q492" s="215">
        <v>40</v>
      </c>
      <c r="R492" s="215" t="s">
        <v>2</v>
      </c>
      <c r="S492" s="215">
        <f>IF(R492&gt;0,IF(RIGHT(Ruimtestaat[[#This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2" s="215">
        <f>IF(S492&gt;0,VLOOKUP($J492,Ruimtegroepen[],3,FALSE)*VLOOKUP($K492,Vloersoorten[],3,FALSE)*VLOOKUP($R492,Frequenties[],3,FALSE)*VLOOKUP($A492,Locaties[],3,FALSE),0)</f>
        <v>0</v>
      </c>
      <c r="U492" s="215">
        <f>Ruimtestaat[[#This Row],[Uitvoeringen werkdagen]]*Ruimtestaat[[#This Row],[Oppervlak (netto)]]</f>
        <v>10658</v>
      </c>
      <c r="V492" s="259">
        <f>IF(T492&gt;0,Ruimtestaat[[#This Row],[Prest. (m2 /jaar) werkdagen]]/Ruimtestaat[[#This Row],[Norm (m2/uur) werkdagen]],0)</f>
        <v>0</v>
      </c>
      <c r="W492" s="260">
        <f>Ruimtestaat[[#This Row],[uren / jaar werkdagen]]*Tariefsopbouw!$D$38</f>
        <v>0</v>
      </c>
      <c r="X492" s="33"/>
      <c r="Y492" s="33">
        <f>IF(Ruimtestaat[[#This Row],[Frequentie weekend]]&gt;0,VALUE(LEFT(X492,1))*Q492,0)</f>
        <v>0</v>
      </c>
      <c r="Z492" s="33">
        <f>IF($Y492&gt;0,VLOOKUP($J492,Ruimtegroepen[],3,FALSE)*VLOOKUP($K492,Vloersoorten[],3,FALSE)*VLOOKUP($X492,Frequenties[],3,FALSE)*VLOOKUP(#REF!,Locaties[],3,FALSE),0)</f>
        <v>0</v>
      </c>
      <c r="AA492" s="33"/>
      <c r="AB492" s="33"/>
      <c r="AC492" s="33">
        <f>Ruimtestaat[[#This Row],[uren / jaar weekend]]*Tariefsopbouw!$D$40</f>
        <v>0</v>
      </c>
      <c r="AD492" s="88">
        <f>Ruimtestaat[[#This Row],[Prest. (m2 /jaar) weekend]]+Ruimtestaat[[#This Row],[Prest. (m2 /jaar) werkdagen]]</f>
        <v>10658</v>
      </c>
      <c r="AE492" s="88">
        <f>Ruimtestaat[[#This Row],[uren / jaar weekend]]+Ruimtestaat[[#This Row],[uren / jaar werkdagen]]</f>
        <v>0</v>
      </c>
      <c r="AF492" s="89">
        <f>Ruimtestaat[[#This Row],[kosten / jaar weekend]]+Ruimtestaat[[#This Row],[kosten / jaar werkdagen]]</f>
        <v>0</v>
      </c>
    </row>
    <row r="493" spans="1:32" ht="15" customHeight="1">
      <c r="A493" s="280">
        <v>4</v>
      </c>
      <c r="B493" s="21" t="str">
        <f>VLOOKUP(Ruimtestaat[[#This Row],[Code]],Locaties[#All],2,FALSE)</f>
        <v>PXC Rijssen</v>
      </c>
      <c r="C493" s="281" t="str">
        <f>VLOOKUP(Ruimtestaat[[#This Row],[Code]],Locaties[#All],4,FALSE)</f>
        <v>Graaf Ottostraat 48</v>
      </c>
      <c r="D493" s="281" t="str">
        <f>VLOOKUP(Ruimtestaat[[#This Row],[Code]],Locaties[#All],5,FALSE)</f>
        <v>7461 CP</v>
      </c>
      <c r="E493" s="281" t="str">
        <f>VLOOKUP(Ruimtestaat[[#This Row],[Code]],Locaties[#All],6,FALSE)</f>
        <v>Rijssen</v>
      </c>
      <c r="F493" s="282"/>
      <c r="G493" s="283"/>
      <c r="H493" s="280">
        <v>1.07</v>
      </c>
      <c r="I493" s="282" t="s">
        <v>1064</v>
      </c>
      <c r="J493" s="200">
        <v>6</v>
      </c>
      <c r="K493" s="243" t="s">
        <v>1040</v>
      </c>
      <c r="L493" s="284" t="s">
        <v>1122</v>
      </c>
      <c r="M493" s="213">
        <v>54.19</v>
      </c>
      <c r="N493" s="202"/>
      <c r="O493" s="243" t="str">
        <f>VLOOKUP(Ruimtestaat[[#This Row],[Ruimte code]],Ruimtegroepen[#All],4,FALSE)</f>
        <v>V  (Verkeersruimte)</v>
      </c>
      <c r="P493" s="214"/>
      <c r="Q493" s="215">
        <v>40</v>
      </c>
      <c r="R493" s="215" t="s">
        <v>2</v>
      </c>
      <c r="S493" s="215">
        <f>IF(R493&gt;0,IF(RIGHT(Ruimtestaat[[#This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3" s="215">
        <f>IF(S493&gt;0,VLOOKUP($J493,Ruimtegroepen[],3,FALSE)*VLOOKUP($K493,Vloersoorten[],3,FALSE)*VLOOKUP($R493,Frequenties[],3,FALSE)*VLOOKUP($A493,Locaties[],3,FALSE),0)</f>
        <v>0</v>
      </c>
      <c r="U493" s="215">
        <f>Ruimtestaat[[#This Row],[Uitvoeringen werkdagen]]*Ruimtestaat[[#This Row],[Oppervlak (netto)]]</f>
        <v>10838</v>
      </c>
      <c r="V493" s="259">
        <f>IF(T493&gt;0,Ruimtestaat[[#This Row],[Prest. (m2 /jaar) werkdagen]]/Ruimtestaat[[#This Row],[Norm (m2/uur) werkdagen]],0)</f>
        <v>0</v>
      </c>
      <c r="W493" s="260">
        <f>Ruimtestaat[[#This Row],[uren / jaar werkdagen]]*Tariefsopbouw!$D$38</f>
        <v>0</v>
      </c>
      <c r="X493" s="33"/>
      <c r="Y493" s="33">
        <f>IF(Ruimtestaat[[#This Row],[Frequentie weekend]]&gt;0,VALUE(LEFT(X493,1))*Q493,0)</f>
        <v>0</v>
      </c>
      <c r="Z493" s="33">
        <f>IF($Y493&gt;0,VLOOKUP($J493,Ruimtegroepen[],3,FALSE)*VLOOKUP($K493,Vloersoorten[],3,FALSE)*VLOOKUP($X493,Frequenties[],3,FALSE)*VLOOKUP(#REF!,Locaties[],3,FALSE),0)</f>
        <v>0</v>
      </c>
      <c r="AA493" s="33"/>
      <c r="AB493" s="33"/>
      <c r="AC493" s="33">
        <f>Ruimtestaat[[#This Row],[uren / jaar weekend]]*Tariefsopbouw!$D$40</f>
        <v>0</v>
      </c>
      <c r="AD493" s="88">
        <f>Ruimtestaat[[#This Row],[Prest. (m2 /jaar) weekend]]+Ruimtestaat[[#This Row],[Prest. (m2 /jaar) werkdagen]]</f>
        <v>10838</v>
      </c>
      <c r="AE493" s="88">
        <f>Ruimtestaat[[#This Row],[uren / jaar weekend]]+Ruimtestaat[[#This Row],[uren / jaar werkdagen]]</f>
        <v>0</v>
      </c>
      <c r="AF493" s="89">
        <f>Ruimtestaat[[#This Row],[kosten / jaar weekend]]+Ruimtestaat[[#This Row],[kosten / jaar werkdagen]]</f>
        <v>0</v>
      </c>
    </row>
    <row r="494" spans="1:32" ht="15" customHeight="1">
      <c r="A494" s="280">
        <v>4</v>
      </c>
      <c r="B494" s="21" t="str">
        <f>VLOOKUP(Ruimtestaat[[#This Row],[Code]],Locaties[#All],2,FALSE)</f>
        <v>PXC Rijssen</v>
      </c>
      <c r="C494" s="281" t="str">
        <f>VLOOKUP(Ruimtestaat[[#This Row],[Code]],Locaties[#All],4,FALSE)</f>
        <v>Graaf Ottostraat 48</v>
      </c>
      <c r="D494" s="281" t="str">
        <f>VLOOKUP(Ruimtestaat[[#This Row],[Code]],Locaties[#All],5,FALSE)</f>
        <v>7461 CP</v>
      </c>
      <c r="E494" s="281" t="str">
        <f>VLOOKUP(Ruimtestaat[[#This Row],[Code]],Locaties[#All],6,FALSE)</f>
        <v>Rijssen</v>
      </c>
      <c r="F494" s="282"/>
      <c r="G494" s="283"/>
      <c r="H494" s="280">
        <v>1.08</v>
      </c>
      <c r="I494" s="282" t="s">
        <v>1101</v>
      </c>
      <c r="J494" s="200">
        <v>21</v>
      </c>
      <c r="K494" s="243" t="s">
        <v>1042</v>
      </c>
      <c r="L494" s="284" t="s">
        <v>1121</v>
      </c>
      <c r="M494" s="213">
        <v>3.92</v>
      </c>
      <c r="N494" s="202"/>
      <c r="O494" s="243" t="str">
        <f>VLOOKUP(Ruimtestaat[[#This Row],[Ruimte code]],Ruimtegroepen[#All],4,FALSE)</f>
        <v>Niet in onderhoud</v>
      </c>
      <c r="P494" s="214"/>
      <c r="Q494" s="215">
        <v>40</v>
      </c>
      <c r="R494" s="215"/>
      <c r="S494" s="215">
        <f>IF(R494&gt;0,IF(RIGHT(Ruimtestaat[[#This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494" s="215">
        <f>IF(S494&gt;0,VLOOKUP($J494,Ruimtegroepen[],3,FALSE)*VLOOKUP($K494,Vloersoorten[],3,FALSE)*VLOOKUP($R494,Frequenties[],3,FALSE)*VLOOKUP($A494,Locaties[],3,FALSE),0)</f>
        <v>0</v>
      </c>
      <c r="U494" s="215">
        <f>Ruimtestaat[[#This Row],[Uitvoeringen werkdagen]]*Ruimtestaat[[#This Row],[Oppervlak (netto)]]</f>
        <v>0</v>
      </c>
      <c r="V494" s="259">
        <f>IF(T494&gt;0,Ruimtestaat[[#This Row],[Prest. (m2 /jaar) werkdagen]]/Ruimtestaat[[#This Row],[Norm (m2/uur) werkdagen]],0)</f>
        <v>0</v>
      </c>
      <c r="W494" s="260">
        <f>Ruimtestaat[[#This Row],[uren / jaar werkdagen]]*Tariefsopbouw!$D$38</f>
        <v>0</v>
      </c>
      <c r="X494" s="33"/>
      <c r="Y494" s="33">
        <f>IF(Ruimtestaat[[#This Row],[Frequentie weekend]]&gt;0,VALUE(LEFT(X494,1))*Q494,0)</f>
        <v>0</v>
      </c>
      <c r="Z494" s="33">
        <f>IF($Y494&gt;0,VLOOKUP($J494,Ruimtegroepen[],3,FALSE)*VLOOKUP($K494,Vloersoorten[],3,FALSE)*VLOOKUP($X494,Frequenties[],3,FALSE)*VLOOKUP(#REF!,Locaties[],3,FALSE),0)</f>
        <v>0</v>
      </c>
      <c r="AA494" s="33"/>
      <c r="AB494" s="33"/>
      <c r="AC494" s="33">
        <f>Ruimtestaat[[#This Row],[uren / jaar weekend]]*Tariefsopbouw!$D$40</f>
        <v>0</v>
      </c>
      <c r="AD494" s="88">
        <f>Ruimtestaat[[#This Row],[Prest. (m2 /jaar) weekend]]+Ruimtestaat[[#This Row],[Prest. (m2 /jaar) werkdagen]]</f>
        <v>0</v>
      </c>
      <c r="AE494" s="88">
        <f>Ruimtestaat[[#This Row],[uren / jaar weekend]]+Ruimtestaat[[#This Row],[uren / jaar werkdagen]]</f>
        <v>0</v>
      </c>
      <c r="AF494" s="89">
        <f>Ruimtestaat[[#This Row],[kosten / jaar weekend]]+Ruimtestaat[[#This Row],[kosten / jaar werkdagen]]</f>
        <v>0</v>
      </c>
    </row>
    <row r="495" spans="1:32" ht="15" customHeight="1">
      <c r="A495" s="280">
        <v>4</v>
      </c>
      <c r="B495" s="21" t="str">
        <f>VLOOKUP(Ruimtestaat[[#This Row],[Code]],Locaties[#All],2,FALSE)</f>
        <v>PXC Rijssen</v>
      </c>
      <c r="C495" s="281" t="str">
        <f>VLOOKUP(Ruimtestaat[[#This Row],[Code]],Locaties[#All],4,FALSE)</f>
        <v>Graaf Ottostraat 48</v>
      </c>
      <c r="D495" s="281" t="str">
        <f>VLOOKUP(Ruimtestaat[[#This Row],[Code]],Locaties[#All],5,FALSE)</f>
        <v>7461 CP</v>
      </c>
      <c r="E495" s="281" t="str">
        <f>VLOOKUP(Ruimtestaat[[#This Row],[Code]],Locaties[#All],6,FALSE)</f>
        <v>Rijssen</v>
      </c>
      <c r="F495" s="282"/>
      <c r="G495" s="283"/>
      <c r="H495" s="280">
        <v>1.0900000000000001</v>
      </c>
      <c r="I495" s="282" t="s">
        <v>1062</v>
      </c>
      <c r="J495" s="200">
        <v>5</v>
      </c>
      <c r="K495" s="243" t="s">
        <v>111</v>
      </c>
      <c r="L495" s="284" t="s">
        <v>913</v>
      </c>
      <c r="M495" s="213">
        <v>9.59</v>
      </c>
      <c r="N495" s="213"/>
      <c r="O495" s="243" t="str">
        <f>VLOOKUP(Ruimtestaat[[#This Row],[Ruimte code]],Ruimtegroepen[#All],4,FALSE)</f>
        <v>S  (Sanitair)</v>
      </c>
      <c r="P495" s="214"/>
      <c r="Q495" s="215">
        <v>40</v>
      </c>
      <c r="R495" s="215" t="s">
        <v>2</v>
      </c>
      <c r="S495" s="215">
        <f>IF(R495&gt;0,IF(RIGHT(Ruimtestaat[[#This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5" s="215">
        <f>IF(S495&gt;0,VLOOKUP($J495,Ruimtegroepen[],3,FALSE)*VLOOKUP($K495,Vloersoorten[],3,FALSE)*VLOOKUP($R495,Frequenties[],3,FALSE)*VLOOKUP($A495,Locaties[],3,FALSE),0)</f>
        <v>0</v>
      </c>
      <c r="U495" s="215">
        <f>Ruimtestaat[[#This Row],[Uitvoeringen werkdagen]]*Ruimtestaat[[#This Row],[Oppervlak (netto)]]</f>
        <v>1918</v>
      </c>
      <c r="V495" s="259">
        <f>IF(T495&gt;0,Ruimtestaat[[#This Row],[Prest. (m2 /jaar) werkdagen]]/Ruimtestaat[[#This Row],[Norm (m2/uur) werkdagen]],0)</f>
        <v>0</v>
      </c>
      <c r="W495" s="260">
        <f>Ruimtestaat[[#This Row],[uren / jaar werkdagen]]*Tariefsopbouw!$D$38</f>
        <v>0</v>
      </c>
      <c r="X495" s="33"/>
      <c r="Y495" s="33">
        <f>IF(Ruimtestaat[[#This Row],[Frequentie weekend]]&gt;0,VALUE(LEFT(X495,1))*Q495,0)</f>
        <v>0</v>
      </c>
      <c r="Z495" s="33">
        <f>IF($Y495&gt;0,VLOOKUP($J495,Ruimtegroepen[],3,FALSE)*VLOOKUP($K495,Vloersoorten[],3,FALSE)*VLOOKUP($X495,Frequenties[],3,FALSE)*VLOOKUP(#REF!,Locaties[],3,FALSE),0)</f>
        <v>0</v>
      </c>
      <c r="AA495" s="33"/>
      <c r="AB495" s="33"/>
      <c r="AC495" s="33">
        <f>Ruimtestaat[[#This Row],[uren / jaar weekend]]*Tariefsopbouw!$D$40</f>
        <v>0</v>
      </c>
      <c r="AD495" s="88">
        <f>Ruimtestaat[[#This Row],[Prest. (m2 /jaar) weekend]]+Ruimtestaat[[#This Row],[Prest. (m2 /jaar) werkdagen]]</f>
        <v>1918</v>
      </c>
      <c r="AE495" s="88">
        <f>Ruimtestaat[[#This Row],[uren / jaar weekend]]+Ruimtestaat[[#This Row],[uren / jaar werkdagen]]</f>
        <v>0</v>
      </c>
      <c r="AF495" s="89">
        <f>Ruimtestaat[[#This Row],[kosten / jaar weekend]]+Ruimtestaat[[#This Row],[kosten / jaar werkdagen]]</f>
        <v>0</v>
      </c>
    </row>
    <row r="496" spans="1:32" ht="15" customHeight="1">
      <c r="A496" s="280">
        <v>4</v>
      </c>
      <c r="B496" s="21" t="str">
        <f>VLOOKUP(Ruimtestaat[[#This Row],[Code]],Locaties[#All],2,FALSE)</f>
        <v>PXC Rijssen</v>
      </c>
      <c r="C496" s="281" t="str">
        <f>VLOOKUP(Ruimtestaat[[#This Row],[Code]],Locaties[#All],4,FALSE)</f>
        <v>Graaf Ottostraat 48</v>
      </c>
      <c r="D496" s="281" t="str">
        <f>VLOOKUP(Ruimtestaat[[#This Row],[Code]],Locaties[#All],5,FALSE)</f>
        <v>7461 CP</v>
      </c>
      <c r="E496" s="281" t="str">
        <f>VLOOKUP(Ruimtestaat[[#This Row],[Code]],Locaties[#All],6,FALSE)</f>
        <v>Rijssen</v>
      </c>
      <c r="F496" s="282"/>
      <c r="G496" s="283"/>
      <c r="H496" s="280">
        <v>1.1000000000000001</v>
      </c>
      <c r="I496" s="282" t="s">
        <v>1061</v>
      </c>
      <c r="J496" s="200">
        <v>5</v>
      </c>
      <c r="K496" s="243" t="s">
        <v>111</v>
      </c>
      <c r="L496" s="284" t="s">
        <v>913</v>
      </c>
      <c r="M496" s="213">
        <v>9.86</v>
      </c>
      <c r="N496" s="213"/>
      <c r="O496" s="243" t="str">
        <f>VLOOKUP(Ruimtestaat[[#This Row],[Ruimte code]],Ruimtegroepen[#All],4,FALSE)</f>
        <v>S  (Sanitair)</v>
      </c>
      <c r="P496" s="214"/>
      <c r="Q496" s="215">
        <v>40</v>
      </c>
      <c r="R496" s="215" t="s">
        <v>2</v>
      </c>
      <c r="S496" s="215">
        <f>IF(R496&gt;0,IF(RIGHT(Ruimtestaat[[#This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6" s="215">
        <f>IF(S496&gt;0,VLOOKUP($J496,Ruimtegroepen[],3,FALSE)*VLOOKUP($K496,Vloersoorten[],3,FALSE)*VLOOKUP($R496,Frequenties[],3,FALSE)*VLOOKUP($A496,Locaties[],3,FALSE),0)</f>
        <v>0</v>
      </c>
      <c r="U496" s="215">
        <f>Ruimtestaat[[#This Row],[Uitvoeringen werkdagen]]*Ruimtestaat[[#This Row],[Oppervlak (netto)]]</f>
        <v>1972</v>
      </c>
      <c r="V496" s="259">
        <f>IF(T496&gt;0,Ruimtestaat[[#This Row],[Prest. (m2 /jaar) werkdagen]]/Ruimtestaat[[#This Row],[Norm (m2/uur) werkdagen]],0)</f>
        <v>0</v>
      </c>
      <c r="W496" s="260">
        <f>Ruimtestaat[[#This Row],[uren / jaar werkdagen]]*Tariefsopbouw!$D$38</f>
        <v>0</v>
      </c>
      <c r="X496" s="33"/>
      <c r="Y496" s="33">
        <f>IF(Ruimtestaat[[#This Row],[Frequentie weekend]]&gt;0,VALUE(LEFT(X496,1))*Q496,0)</f>
        <v>0</v>
      </c>
      <c r="Z496" s="33">
        <f>IF($Y496&gt;0,VLOOKUP($J496,Ruimtegroepen[],3,FALSE)*VLOOKUP($K496,Vloersoorten[],3,FALSE)*VLOOKUP($X496,Frequenties[],3,FALSE)*VLOOKUP(#REF!,Locaties[],3,FALSE),0)</f>
        <v>0</v>
      </c>
      <c r="AA496" s="33"/>
      <c r="AB496" s="33"/>
      <c r="AC496" s="33">
        <f>Ruimtestaat[[#This Row],[uren / jaar weekend]]*Tariefsopbouw!$D$40</f>
        <v>0</v>
      </c>
      <c r="AD496" s="88">
        <f>Ruimtestaat[[#This Row],[Prest. (m2 /jaar) weekend]]+Ruimtestaat[[#This Row],[Prest. (m2 /jaar) werkdagen]]</f>
        <v>1972</v>
      </c>
      <c r="AE496" s="88">
        <f>Ruimtestaat[[#This Row],[uren / jaar weekend]]+Ruimtestaat[[#This Row],[uren / jaar werkdagen]]</f>
        <v>0</v>
      </c>
      <c r="AF496" s="89">
        <f>Ruimtestaat[[#This Row],[kosten / jaar weekend]]+Ruimtestaat[[#This Row],[kosten / jaar werkdagen]]</f>
        <v>0</v>
      </c>
    </row>
    <row r="497" spans="1:32" ht="15" customHeight="1">
      <c r="A497" s="280">
        <v>4</v>
      </c>
      <c r="B497" s="21" t="str">
        <f>VLOOKUP(Ruimtestaat[[#This Row],[Code]],Locaties[#All],2,FALSE)</f>
        <v>PXC Rijssen</v>
      </c>
      <c r="C497" s="281" t="str">
        <f>VLOOKUP(Ruimtestaat[[#This Row],[Code]],Locaties[#All],4,FALSE)</f>
        <v>Graaf Ottostraat 48</v>
      </c>
      <c r="D497" s="281" t="str">
        <f>VLOOKUP(Ruimtestaat[[#This Row],[Code]],Locaties[#All],5,FALSE)</f>
        <v>7461 CP</v>
      </c>
      <c r="E497" s="281" t="str">
        <f>VLOOKUP(Ruimtestaat[[#This Row],[Code]],Locaties[#All],6,FALSE)</f>
        <v>Rijssen</v>
      </c>
      <c r="F497" s="282"/>
      <c r="G497" s="283"/>
      <c r="H497" s="280">
        <v>1.1100000000000001</v>
      </c>
      <c r="I497" s="282" t="s">
        <v>1062</v>
      </c>
      <c r="J497" s="200">
        <v>5</v>
      </c>
      <c r="K497" s="243" t="s">
        <v>111</v>
      </c>
      <c r="L497" s="284" t="s">
        <v>913</v>
      </c>
      <c r="M497" s="213">
        <v>4.5599999999999996</v>
      </c>
      <c r="N497" s="202"/>
      <c r="O497" s="243" t="str">
        <f>VLOOKUP(Ruimtestaat[[#This Row],[Ruimte code]],Ruimtegroepen[#All],4,FALSE)</f>
        <v>S  (Sanitair)</v>
      </c>
      <c r="P497" s="214"/>
      <c r="Q497" s="215">
        <v>40</v>
      </c>
      <c r="R497" s="215" t="s">
        <v>2</v>
      </c>
      <c r="S497" s="215">
        <f>IF(R497&gt;0,IF(RIGHT(Ruimtestaat[[#This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7" s="215">
        <f>IF(S497&gt;0,VLOOKUP($J497,Ruimtegroepen[],3,FALSE)*VLOOKUP($K497,Vloersoorten[],3,FALSE)*VLOOKUP($R497,Frequenties[],3,FALSE)*VLOOKUP($A497,Locaties[],3,FALSE),0)</f>
        <v>0</v>
      </c>
      <c r="U497" s="215">
        <f>Ruimtestaat[[#This Row],[Uitvoeringen werkdagen]]*Ruimtestaat[[#This Row],[Oppervlak (netto)]]</f>
        <v>911.99999999999989</v>
      </c>
      <c r="V497" s="259">
        <f>IF(T497&gt;0,Ruimtestaat[[#This Row],[Prest. (m2 /jaar) werkdagen]]/Ruimtestaat[[#This Row],[Norm (m2/uur) werkdagen]],0)</f>
        <v>0</v>
      </c>
      <c r="W497" s="260">
        <f>Ruimtestaat[[#This Row],[uren / jaar werkdagen]]*Tariefsopbouw!$D$38</f>
        <v>0</v>
      </c>
      <c r="X497" s="33"/>
      <c r="Y497" s="33">
        <f>IF(Ruimtestaat[[#This Row],[Frequentie weekend]]&gt;0,VALUE(LEFT(X497,1))*Q497,0)</f>
        <v>0</v>
      </c>
      <c r="Z497" s="33">
        <f>IF($Y497&gt;0,VLOOKUP($J497,Ruimtegroepen[],3,FALSE)*VLOOKUP($K497,Vloersoorten[],3,FALSE)*VLOOKUP($X497,Frequenties[],3,FALSE)*VLOOKUP(#REF!,Locaties[],3,FALSE),0)</f>
        <v>0</v>
      </c>
      <c r="AA497" s="33"/>
      <c r="AB497" s="33"/>
      <c r="AC497" s="33">
        <f>Ruimtestaat[[#This Row],[uren / jaar weekend]]*Tariefsopbouw!$D$40</f>
        <v>0</v>
      </c>
      <c r="AD497" s="88">
        <f>Ruimtestaat[[#This Row],[Prest. (m2 /jaar) weekend]]+Ruimtestaat[[#This Row],[Prest. (m2 /jaar) werkdagen]]</f>
        <v>911.99999999999989</v>
      </c>
      <c r="AE497" s="88">
        <f>Ruimtestaat[[#This Row],[uren / jaar weekend]]+Ruimtestaat[[#This Row],[uren / jaar werkdagen]]</f>
        <v>0</v>
      </c>
      <c r="AF497" s="89">
        <f>Ruimtestaat[[#This Row],[kosten / jaar weekend]]+Ruimtestaat[[#This Row],[kosten / jaar werkdagen]]</f>
        <v>0</v>
      </c>
    </row>
    <row r="498" spans="1:32" ht="15" customHeight="1">
      <c r="A498" s="280">
        <v>4</v>
      </c>
      <c r="B498" s="21" t="str">
        <f>VLOOKUP(Ruimtestaat[[#This Row],[Code]],Locaties[#All],2,FALSE)</f>
        <v>PXC Rijssen</v>
      </c>
      <c r="C498" s="281" t="str">
        <f>VLOOKUP(Ruimtestaat[[#This Row],[Code]],Locaties[#All],4,FALSE)</f>
        <v>Graaf Ottostraat 48</v>
      </c>
      <c r="D498" s="281" t="str">
        <f>VLOOKUP(Ruimtestaat[[#This Row],[Code]],Locaties[#All],5,FALSE)</f>
        <v>7461 CP</v>
      </c>
      <c r="E498" s="281" t="str">
        <f>VLOOKUP(Ruimtestaat[[#This Row],[Code]],Locaties[#All],6,FALSE)</f>
        <v>Rijssen</v>
      </c>
      <c r="F498" s="282"/>
      <c r="G498" s="283"/>
      <c r="H498" s="280">
        <v>1.1200000000000001</v>
      </c>
      <c r="I498" s="282" t="s">
        <v>1061</v>
      </c>
      <c r="J498" s="200">
        <v>5</v>
      </c>
      <c r="K498" s="243" t="s">
        <v>111</v>
      </c>
      <c r="L498" s="284" t="s">
        <v>913</v>
      </c>
      <c r="M498" s="213">
        <v>4.5599999999999996</v>
      </c>
      <c r="N498" s="202"/>
      <c r="O498" s="243" t="str">
        <f>VLOOKUP(Ruimtestaat[[#This Row],[Ruimte code]],Ruimtegroepen[#All],4,FALSE)</f>
        <v>S  (Sanitair)</v>
      </c>
      <c r="P498" s="214"/>
      <c r="Q498" s="215">
        <v>40</v>
      </c>
      <c r="R498" s="215" t="s">
        <v>2</v>
      </c>
      <c r="S498" s="215">
        <f>IF(R498&gt;0,IF(RIGHT(Ruimtestaat[[#This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498" s="215">
        <f>IF(S498&gt;0,VLOOKUP($J498,Ruimtegroepen[],3,FALSE)*VLOOKUP($K498,Vloersoorten[],3,FALSE)*VLOOKUP($R498,Frequenties[],3,FALSE)*VLOOKUP($A498,Locaties[],3,FALSE),0)</f>
        <v>0</v>
      </c>
      <c r="U498" s="215">
        <f>Ruimtestaat[[#This Row],[Uitvoeringen werkdagen]]*Ruimtestaat[[#This Row],[Oppervlak (netto)]]</f>
        <v>911.99999999999989</v>
      </c>
      <c r="V498" s="259">
        <f>IF(T498&gt;0,Ruimtestaat[[#This Row],[Prest. (m2 /jaar) werkdagen]]/Ruimtestaat[[#This Row],[Norm (m2/uur) werkdagen]],0)</f>
        <v>0</v>
      </c>
      <c r="W498" s="260">
        <f>Ruimtestaat[[#This Row],[uren / jaar werkdagen]]*Tariefsopbouw!$D$38</f>
        <v>0</v>
      </c>
      <c r="X498" s="33"/>
      <c r="Y498" s="33">
        <f>IF(Ruimtestaat[[#This Row],[Frequentie weekend]]&gt;0,VALUE(LEFT(X498,1))*Q498,0)</f>
        <v>0</v>
      </c>
      <c r="Z498" s="33">
        <f>IF($Y498&gt;0,VLOOKUP($J498,Ruimtegroepen[],3,FALSE)*VLOOKUP($K498,Vloersoorten[],3,FALSE)*VLOOKUP($X498,Frequenties[],3,FALSE)*VLOOKUP(#REF!,Locaties[],3,FALSE),0)</f>
        <v>0</v>
      </c>
      <c r="AA498" s="33"/>
      <c r="AB498" s="33"/>
      <c r="AC498" s="33">
        <f>Ruimtestaat[[#This Row],[uren / jaar weekend]]*Tariefsopbouw!$D$40</f>
        <v>0</v>
      </c>
      <c r="AD498" s="88">
        <f>Ruimtestaat[[#This Row],[Prest. (m2 /jaar) weekend]]+Ruimtestaat[[#This Row],[Prest. (m2 /jaar) werkdagen]]</f>
        <v>911.99999999999989</v>
      </c>
      <c r="AE498" s="88">
        <f>Ruimtestaat[[#This Row],[uren / jaar weekend]]+Ruimtestaat[[#This Row],[uren / jaar werkdagen]]</f>
        <v>0</v>
      </c>
      <c r="AF498" s="89">
        <f>Ruimtestaat[[#This Row],[kosten / jaar weekend]]+Ruimtestaat[[#This Row],[kosten / jaar werkdagen]]</f>
        <v>0</v>
      </c>
    </row>
    <row r="499" spans="1:32" ht="15" customHeight="1">
      <c r="A499" s="280">
        <v>4</v>
      </c>
      <c r="B499" s="21" t="str">
        <f>VLOOKUP(Ruimtestaat[[#This Row],[Code]],Locaties[#All],2,FALSE)</f>
        <v>PXC Rijssen</v>
      </c>
      <c r="C499" s="281" t="str">
        <f>VLOOKUP(Ruimtestaat[[#This Row],[Code]],Locaties[#All],4,FALSE)</f>
        <v>Graaf Ottostraat 48</v>
      </c>
      <c r="D499" s="281" t="str">
        <f>VLOOKUP(Ruimtestaat[[#This Row],[Code]],Locaties[#All],5,FALSE)</f>
        <v>7461 CP</v>
      </c>
      <c r="E499" s="281" t="str">
        <f>VLOOKUP(Ruimtestaat[[#This Row],[Code]],Locaties[#All],6,FALSE)</f>
        <v>Rijssen</v>
      </c>
      <c r="F499" s="282"/>
      <c r="G499" s="283"/>
      <c r="H499" s="280">
        <v>1.1299999999999999</v>
      </c>
      <c r="I499" s="282" t="s">
        <v>1102</v>
      </c>
      <c r="J499" s="200">
        <v>4</v>
      </c>
      <c r="K499" s="243" t="s">
        <v>1040</v>
      </c>
      <c r="L499" s="284" t="s">
        <v>1122</v>
      </c>
      <c r="M499" s="213">
        <v>29.89</v>
      </c>
      <c r="N499" s="202"/>
      <c r="O499" s="243" t="str">
        <f>VLOOKUP(Ruimtestaat[[#This Row],[Ruimte code]],Ruimtegroepen[#All],4,FALSE)</f>
        <v>B  (Bureauruimte)</v>
      </c>
      <c r="P499" s="214"/>
      <c r="Q499" s="215">
        <v>40</v>
      </c>
      <c r="R499" s="215" t="s">
        <v>18</v>
      </c>
      <c r="S499" s="215">
        <f>IF(R499&gt;0,IF(RIGHT(Ruimtestaat[[#This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499" s="215">
        <f>IF(S499&gt;0,VLOOKUP($J499,Ruimtegroepen[],3,FALSE)*VLOOKUP($K499,Vloersoorten[],3,FALSE)*VLOOKUP($R499,Frequenties[],3,FALSE)*VLOOKUP($A499,Locaties[],3,FALSE),0)</f>
        <v>0</v>
      </c>
      <c r="U499" s="215">
        <f>Ruimtestaat[[#This Row],[Uitvoeringen werkdagen]]*Ruimtestaat[[#This Row],[Oppervlak (netto)]]</f>
        <v>3586.8</v>
      </c>
      <c r="V499" s="259">
        <f>IF(T499&gt;0,Ruimtestaat[[#This Row],[Prest. (m2 /jaar) werkdagen]]/Ruimtestaat[[#This Row],[Norm (m2/uur) werkdagen]],0)</f>
        <v>0</v>
      </c>
      <c r="W499" s="260">
        <f>Ruimtestaat[[#This Row],[uren / jaar werkdagen]]*Tariefsopbouw!$D$38</f>
        <v>0</v>
      </c>
      <c r="X499" s="33"/>
      <c r="Y499" s="33">
        <f>IF(Ruimtestaat[[#This Row],[Frequentie weekend]]&gt;0,VALUE(LEFT(X499,1))*Q499,0)</f>
        <v>0</v>
      </c>
      <c r="Z499" s="33">
        <f>IF($Y499&gt;0,VLOOKUP($J499,Ruimtegroepen[],3,FALSE)*VLOOKUP($K499,Vloersoorten[],3,FALSE)*VLOOKUP($X499,Frequenties[],3,FALSE)*VLOOKUP(#REF!,Locaties[],3,FALSE),0)</f>
        <v>0</v>
      </c>
      <c r="AA499" s="33"/>
      <c r="AB499" s="33"/>
      <c r="AC499" s="33">
        <f>Ruimtestaat[[#This Row],[uren / jaar weekend]]*Tariefsopbouw!$D$40</f>
        <v>0</v>
      </c>
      <c r="AD499" s="88">
        <f>Ruimtestaat[[#This Row],[Prest. (m2 /jaar) weekend]]+Ruimtestaat[[#This Row],[Prest. (m2 /jaar) werkdagen]]</f>
        <v>3586.8</v>
      </c>
      <c r="AE499" s="88">
        <f>Ruimtestaat[[#This Row],[uren / jaar weekend]]+Ruimtestaat[[#This Row],[uren / jaar werkdagen]]</f>
        <v>0</v>
      </c>
      <c r="AF499" s="89">
        <f>Ruimtestaat[[#This Row],[kosten / jaar weekend]]+Ruimtestaat[[#This Row],[kosten / jaar werkdagen]]</f>
        <v>0</v>
      </c>
    </row>
    <row r="500" spans="1:32" ht="15" customHeight="1">
      <c r="A500" s="280">
        <v>4</v>
      </c>
      <c r="B500" s="21" t="str">
        <f>VLOOKUP(Ruimtestaat[[#This Row],[Code]],Locaties[#All],2,FALSE)</f>
        <v>PXC Rijssen</v>
      </c>
      <c r="C500" s="281" t="str">
        <f>VLOOKUP(Ruimtestaat[[#This Row],[Code]],Locaties[#All],4,FALSE)</f>
        <v>Graaf Ottostraat 48</v>
      </c>
      <c r="D500" s="281" t="str">
        <f>VLOOKUP(Ruimtestaat[[#This Row],[Code]],Locaties[#All],5,FALSE)</f>
        <v>7461 CP</v>
      </c>
      <c r="E500" s="281" t="str">
        <f>VLOOKUP(Ruimtestaat[[#This Row],[Code]],Locaties[#All],6,FALSE)</f>
        <v>Rijssen</v>
      </c>
      <c r="F500" s="282"/>
      <c r="G500" s="283"/>
      <c r="H500" s="280">
        <v>1.1399999999999999</v>
      </c>
      <c r="I500" s="282" t="s">
        <v>1102</v>
      </c>
      <c r="J500" s="200">
        <v>4</v>
      </c>
      <c r="K500" s="243" t="s">
        <v>1040</v>
      </c>
      <c r="L500" s="284" t="s">
        <v>1122</v>
      </c>
      <c r="M500" s="213">
        <v>12.59</v>
      </c>
      <c r="N500" s="202"/>
      <c r="O500" s="243" t="str">
        <f>VLOOKUP(Ruimtestaat[[#This Row],[Ruimte code]],Ruimtegroepen[#All],4,FALSE)</f>
        <v>B  (Bureauruimte)</v>
      </c>
      <c r="P500" s="214"/>
      <c r="Q500" s="215">
        <v>40</v>
      </c>
      <c r="R500" s="215" t="s">
        <v>18</v>
      </c>
      <c r="S500" s="215">
        <f>IF(R500&gt;0,IF(RIGHT(Ruimtestaat[[#This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00" s="215">
        <f>IF(S500&gt;0,VLOOKUP($J500,Ruimtegroepen[],3,FALSE)*VLOOKUP($K500,Vloersoorten[],3,FALSE)*VLOOKUP($R500,Frequenties[],3,FALSE)*VLOOKUP($A500,Locaties[],3,FALSE),0)</f>
        <v>0</v>
      </c>
      <c r="U500" s="215">
        <f>Ruimtestaat[[#This Row],[Uitvoeringen werkdagen]]*Ruimtestaat[[#This Row],[Oppervlak (netto)]]</f>
        <v>1510.8</v>
      </c>
      <c r="V500" s="259">
        <f>IF(T500&gt;0,Ruimtestaat[[#This Row],[Prest. (m2 /jaar) werkdagen]]/Ruimtestaat[[#This Row],[Norm (m2/uur) werkdagen]],0)</f>
        <v>0</v>
      </c>
      <c r="W500" s="260">
        <f>Ruimtestaat[[#This Row],[uren / jaar werkdagen]]*Tariefsopbouw!$D$38</f>
        <v>0</v>
      </c>
      <c r="X500" s="33"/>
      <c r="Y500" s="33">
        <f>IF(Ruimtestaat[[#This Row],[Frequentie weekend]]&gt;0,VALUE(LEFT(X500,1))*Q500,0)</f>
        <v>0</v>
      </c>
      <c r="Z500" s="33">
        <f>IF($Y500&gt;0,VLOOKUP($J500,Ruimtegroepen[],3,FALSE)*VLOOKUP($K500,Vloersoorten[],3,FALSE)*VLOOKUP($X500,Frequenties[],3,FALSE)*VLOOKUP(#REF!,Locaties[],3,FALSE),0)</f>
        <v>0</v>
      </c>
      <c r="AA500" s="33"/>
      <c r="AB500" s="33"/>
      <c r="AC500" s="33">
        <f>Ruimtestaat[[#This Row],[uren / jaar weekend]]*Tariefsopbouw!$D$40</f>
        <v>0</v>
      </c>
      <c r="AD500" s="88">
        <f>Ruimtestaat[[#This Row],[Prest. (m2 /jaar) weekend]]+Ruimtestaat[[#This Row],[Prest. (m2 /jaar) werkdagen]]</f>
        <v>1510.8</v>
      </c>
      <c r="AE500" s="88">
        <f>Ruimtestaat[[#This Row],[uren / jaar weekend]]+Ruimtestaat[[#This Row],[uren / jaar werkdagen]]</f>
        <v>0</v>
      </c>
      <c r="AF500" s="89">
        <f>Ruimtestaat[[#This Row],[kosten / jaar weekend]]+Ruimtestaat[[#This Row],[kosten / jaar werkdagen]]</f>
        <v>0</v>
      </c>
    </row>
    <row r="501" spans="1:32" ht="15" customHeight="1">
      <c r="A501" s="280">
        <v>4</v>
      </c>
      <c r="B501" s="21" t="str">
        <f>VLOOKUP(Ruimtestaat[[#This Row],[Code]],Locaties[#All],2,FALSE)</f>
        <v>PXC Rijssen</v>
      </c>
      <c r="C501" s="281" t="str">
        <f>VLOOKUP(Ruimtestaat[[#This Row],[Code]],Locaties[#All],4,FALSE)</f>
        <v>Graaf Ottostraat 48</v>
      </c>
      <c r="D501" s="281" t="str">
        <f>VLOOKUP(Ruimtestaat[[#This Row],[Code]],Locaties[#All],5,FALSE)</f>
        <v>7461 CP</v>
      </c>
      <c r="E501" s="281" t="str">
        <f>VLOOKUP(Ruimtestaat[[#This Row],[Code]],Locaties[#All],6,FALSE)</f>
        <v>Rijssen</v>
      </c>
      <c r="F501" s="282"/>
      <c r="G501" s="283"/>
      <c r="H501" s="280">
        <v>1.1599999999999999</v>
      </c>
      <c r="I501" s="282" t="s">
        <v>1103</v>
      </c>
      <c r="J501" s="200">
        <v>2</v>
      </c>
      <c r="K501" s="243" t="s">
        <v>1040</v>
      </c>
      <c r="L501" s="284" t="s">
        <v>1122</v>
      </c>
      <c r="M501" s="213">
        <v>29.64</v>
      </c>
      <c r="N501" s="202"/>
      <c r="O501" s="243" t="str">
        <f>VLOOKUP(Ruimtestaat[[#This Row],[Ruimte code]],Ruimtegroepen[#All],4,FALSE)</f>
        <v>B  (Bureauruimte)</v>
      </c>
      <c r="P501" s="214"/>
      <c r="Q501" s="215">
        <v>40</v>
      </c>
      <c r="R501" s="215" t="s">
        <v>17</v>
      </c>
      <c r="S501" s="215">
        <f>IF(R501&gt;0,IF(RIGHT(Ruimtestaat[[#This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1" s="215">
        <f>IF(S501&gt;0,VLOOKUP($J501,Ruimtegroepen[],3,FALSE)*VLOOKUP($K501,Vloersoorten[],3,FALSE)*VLOOKUP($R501,Frequenties[],3,FALSE)*VLOOKUP($A501,Locaties[],3,FALSE),0)</f>
        <v>0</v>
      </c>
      <c r="U501" s="215">
        <f>Ruimtestaat[[#This Row],[Uitvoeringen werkdagen]]*Ruimtestaat[[#This Row],[Oppervlak (netto)]]</f>
        <v>2371.1999999999998</v>
      </c>
      <c r="V501" s="259">
        <f>IF(T501&gt;0,Ruimtestaat[[#This Row],[Prest. (m2 /jaar) werkdagen]]/Ruimtestaat[[#This Row],[Norm (m2/uur) werkdagen]],0)</f>
        <v>0</v>
      </c>
      <c r="W501" s="260">
        <f>Ruimtestaat[[#This Row],[uren / jaar werkdagen]]*Tariefsopbouw!$D$38</f>
        <v>0</v>
      </c>
      <c r="X501" s="33"/>
      <c r="Y501" s="33">
        <f>IF(Ruimtestaat[[#This Row],[Frequentie weekend]]&gt;0,VALUE(LEFT(X501,1))*Q501,0)</f>
        <v>0</v>
      </c>
      <c r="Z501" s="33">
        <f>IF($Y501&gt;0,VLOOKUP($J501,Ruimtegroepen[],3,FALSE)*VLOOKUP($K501,Vloersoorten[],3,FALSE)*VLOOKUP($X501,Frequenties[],3,FALSE)*VLOOKUP(#REF!,Locaties[],3,FALSE),0)</f>
        <v>0</v>
      </c>
      <c r="AA501" s="33"/>
      <c r="AB501" s="33"/>
      <c r="AC501" s="33">
        <f>Ruimtestaat[[#This Row],[uren / jaar weekend]]*Tariefsopbouw!$D$40</f>
        <v>0</v>
      </c>
      <c r="AD501" s="88">
        <f>Ruimtestaat[[#This Row],[Prest. (m2 /jaar) weekend]]+Ruimtestaat[[#This Row],[Prest. (m2 /jaar) werkdagen]]</f>
        <v>2371.1999999999998</v>
      </c>
      <c r="AE501" s="88">
        <f>Ruimtestaat[[#This Row],[uren / jaar weekend]]+Ruimtestaat[[#This Row],[uren / jaar werkdagen]]</f>
        <v>0</v>
      </c>
      <c r="AF501" s="89">
        <f>Ruimtestaat[[#This Row],[kosten / jaar weekend]]+Ruimtestaat[[#This Row],[kosten / jaar werkdagen]]</f>
        <v>0</v>
      </c>
    </row>
    <row r="502" spans="1:32" ht="15" customHeight="1">
      <c r="A502" s="280">
        <v>4</v>
      </c>
      <c r="B502" s="21" t="str">
        <f>VLOOKUP(Ruimtestaat[[#This Row],[Code]],Locaties[#All],2,FALSE)</f>
        <v>PXC Rijssen</v>
      </c>
      <c r="C502" s="281" t="str">
        <f>VLOOKUP(Ruimtestaat[[#This Row],[Code]],Locaties[#All],4,FALSE)</f>
        <v>Graaf Ottostraat 48</v>
      </c>
      <c r="D502" s="281" t="str">
        <f>VLOOKUP(Ruimtestaat[[#This Row],[Code]],Locaties[#All],5,FALSE)</f>
        <v>7461 CP</v>
      </c>
      <c r="E502" s="281" t="str">
        <f>VLOOKUP(Ruimtestaat[[#This Row],[Code]],Locaties[#All],6,FALSE)</f>
        <v>Rijssen</v>
      </c>
      <c r="F502" s="282"/>
      <c r="G502" s="283"/>
      <c r="H502" s="280">
        <v>1.17</v>
      </c>
      <c r="I502" s="282" t="s">
        <v>1104</v>
      </c>
      <c r="J502" s="200">
        <v>2</v>
      </c>
      <c r="K502" s="243" t="s">
        <v>1040</v>
      </c>
      <c r="L502" s="284" t="s">
        <v>1122</v>
      </c>
      <c r="M502" s="213">
        <v>30.48</v>
      </c>
      <c r="N502" s="202"/>
      <c r="O502" s="243" t="str">
        <f>VLOOKUP(Ruimtestaat[[#This Row],[Ruimte code]],Ruimtegroepen[#All],4,FALSE)</f>
        <v>B  (Bureauruimte)</v>
      </c>
      <c r="P502" s="214"/>
      <c r="Q502" s="215">
        <v>40</v>
      </c>
      <c r="R502" s="215" t="s">
        <v>17</v>
      </c>
      <c r="S502" s="215">
        <f>IF(R502&gt;0,IF(RIGHT(Ruimtestaat[[#This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2" s="215">
        <f>IF(S502&gt;0,VLOOKUP($J502,Ruimtegroepen[],3,FALSE)*VLOOKUP($K502,Vloersoorten[],3,FALSE)*VLOOKUP($R502,Frequenties[],3,FALSE)*VLOOKUP($A502,Locaties[],3,FALSE),0)</f>
        <v>0</v>
      </c>
      <c r="U502" s="215">
        <f>Ruimtestaat[[#This Row],[Uitvoeringen werkdagen]]*Ruimtestaat[[#This Row],[Oppervlak (netto)]]</f>
        <v>2438.4</v>
      </c>
      <c r="V502" s="259">
        <f>IF(T502&gt;0,Ruimtestaat[[#This Row],[Prest. (m2 /jaar) werkdagen]]/Ruimtestaat[[#This Row],[Norm (m2/uur) werkdagen]],0)</f>
        <v>0</v>
      </c>
      <c r="W502" s="260">
        <f>Ruimtestaat[[#This Row],[uren / jaar werkdagen]]*Tariefsopbouw!$D$38</f>
        <v>0</v>
      </c>
      <c r="X502" s="33"/>
      <c r="Y502" s="33">
        <f>IF(Ruimtestaat[[#This Row],[Frequentie weekend]]&gt;0,VALUE(LEFT(X502,1))*Q502,0)</f>
        <v>0</v>
      </c>
      <c r="Z502" s="33">
        <f>IF($Y502&gt;0,VLOOKUP($J502,Ruimtegroepen[],3,FALSE)*VLOOKUP($K502,Vloersoorten[],3,FALSE)*VLOOKUP($X502,Frequenties[],3,FALSE)*VLOOKUP(#REF!,Locaties[],3,FALSE),0)</f>
        <v>0</v>
      </c>
      <c r="AA502" s="33"/>
      <c r="AB502" s="33"/>
      <c r="AC502" s="33">
        <f>Ruimtestaat[[#This Row],[uren / jaar weekend]]*Tariefsopbouw!$D$40</f>
        <v>0</v>
      </c>
      <c r="AD502" s="88">
        <f>Ruimtestaat[[#This Row],[Prest. (m2 /jaar) weekend]]+Ruimtestaat[[#This Row],[Prest. (m2 /jaar) werkdagen]]</f>
        <v>2438.4</v>
      </c>
      <c r="AE502" s="88">
        <f>Ruimtestaat[[#This Row],[uren / jaar weekend]]+Ruimtestaat[[#This Row],[uren / jaar werkdagen]]</f>
        <v>0</v>
      </c>
      <c r="AF502" s="89">
        <f>Ruimtestaat[[#This Row],[kosten / jaar weekend]]+Ruimtestaat[[#This Row],[kosten / jaar werkdagen]]</f>
        <v>0</v>
      </c>
    </row>
    <row r="503" spans="1:32" ht="15" customHeight="1">
      <c r="A503" s="280">
        <v>4</v>
      </c>
      <c r="B503" s="21" t="str">
        <f>VLOOKUP(Ruimtestaat[[#This Row],[Code]],Locaties[#All],2,FALSE)</f>
        <v>PXC Rijssen</v>
      </c>
      <c r="C503" s="281" t="str">
        <f>VLOOKUP(Ruimtestaat[[#This Row],[Code]],Locaties[#All],4,FALSE)</f>
        <v>Graaf Ottostraat 48</v>
      </c>
      <c r="D503" s="281" t="str">
        <f>VLOOKUP(Ruimtestaat[[#This Row],[Code]],Locaties[#All],5,FALSE)</f>
        <v>7461 CP</v>
      </c>
      <c r="E503" s="281" t="str">
        <f>VLOOKUP(Ruimtestaat[[#This Row],[Code]],Locaties[#All],6,FALSE)</f>
        <v>Rijssen</v>
      </c>
      <c r="F503" s="282"/>
      <c r="G503" s="283"/>
      <c r="H503" s="280">
        <v>1.18</v>
      </c>
      <c r="I503" s="282" t="s">
        <v>1068</v>
      </c>
      <c r="J503" s="281">
        <v>2</v>
      </c>
      <c r="K503" s="243" t="s">
        <v>1040</v>
      </c>
      <c r="L503" s="284" t="s">
        <v>1122</v>
      </c>
      <c r="M503" s="213">
        <v>20.2</v>
      </c>
      <c r="N503" s="202"/>
      <c r="O503" s="243" t="str">
        <f>VLOOKUP(Ruimtestaat[[#This Row],[Ruimte code]],Ruimtegroepen[#All],4,FALSE)</f>
        <v>B  (Bureauruimte)</v>
      </c>
      <c r="P503" s="214"/>
      <c r="Q503" s="215">
        <v>40</v>
      </c>
      <c r="R503" s="215" t="s">
        <v>17</v>
      </c>
      <c r="S503" s="215">
        <f>IF(R503&gt;0,IF(RIGHT(Ruimtestaat[[#This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3" s="215">
        <f>IF(S503&gt;0,VLOOKUP($J503,Ruimtegroepen[],3,FALSE)*VLOOKUP($K503,Vloersoorten[],3,FALSE)*VLOOKUP($R503,Frequenties[],3,FALSE)*VLOOKUP($A503,Locaties[],3,FALSE),0)</f>
        <v>0</v>
      </c>
      <c r="U503" s="215">
        <f>Ruimtestaat[[#This Row],[Uitvoeringen werkdagen]]*Ruimtestaat[[#This Row],[Oppervlak (netto)]]</f>
        <v>1616</v>
      </c>
      <c r="V503" s="259">
        <f>IF(T503&gt;0,Ruimtestaat[[#This Row],[Prest. (m2 /jaar) werkdagen]]/Ruimtestaat[[#This Row],[Norm (m2/uur) werkdagen]],0)</f>
        <v>0</v>
      </c>
      <c r="W503" s="260">
        <f>Ruimtestaat[[#This Row],[uren / jaar werkdagen]]*Tariefsopbouw!$D$38</f>
        <v>0</v>
      </c>
      <c r="X503" s="33"/>
      <c r="Y503" s="33">
        <f>IF(Ruimtestaat[[#This Row],[Frequentie weekend]]&gt;0,VALUE(LEFT(X503,1))*Q503,0)</f>
        <v>0</v>
      </c>
      <c r="Z503" s="33">
        <f>IF($Y503&gt;0,VLOOKUP($J503,Ruimtegroepen[],3,FALSE)*VLOOKUP($K503,Vloersoorten[],3,FALSE)*VLOOKUP($X503,Frequenties[],3,FALSE)*VLOOKUP(#REF!,Locaties[],3,FALSE),0)</f>
        <v>0</v>
      </c>
      <c r="AA503" s="33"/>
      <c r="AB503" s="33"/>
      <c r="AC503" s="33">
        <f>Ruimtestaat[[#This Row],[uren / jaar weekend]]*Tariefsopbouw!$D$40</f>
        <v>0</v>
      </c>
      <c r="AD503" s="88">
        <f>Ruimtestaat[[#This Row],[Prest. (m2 /jaar) weekend]]+Ruimtestaat[[#This Row],[Prest. (m2 /jaar) werkdagen]]</f>
        <v>1616</v>
      </c>
      <c r="AE503" s="88">
        <f>Ruimtestaat[[#This Row],[uren / jaar weekend]]+Ruimtestaat[[#This Row],[uren / jaar werkdagen]]</f>
        <v>0</v>
      </c>
      <c r="AF503" s="89">
        <f>Ruimtestaat[[#This Row],[kosten / jaar weekend]]+Ruimtestaat[[#This Row],[kosten / jaar werkdagen]]</f>
        <v>0</v>
      </c>
    </row>
    <row r="504" spans="1:32" ht="15" customHeight="1">
      <c r="A504" s="280">
        <v>4</v>
      </c>
      <c r="B504" s="21" t="str">
        <f>VLOOKUP(Ruimtestaat[[#This Row],[Code]],Locaties[#All],2,FALSE)</f>
        <v>PXC Rijssen</v>
      </c>
      <c r="C504" s="281" t="str">
        <f>VLOOKUP(Ruimtestaat[[#This Row],[Code]],Locaties[#All],4,FALSE)</f>
        <v>Graaf Ottostraat 48</v>
      </c>
      <c r="D504" s="281" t="str">
        <f>VLOOKUP(Ruimtestaat[[#This Row],[Code]],Locaties[#All],5,FALSE)</f>
        <v>7461 CP</v>
      </c>
      <c r="E504" s="281" t="str">
        <f>VLOOKUP(Ruimtestaat[[#This Row],[Code]],Locaties[#All],6,FALSE)</f>
        <v>Rijssen</v>
      </c>
      <c r="F504" s="282"/>
      <c r="G504" s="283"/>
      <c r="H504" s="280">
        <v>1.19</v>
      </c>
      <c r="I504" s="282" t="s">
        <v>915</v>
      </c>
      <c r="J504" s="281">
        <v>2</v>
      </c>
      <c r="K504" s="243" t="s">
        <v>1040</v>
      </c>
      <c r="L504" s="284" t="s">
        <v>1122</v>
      </c>
      <c r="M504" s="213">
        <v>19.239999999999998</v>
      </c>
      <c r="N504" s="202"/>
      <c r="O504" s="243" t="str">
        <f>VLOOKUP(Ruimtestaat[[#This Row],[Ruimte code]],Ruimtegroepen[#All],4,FALSE)</f>
        <v>B  (Bureauruimte)</v>
      </c>
      <c r="P504" s="214"/>
      <c r="Q504" s="215">
        <v>40</v>
      </c>
      <c r="R504" s="215" t="s">
        <v>17</v>
      </c>
      <c r="S504" s="215">
        <f>IF(R504&gt;0,IF(RIGHT(Ruimtestaat[[#This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04" s="215">
        <f>IF(S504&gt;0,VLOOKUP($J504,Ruimtegroepen[],3,FALSE)*VLOOKUP($K504,Vloersoorten[],3,FALSE)*VLOOKUP($R504,Frequenties[],3,FALSE)*VLOOKUP($A504,Locaties[],3,FALSE),0)</f>
        <v>0</v>
      </c>
      <c r="U504" s="215">
        <f>Ruimtestaat[[#This Row],[Uitvoeringen werkdagen]]*Ruimtestaat[[#This Row],[Oppervlak (netto)]]</f>
        <v>1539.1999999999998</v>
      </c>
      <c r="V504" s="259">
        <f>IF(T504&gt;0,Ruimtestaat[[#This Row],[Prest. (m2 /jaar) werkdagen]]/Ruimtestaat[[#This Row],[Norm (m2/uur) werkdagen]],0)</f>
        <v>0</v>
      </c>
      <c r="W504" s="260">
        <f>Ruimtestaat[[#This Row],[uren / jaar werkdagen]]*Tariefsopbouw!$D$38</f>
        <v>0</v>
      </c>
      <c r="X504" s="33"/>
      <c r="Y504" s="33">
        <f>IF(Ruimtestaat[[#This Row],[Frequentie weekend]]&gt;0,VALUE(LEFT(X504,1))*Q504,0)</f>
        <v>0</v>
      </c>
      <c r="Z504" s="33">
        <f>IF($Y504&gt;0,VLOOKUP($J504,Ruimtegroepen[],3,FALSE)*VLOOKUP($K504,Vloersoorten[],3,FALSE)*VLOOKUP($X504,Frequenties[],3,FALSE)*VLOOKUP(#REF!,Locaties[],3,FALSE),0)</f>
        <v>0</v>
      </c>
      <c r="AA504" s="33"/>
      <c r="AB504" s="33"/>
      <c r="AC504" s="33">
        <f>Ruimtestaat[[#This Row],[uren / jaar weekend]]*Tariefsopbouw!$D$40</f>
        <v>0</v>
      </c>
      <c r="AD504" s="88">
        <f>Ruimtestaat[[#This Row],[Prest. (m2 /jaar) weekend]]+Ruimtestaat[[#This Row],[Prest. (m2 /jaar) werkdagen]]</f>
        <v>1539.1999999999998</v>
      </c>
      <c r="AE504" s="88">
        <f>Ruimtestaat[[#This Row],[uren / jaar weekend]]+Ruimtestaat[[#This Row],[uren / jaar werkdagen]]</f>
        <v>0</v>
      </c>
      <c r="AF504" s="89">
        <f>Ruimtestaat[[#This Row],[kosten / jaar weekend]]+Ruimtestaat[[#This Row],[kosten / jaar werkdagen]]</f>
        <v>0</v>
      </c>
    </row>
    <row r="505" spans="1:32" ht="15" customHeight="1">
      <c r="A505" s="280">
        <v>4</v>
      </c>
      <c r="B505" s="21" t="str">
        <f>VLOOKUP(Ruimtestaat[[#This Row],[Code]],Locaties[#All],2,FALSE)</f>
        <v>PXC Rijssen</v>
      </c>
      <c r="C505" s="281" t="str">
        <f>VLOOKUP(Ruimtestaat[[#This Row],[Code]],Locaties[#All],4,FALSE)</f>
        <v>Graaf Ottostraat 48</v>
      </c>
      <c r="D505" s="281" t="str">
        <f>VLOOKUP(Ruimtestaat[[#This Row],[Code]],Locaties[#All],5,FALSE)</f>
        <v>7461 CP</v>
      </c>
      <c r="E505" s="281" t="str">
        <f>VLOOKUP(Ruimtestaat[[#This Row],[Code]],Locaties[#All],6,FALSE)</f>
        <v>Rijssen</v>
      </c>
      <c r="F505" s="282"/>
      <c r="G505" s="283"/>
      <c r="H505" s="280">
        <v>1.2</v>
      </c>
      <c r="I505" s="282" t="s">
        <v>1105</v>
      </c>
      <c r="J505" s="200">
        <v>8</v>
      </c>
      <c r="K505" s="243" t="s">
        <v>1040</v>
      </c>
      <c r="L505" s="284" t="s">
        <v>1122</v>
      </c>
      <c r="M505" s="213">
        <v>177.36</v>
      </c>
      <c r="N505" s="202"/>
      <c r="O505" s="243" t="str">
        <f>VLOOKUP(Ruimtestaat[[#This Row],[Ruimte code]],Ruimtegroepen[#All],4,FALSE)</f>
        <v>L  (Lesruimte)</v>
      </c>
      <c r="P505" s="214"/>
      <c r="Q505" s="215">
        <v>40</v>
      </c>
      <c r="R505" s="215" t="s">
        <v>2</v>
      </c>
      <c r="S505" s="215">
        <f>IF(R505&gt;0,IF(RIGHT(Ruimtestaat[[#This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5" s="215">
        <f>IF(S505&gt;0,VLOOKUP($J505,Ruimtegroepen[],3,FALSE)*VLOOKUP($K505,Vloersoorten[],3,FALSE)*VLOOKUP($R505,Frequenties[],3,FALSE)*VLOOKUP($A505,Locaties[],3,FALSE),0)</f>
        <v>0</v>
      </c>
      <c r="U505" s="215">
        <f>Ruimtestaat[[#This Row],[Uitvoeringen werkdagen]]*Ruimtestaat[[#This Row],[Oppervlak (netto)]]</f>
        <v>35472</v>
      </c>
      <c r="V505" s="259">
        <f>IF(T505&gt;0,Ruimtestaat[[#This Row],[Prest. (m2 /jaar) werkdagen]]/Ruimtestaat[[#This Row],[Norm (m2/uur) werkdagen]],0)</f>
        <v>0</v>
      </c>
      <c r="W505" s="260">
        <f>Ruimtestaat[[#This Row],[uren / jaar werkdagen]]*Tariefsopbouw!$D$38</f>
        <v>0</v>
      </c>
      <c r="X505" s="33"/>
      <c r="Y505" s="33">
        <f>IF(Ruimtestaat[[#This Row],[Frequentie weekend]]&gt;0,VALUE(LEFT(X505,1))*Q505,0)</f>
        <v>0</v>
      </c>
      <c r="Z505" s="33">
        <f>IF($Y505&gt;0,VLOOKUP($J505,Ruimtegroepen[],3,FALSE)*VLOOKUP($K505,Vloersoorten[],3,FALSE)*VLOOKUP($X505,Frequenties[],3,FALSE)*VLOOKUP(#REF!,Locaties[],3,FALSE),0)</f>
        <v>0</v>
      </c>
      <c r="AA505" s="33"/>
      <c r="AB505" s="33"/>
      <c r="AC505" s="33">
        <f>Ruimtestaat[[#This Row],[uren / jaar weekend]]*Tariefsopbouw!$D$40</f>
        <v>0</v>
      </c>
      <c r="AD505" s="88">
        <f>Ruimtestaat[[#This Row],[Prest. (m2 /jaar) weekend]]+Ruimtestaat[[#This Row],[Prest. (m2 /jaar) werkdagen]]</f>
        <v>35472</v>
      </c>
      <c r="AE505" s="88">
        <f>Ruimtestaat[[#This Row],[uren / jaar weekend]]+Ruimtestaat[[#This Row],[uren / jaar werkdagen]]</f>
        <v>0</v>
      </c>
      <c r="AF505" s="89">
        <f>Ruimtestaat[[#This Row],[kosten / jaar weekend]]+Ruimtestaat[[#This Row],[kosten / jaar werkdagen]]</f>
        <v>0</v>
      </c>
    </row>
    <row r="506" spans="1:32" ht="15" customHeight="1">
      <c r="A506" s="280">
        <v>4</v>
      </c>
      <c r="B506" s="21" t="str">
        <f>VLOOKUP(Ruimtestaat[[#This Row],[Code]],Locaties[#All],2,FALSE)</f>
        <v>PXC Rijssen</v>
      </c>
      <c r="C506" s="281" t="str">
        <f>VLOOKUP(Ruimtestaat[[#This Row],[Code]],Locaties[#All],4,FALSE)</f>
        <v>Graaf Ottostraat 48</v>
      </c>
      <c r="D506" s="281" t="str">
        <f>VLOOKUP(Ruimtestaat[[#This Row],[Code]],Locaties[#All],5,FALSE)</f>
        <v>7461 CP</v>
      </c>
      <c r="E506" s="281" t="str">
        <f>VLOOKUP(Ruimtestaat[[#This Row],[Code]],Locaties[#All],6,FALSE)</f>
        <v>Rijssen</v>
      </c>
      <c r="F506" s="282"/>
      <c r="G506" s="283"/>
      <c r="H506" s="280">
        <v>1.21</v>
      </c>
      <c r="I506" s="282" t="s">
        <v>1069</v>
      </c>
      <c r="J506" s="200">
        <v>10</v>
      </c>
      <c r="K506" s="243" t="s">
        <v>1040</v>
      </c>
      <c r="L506" s="284" t="s">
        <v>1122</v>
      </c>
      <c r="M506" s="213">
        <v>25.83</v>
      </c>
      <c r="N506" s="202"/>
      <c r="O506" s="243" t="str">
        <f>VLOOKUP(Ruimtestaat[[#This Row],[Ruimte code]],Ruimtegroepen[#All],4,FALSE)</f>
        <v>V  (Verkeersruimte)</v>
      </c>
      <c r="P506" s="214"/>
      <c r="Q506" s="215">
        <v>40</v>
      </c>
      <c r="R506" s="215" t="s">
        <v>2</v>
      </c>
      <c r="S506" s="215">
        <f>IF(R506&gt;0,IF(RIGHT(Ruimtestaat[[#This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6" s="215">
        <f>IF(S506&gt;0,VLOOKUP($J506,Ruimtegroepen[],3,FALSE)*VLOOKUP($K506,Vloersoorten[],3,FALSE)*VLOOKUP($R506,Frequenties[],3,FALSE)*VLOOKUP($A506,Locaties[],3,FALSE),0)</f>
        <v>0</v>
      </c>
      <c r="U506" s="215">
        <f>Ruimtestaat[[#This Row],[Uitvoeringen werkdagen]]*Ruimtestaat[[#This Row],[Oppervlak (netto)]]</f>
        <v>5166</v>
      </c>
      <c r="V506" s="259">
        <f>IF(T506&gt;0,Ruimtestaat[[#This Row],[Prest. (m2 /jaar) werkdagen]]/Ruimtestaat[[#This Row],[Norm (m2/uur) werkdagen]],0)</f>
        <v>0</v>
      </c>
      <c r="W506" s="260">
        <f>Ruimtestaat[[#This Row],[uren / jaar werkdagen]]*Tariefsopbouw!$D$38</f>
        <v>0</v>
      </c>
      <c r="X506" s="33"/>
      <c r="Y506" s="33">
        <f>IF(Ruimtestaat[[#This Row],[Frequentie weekend]]&gt;0,VALUE(LEFT(X506,1))*Q506,0)</f>
        <v>0</v>
      </c>
      <c r="Z506" s="33">
        <f>IF($Y506&gt;0,VLOOKUP($J506,Ruimtegroepen[],3,FALSE)*VLOOKUP($K506,Vloersoorten[],3,FALSE)*VLOOKUP($X506,Frequenties[],3,FALSE)*VLOOKUP(#REF!,Locaties[],3,FALSE),0)</f>
        <v>0</v>
      </c>
      <c r="AA506" s="33"/>
      <c r="AB506" s="33"/>
      <c r="AC506" s="33">
        <f>Ruimtestaat[[#This Row],[uren / jaar weekend]]*Tariefsopbouw!$D$40</f>
        <v>0</v>
      </c>
      <c r="AD506" s="88">
        <f>Ruimtestaat[[#This Row],[Prest. (m2 /jaar) weekend]]+Ruimtestaat[[#This Row],[Prest. (m2 /jaar) werkdagen]]</f>
        <v>5166</v>
      </c>
      <c r="AE506" s="88">
        <f>Ruimtestaat[[#This Row],[uren / jaar weekend]]+Ruimtestaat[[#This Row],[uren / jaar werkdagen]]</f>
        <v>0</v>
      </c>
      <c r="AF506" s="89">
        <f>Ruimtestaat[[#This Row],[kosten / jaar weekend]]+Ruimtestaat[[#This Row],[kosten / jaar werkdagen]]</f>
        <v>0</v>
      </c>
    </row>
    <row r="507" spans="1:32" ht="15" customHeight="1">
      <c r="A507" s="280">
        <v>4</v>
      </c>
      <c r="B507" s="21" t="str">
        <f>VLOOKUP(Ruimtestaat[[#This Row],[Code]],Locaties[#All],2,FALSE)</f>
        <v>PXC Rijssen</v>
      </c>
      <c r="C507" s="281" t="str">
        <f>VLOOKUP(Ruimtestaat[[#This Row],[Code]],Locaties[#All],4,FALSE)</f>
        <v>Graaf Ottostraat 48</v>
      </c>
      <c r="D507" s="281" t="str">
        <f>VLOOKUP(Ruimtestaat[[#This Row],[Code]],Locaties[#All],5,FALSE)</f>
        <v>7461 CP</v>
      </c>
      <c r="E507" s="281" t="str">
        <f>VLOOKUP(Ruimtestaat[[#This Row],[Code]],Locaties[#All],6,FALSE)</f>
        <v>Rijssen</v>
      </c>
      <c r="F507" s="282"/>
      <c r="G507" s="283"/>
      <c r="H507" s="280">
        <v>1.22</v>
      </c>
      <c r="I507" s="282" t="s">
        <v>1076</v>
      </c>
      <c r="J507" s="200">
        <v>1</v>
      </c>
      <c r="K507" s="243" t="s">
        <v>1040</v>
      </c>
      <c r="L507" s="284" t="s">
        <v>1120</v>
      </c>
      <c r="M507" s="213">
        <v>12.77</v>
      </c>
      <c r="N507" s="213"/>
      <c r="O507" s="243" t="str">
        <f>VLOOKUP(Ruimtestaat[[#This Row],[Ruimte code]],Ruimtegroepen[#All],4,FALSE)</f>
        <v>V  (Verkeersruimte)</v>
      </c>
      <c r="P507" s="214"/>
      <c r="Q507" s="215">
        <v>40</v>
      </c>
      <c r="R507" s="215" t="s">
        <v>16</v>
      </c>
      <c r="S507" s="215">
        <f>IF(R507&gt;0,IF(RIGHT(Ruimtestaat[[#This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07" s="215">
        <f>IF(S507&gt;0,VLOOKUP($J507,Ruimtegroepen[],3,FALSE)*VLOOKUP($K507,Vloersoorten[],3,FALSE)*VLOOKUP($R507,Frequenties[],3,FALSE)*VLOOKUP($A507,Locaties[],3,FALSE),0)</f>
        <v>0</v>
      </c>
      <c r="U507" s="215">
        <f>Ruimtestaat[[#This Row],[Uitvoeringen werkdagen]]*Ruimtestaat[[#This Row],[Oppervlak (netto)]]</f>
        <v>153.24</v>
      </c>
      <c r="V507" s="259">
        <f>IF(T507&gt;0,Ruimtestaat[[#This Row],[Prest. (m2 /jaar) werkdagen]]/Ruimtestaat[[#This Row],[Norm (m2/uur) werkdagen]],0)</f>
        <v>0</v>
      </c>
      <c r="W507" s="260">
        <f>Ruimtestaat[[#This Row],[uren / jaar werkdagen]]*Tariefsopbouw!$D$38</f>
        <v>0</v>
      </c>
      <c r="X507" s="33"/>
      <c r="Y507" s="33">
        <f>IF(Ruimtestaat[[#This Row],[Frequentie weekend]]&gt;0,VALUE(LEFT(X507,1))*Q507,0)</f>
        <v>0</v>
      </c>
      <c r="Z507" s="33">
        <f>IF($Y507&gt;0,VLOOKUP($J507,Ruimtegroepen[],3,FALSE)*VLOOKUP($K507,Vloersoorten[],3,FALSE)*VLOOKUP($X507,Frequenties[],3,FALSE)*VLOOKUP(#REF!,Locaties[],3,FALSE),0)</f>
        <v>0</v>
      </c>
      <c r="AA507" s="33"/>
      <c r="AB507" s="33"/>
      <c r="AC507" s="33">
        <f>Ruimtestaat[[#This Row],[uren / jaar weekend]]*Tariefsopbouw!$D$40</f>
        <v>0</v>
      </c>
      <c r="AD507" s="88">
        <f>Ruimtestaat[[#This Row],[Prest. (m2 /jaar) weekend]]+Ruimtestaat[[#This Row],[Prest. (m2 /jaar) werkdagen]]</f>
        <v>153.24</v>
      </c>
      <c r="AE507" s="88">
        <f>Ruimtestaat[[#This Row],[uren / jaar weekend]]+Ruimtestaat[[#This Row],[uren / jaar werkdagen]]</f>
        <v>0</v>
      </c>
      <c r="AF507" s="89">
        <f>Ruimtestaat[[#This Row],[kosten / jaar weekend]]+Ruimtestaat[[#This Row],[kosten / jaar werkdagen]]</f>
        <v>0</v>
      </c>
    </row>
    <row r="508" spans="1:32" ht="15" customHeight="1">
      <c r="A508" s="280">
        <v>4</v>
      </c>
      <c r="B508" s="21" t="str">
        <f>VLOOKUP(Ruimtestaat[[#This Row],[Code]],Locaties[#All],2,FALSE)</f>
        <v>PXC Rijssen</v>
      </c>
      <c r="C508" s="281" t="str">
        <f>VLOOKUP(Ruimtestaat[[#This Row],[Code]],Locaties[#All],4,FALSE)</f>
        <v>Graaf Ottostraat 48</v>
      </c>
      <c r="D508" s="281" t="str">
        <f>VLOOKUP(Ruimtestaat[[#This Row],[Code]],Locaties[#All],5,FALSE)</f>
        <v>7461 CP</v>
      </c>
      <c r="E508" s="281" t="str">
        <f>VLOOKUP(Ruimtestaat[[#This Row],[Code]],Locaties[#All],6,FALSE)</f>
        <v>Rijssen</v>
      </c>
      <c r="F508" s="282"/>
      <c r="G508" s="283"/>
      <c r="H508" s="280">
        <v>1.23</v>
      </c>
      <c r="I508" s="282" t="s">
        <v>1106</v>
      </c>
      <c r="J508" s="200">
        <v>11</v>
      </c>
      <c r="K508" s="243" t="s">
        <v>1040</v>
      </c>
      <c r="L508" s="284" t="s">
        <v>1122</v>
      </c>
      <c r="M508" s="213">
        <v>67.05</v>
      </c>
      <c r="N508" s="202"/>
      <c r="O508" s="243" t="str">
        <f>VLOOKUP(Ruimtestaat[[#This Row],[Ruimte code]],Ruimtegroepen[#All],4,FALSE)</f>
        <v>L  (Lesruimte)</v>
      </c>
      <c r="P508" s="214"/>
      <c r="Q508" s="215">
        <v>40</v>
      </c>
      <c r="R508" s="215" t="s">
        <v>2</v>
      </c>
      <c r="S508" s="215">
        <f>IF(R508&gt;0,IF(RIGHT(Ruimtestaat[[#This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8" s="215">
        <f>IF(S508&gt;0,VLOOKUP($J508,Ruimtegroepen[],3,FALSE)*VLOOKUP($K508,Vloersoorten[],3,FALSE)*VLOOKUP($R508,Frequenties[],3,FALSE)*VLOOKUP($A508,Locaties[],3,FALSE),0)</f>
        <v>0</v>
      </c>
      <c r="U508" s="215">
        <f>Ruimtestaat[[#This Row],[Uitvoeringen werkdagen]]*Ruimtestaat[[#This Row],[Oppervlak (netto)]]</f>
        <v>13410</v>
      </c>
      <c r="V508" s="259">
        <f>IF(T508&gt;0,Ruimtestaat[[#This Row],[Prest. (m2 /jaar) werkdagen]]/Ruimtestaat[[#This Row],[Norm (m2/uur) werkdagen]],0)</f>
        <v>0</v>
      </c>
      <c r="W508" s="260">
        <f>Ruimtestaat[[#This Row],[uren / jaar werkdagen]]*Tariefsopbouw!$D$38</f>
        <v>0</v>
      </c>
      <c r="X508" s="33"/>
      <c r="Y508" s="33">
        <f>IF(Ruimtestaat[[#This Row],[Frequentie weekend]]&gt;0,VALUE(LEFT(X508,1))*Q508,0)</f>
        <v>0</v>
      </c>
      <c r="Z508" s="33">
        <f>IF($Y508&gt;0,VLOOKUP($J508,Ruimtegroepen[],3,FALSE)*VLOOKUP($K508,Vloersoorten[],3,FALSE)*VLOOKUP($X508,Frequenties[],3,FALSE)*VLOOKUP(#REF!,Locaties[],3,FALSE),0)</f>
        <v>0</v>
      </c>
      <c r="AA508" s="33"/>
      <c r="AB508" s="33"/>
      <c r="AC508" s="33">
        <f>Ruimtestaat[[#This Row],[uren / jaar weekend]]*Tariefsopbouw!$D$40</f>
        <v>0</v>
      </c>
      <c r="AD508" s="88">
        <f>Ruimtestaat[[#This Row],[Prest. (m2 /jaar) weekend]]+Ruimtestaat[[#This Row],[Prest. (m2 /jaar) werkdagen]]</f>
        <v>13410</v>
      </c>
      <c r="AE508" s="88">
        <f>Ruimtestaat[[#This Row],[uren / jaar weekend]]+Ruimtestaat[[#This Row],[uren / jaar werkdagen]]</f>
        <v>0</v>
      </c>
      <c r="AF508" s="89">
        <f>Ruimtestaat[[#This Row],[kosten / jaar weekend]]+Ruimtestaat[[#This Row],[kosten / jaar werkdagen]]</f>
        <v>0</v>
      </c>
    </row>
    <row r="509" spans="1:32" ht="15" customHeight="1">
      <c r="A509" s="280">
        <v>4</v>
      </c>
      <c r="B509" s="21" t="str">
        <f>VLOOKUP(Ruimtestaat[[#This Row],[Code]],Locaties[#All],2,FALSE)</f>
        <v>PXC Rijssen</v>
      </c>
      <c r="C509" s="281" t="str">
        <f>VLOOKUP(Ruimtestaat[[#This Row],[Code]],Locaties[#All],4,FALSE)</f>
        <v>Graaf Ottostraat 48</v>
      </c>
      <c r="D509" s="281" t="str">
        <f>VLOOKUP(Ruimtestaat[[#This Row],[Code]],Locaties[#All],5,FALSE)</f>
        <v>7461 CP</v>
      </c>
      <c r="E509" s="281" t="str">
        <f>VLOOKUP(Ruimtestaat[[#This Row],[Code]],Locaties[#All],6,FALSE)</f>
        <v>Rijssen</v>
      </c>
      <c r="F509" s="282"/>
      <c r="G509" s="283"/>
      <c r="H509" s="280">
        <v>1.24</v>
      </c>
      <c r="I509" s="282" t="s">
        <v>1107</v>
      </c>
      <c r="J509" s="200">
        <v>16</v>
      </c>
      <c r="K509" s="243" t="s">
        <v>1040</v>
      </c>
      <c r="L509" s="284" t="s">
        <v>1122</v>
      </c>
      <c r="M509" s="213">
        <v>54.56</v>
      </c>
      <c r="N509" s="202"/>
      <c r="O509" s="243" t="str">
        <f>VLOOKUP(Ruimtestaat[[#This Row],[Ruimte code]],Ruimtegroepen[#All],4,FALSE)</f>
        <v>L  (Lesruimte)</v>
      </c>
      <c r="P509" s="214"/>
      <c r="Q509" s="215">
        <v>40</v>
      </c>
      <c r="R509" s="215" t="s">
        <v>2</v>
      </c>
      <c r="S509" s="215">
        <f>IF(R509&gt;0,IF(RIGHT(Ruimtestaat[[#This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09" s="215">
        <f>IF(S509&gt;0,VLOOKUP($J509,Ruimtegroepen[],3,FALSE)*VLOOKUP($K509,Vloersoorten[],3,FALSE)*VLOOKUP($R509,Frequenties[],3,FALSE)*VLOOKUP($A509,Locaties[],3,FALSE),0)</f>
        <v>0</v>
      </c>
      <c r="U509" s="215">
        <f>Ruimtestaat[[#This Row],[Uitvoeringen werkdagen]]*Ruimtestaat[[#This Row],[Oppervlak (netto)]]</f>
        <v>10912</v>
      </c>
      <c r="V509" s="259">
        <f>IF(T509&gt;0,Ruimtestaat[[#This Row],[Prest. (m2 /jaar) werkdagen]]/Ruimtestaat[[#This Row],[Norm (m2/uur) werkdagen]],0)</f>
        <v>0</v>
      </c>
      <c r="W509" s="260">
        <f>Ruimtestaat[[#This Row],[uren / jaar werkdagen]]*Tariefsopbouw!$D$38</f>
        <v>0</v>
      </c>
      <c r="X509" s="33"/>
      <c r="Y509" s="33">
        <f>IF(Ruimtestaat[[#This Row],[Frequentie weekend]]&gt;0,VALUE(LEFT(X509,1))*Q509,0)</f>
        <v>0</v>
      </c>
      <c r="Z509" s="33">
        <f>IF($Y509&gt;0,VLOOKUP($J509,Ruimtegroepen[],3,FALSE)*VLOOKUP($K509,Vloersoorten[],3,FALSE)*VLOOKUP($X509,Frequenties[],3,FALSE)*VLOOKUP(#REF!,Locaties[],3,FALSE),0)</f>
        <v>0</v>
      </c>
      <c r="AA509" s="33"/>
      <c r="AB509" s="33"/>
      <c r="AC509" s="33">
        <f>Ruimtestaat[[#This Row],[uren / jaar weekend]]*Tariefsopbouw!$D$40</f>
        <v>0</v>
      </c>
      <c r="AD509" s="88">
        <f>Ruimtestaat[[#This Row],[Prest. (m2 /jaar) weekend]]+Ruimtestaat[[#This Row],[Prest. (m2 /jaar) werkdagen]]</f>
        <v>10912</v>
      </c>
      <c r="AE509" s="88">
        <f>Ruimtestaat[[#This Row],[uren / jaar weekend]]+Ruimtestaat[[#This Row],[uren / jaar werkdagen]]</f>
        <v>0</v>
      </c>
      <c r="AF509" s="89">
        <f>Ruimtestaat[[#This Row],[kosten / jaar weekend]]+Ruimtestaat[[#This Row],[kosten / jaar werkdagen]]</f>
        <v>0</v>
      </c>
    </row>
    <row r="510" spans="1:32" ht="15" customHeight="1">
      <c r="A510" s="280">
        <v>4</v>
      </c>
      <c r="B510" s="21" t="str">
        <f>VLOOKUP(Ruimtestaat[[#This Row],[Code]],Locaties[#All],2,FALSE)</f>
        <v>PXC Rijssen</v>
      </c>
      <c r="C510" s="281" t="str">
        <f>VLOOKUP(Ruimtestaat[[#This Row],[Code]],Locaties[#All],4,FALSE)</f>
        <v>Graaf Ottostraat 48</v>
      </c>
      <c r="D510" s="281" t="str">
        <f>VLOOKUP(Ruimtestaat[[#This Row],[Code]],Locaties[#All],5,FALSE)</f>
        <v>7461 CP</v>
      </c>
      <c r="E510" s="281" t="str">
        <f>VLOOKUP(Ruimtestaat[[#This Row],[Code]],Locaties[#All],6,FALSE)</f>
        <v>Rijssen</v>
      </c>
      <c r="F510" s="282"/>
      <c r="G510" s="283"/>
      <c r="H510" s="280">
        <v>1.25</v>
      </c>
      <c r="I510" s="282" t="s">
        <v>1108</v>
      </c>
      <c r="J510" s="200">
        <v>16</v>
      </c>
      <c r="K510" s="243" t="s">
        <v>1040</v>
      </c>
      <c r="L510" s="284" t="s">
        <v>1122</v>
      </c>
      <c r="M510" s="213">
        <v>53.29</v>
      </c>
      <c r="N510" s="202"/>
      <c r="O510" s="243" t="str">
        <f>VLOOKUP(Ruimtestaat[[#This Row],[Ruimte code]],Ruimtegroepen[#All],4,FALSE)</f>
        <v>L  (Lesruimte)</v>
      </c>
      <c r="P510" s="214"/>
      <c r="Q510" s="215">
        <v>40</v>
      </c>
      <c r="R510" s="215" t="s">
        <v>2</v>
      </c>
      <c r="S510" s="215">
        <f>IF(R510&gt;0,IF(RIGHT(Ruimtestaat[[#This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0" s="215">
        <f>IF(S510&gt;0,VLOOKUP($J510,Ruimtegroepen[],3,FALSE)*VLOOKUP($K510,Vloersoorten[],3,FALSE)*VLOOKUP($R510,Frequenties[],3,FALSE)*VLOOKUP($A510,Locaties[],3,FALSE),0)</f>
        <v>0</v>
      </c>
      <c r="U510" s="215">
        <f>Ruimtestaat[[#This Row],[Uitvoeringen werkdagen]]*Ruimtestaat[[#This Row],[Oppervlak (netto)]]</f>
        <v>10658</v>
      </c>
      <c r="V510" s="259">
        <f>IF(T510&gt;0,Ruimtestaat[[#This Row],[Prest. (m2 /jaar) werkdagen]]/Ruimtestaat[[#This Row],[Norm (m2/uur) werkdagen]],0)</f>
        <v>0</v>
      </c>
      <c r="W510" s="260">
        <f>Ruimtestaat[[#This Row],[uren / jaar werkdagen]]*Tariefsopbouw!$D$38</f>
        <v>0</v>
      </c>
      <c r="X510" s="33"/>
      <c r="Y510" s="33">
        <f>IF(Ruimtestaat[[#This Row],[Frequentie weekend]]&gt;0,VALUE(LEFT(X510,1))*Q510,0)</f>
        <v>0</v>
      </c>
      <c r="Z510" s="33">
        <f>IF($Y510&gt;0,VLOOKUP($J510,Ruimtegroepen[],3,FALSE)*VLOOKUP($K510,Vloersoorten[],3,FALSE)*VLOOKUP($X510,Frequenties[],3,FALSE)*VLOOKUP(#REF!,Locaties[],3,FALSE),0)</f>
        <v>0</v>
      </c>
      <c r="AA510" s="33"/>
      <c r="AB510" s="33"/>
      <c r="AC510" s="33">
        <f>Ruimtestaat[[#This Row],[uren / jaar weekend]]*Tariefsopbouw!$D$40</f>
        <v>0</v>
      </c>
      <c r="AD510" s="88">
        <f>Ruimtestaat[[#This Row],[Prest. (m2 /jaar) weekend]]+Ruimtestaat[[#This Row],[Prest. (m2 /jaar) werkdagen]]</f>
        <v>10658</v>
      </c>
      <c r="AE510" s="88">
        <f>Ruimtestaat[[#This Row],[uren / jaar weekend]]+Ruimtestaat[[#This Row],[uren / jaar werkdagen]]</f>
        <v>0</v>
      </c>
      <c r="AF510" s="89">
        <f>Ruimtestaat[[#This Row],[kosten / jaar weekend]]+Ruimtestaat[[#This Row],[kosten / jaar werkdagen]]</f>
        <v>0</v>
      </c>
    </row>
    <row r="511" spans="1:32" ht="15" customHeight="1">
      <c r="A511" s="280">
        <v>4</v>
      </c>
      <c r="B511" s="21" t="str">
        <f>VLOOKUP(Ruimtestaat[[#This Row],[Code]],Locaties[#All],2,FALSE)</f>
        <v>PXC Rijssen</v>
      </c>
      <c r="C511" s="281" t="str">
        <f>VLOOKUP(Ruimtestaat[[#This Row],[Code]],Locaties[#All],4,FALSE)</f>
        <v>Graaf Ottostraat 48</v>
      </c>
      <c r="D511" s="281" t="str">
        <f>VLOOKUP(Ruimtestaat[[#This Row],[Code]],Locaties[#All],5,FALSE)</f>
        <v>7461 CP</v>
      </c>
      <c r="E511" s="281" t="str">
        <f>VLOOKUP(Ruimtestaat[[#This Row],[Code]],Locaties[#All],6,FALSE)</f>
        <v>Rijssen</v>
      </c>
      <c r="F511" s="282"/>
      <c r="G511" s="283"/>
      <c r="H511" s="280">
        <v>1.26</v>
      </c>
      <c r="I511" s="282" t="s">
        <v>1109</v>
      </c>
      <c r="J511" s="200">
        <v>11</v>
      </c>
      <c r="K511" s="243" t="s">
        <v>1040</v>
      </c>
      <c r="L511" s="284" t="s">
        <v>1122</v>
      </c>
      <c r="M511" s="213">
        <v>75.260000000000005</v>
      </c>
      <c r="N511" s="213"/>
      <c r="O511" s="243" t="str">
        <f>VLOOKUP(Ruimtestaat[[#This Row],[Ruimte code]],Ruimtegroepen[#All],4,FALSE)</f>
        <v>L  (Lesruimte)</v>
      </c>
      <c r="P511" s="214"/>
      <c r="Q511" s="215">
        <v>40</v>
      </c>
      <c r="R511" s="215" t="s">
        <v>2</v>
      </c>
      <c r="S511" s="215">
        <f>IF(R511&gt;0,IF(RIGHT(Ruimtestaat[[#This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1" s="215">
        <f>IF(S511&gt;0,VLOOKUP($J511,Ruimtegroepen[],3,FALSE)*VLOOKUP($K511,Vloersoorten[],3,FALSE)*VLOOKUP($R511,Frequenties[],3,FALSE)*VLOOKUP($A511,Locaties[],3,FALSE),0)</f>
        <v>0</v>
      </c>
      <c r="U511" s="215">
        <f>Ruimtestaat[[#This Row],[Uitvoeringen werkdagen]]*Ruimtestaat[[#This Row],[Oppervlak (netto)]]</f>
        <v>15052.000000000002</v>
      </c>
      <c r="V511" s="259">
        <f>IF(T511&gt;0,Ruimtestaat[[#This Row],[Prest. (m2 /jaar) werkdagen]]/Ruimtestaat[[#This Row],[Norm (m2/uur) werkdagen]],0)</f>
        <v>0</v>
      </c>
      <c r="W511" s="260">
        <f>Ruimtestaat[[#This Row],[uren / jaar werkdagen]]*Tariefsopbouw!$D$38</f>
        <v>0</v>
      </c>
      <c r="X511" s="33"/>
      <c r="Y511" s="33">
        <f>IF(Ruimtestaat[[#This Row],[Frequentie weekend]]&gt;0,VALUE(LEFT(X511,1))*Q511,0)</f>
        <v>0</v>
      </c>
      <c r="Z511" s="33">
        <f>IF($Y511&gt;0,VLOOKUP($J511,Ruimtegroepen[],3,FALSE)*VLOOKUP($K511,Vloersoorten[],3,FALSE)*VLOOKUP($X511,Frequenties[],3,FALSE)*VLOOKUP(#REF!,Locaties[],3,FALSE),0)</f>
        <v>0</v>
      </c>
      <c r="AA511" s="33"/>
      <c r="AB511" s="33"/>
      <c r="AC511" s="33">
        <f>Ruimtestaat[[#This Row],[uren / jaar weekend]]*Tariefsopbouw!$D$40</f>
        <v>0</v>
      </c>
      <c r="AD511" s="88">
        <f>Ruimtestaat[[#This Row],[Prest. (m2 /jaar) weekend]]+Ruimtestaat[[#This Row],[Prest. (m2 /jaar) werkdagen]]</f>
        <v>15052.000000000002</v>
      </c>
      <c r="AE511" s="88">
        <f>Ruimtestaat[[#This Row],[uren / jaar weekend]]+Ruimtestaat[[#This Row],[uren / jaar werkdagen]]</f>
        <v>0</v>
      </c>
      <c r="AF511" s="89">
        <f>Ruimtestaat[[#This Row],[kosten / jaar weekend]]+Ruimtestaat[[#This Row],[kosten / jaar werkdagen]]</f>
        <v>0</v>
      </c>
    </row>
    <row r="512" spans="1:32" ht="15" customHeight="1">
      <c r="A512" s="280">
        <v>4</v>
      </c>
      <c r="B512" s="21" t="str">
        <f>VLOOKUP(Ruimtestaat[[#This Row],[Code]],Locaties[#All],2,FALSE)</f>
        <v>PXC Rijssen</v>
      </c>
      <c r="C512" s="281" t="str">
        <f>VLOOKUP(Ruimtestaat[[#This Row],[Code]],Locaties[#All],4,FALSE)</f>
        <v>Graaf Ottostraat 48</v>
      </c>
      <c r="D512" s="281" t="str">
        <f>VLOOKUP(Ruimtestaat[[#This Row],[Code]],Locaties[#All],5,FALSE)</f>
        <v>7461 CP</v>
      </c>
      <c r="E512" s="281" t="str">
        <f>VLOOKUP(Ruimtestaat[[#This Row],[Code]],Locaties[#All],6,FALSE)</f>
        <v>Rijssen</v>
      </c>
      <c r="F512" s="282"/>
      <c r="G512" s="283"/>
      <c r="H512" s="280">
        <v>1.27</v>
      </c>
      <c r="I512" s="282" t="s">
        <v>1102</v>
      </c>
      <c r="J512" s="215">
        <v>4</v>
      </c>
      <c r="K512" s="243" t="s">
        <v>1040</v>
      </c>
      <c r="L512" s="284" t="s">
        <v>1122</v>
      </c>
      <c r="M512" s="213">
        <v>12.39</v>
      </c>
      <c r="N512" s="202"/>
      <c r="O512" s="243" t="str">
        <f>VLOOKUP(Ruimtestaat[[#This Row],[Ruimte code]],Ruimtegroepen[#All],4,FALSE)</f>
        <v>B  (Bureauruimte)</v>
      </c>
      <c r="P512" s="214"/>
      <c r="Q512" s="215">
        <v>40</v>
      </c>
      <c r="R512" s="215" t="s">
        <v>18</v>
      </c>
      <c r="S512" s="215">
        <f>IF(R512&gt;0,IF(RIGHT(Ruimtestaat[[#This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512" s="215">
        <f>IF(S512&gt;0,VLOOKUP($J512,Ruimtegroepen[],3,FALSE)*VLOOKUP($K512,Vloersoorten[],3,FALSE)*VLOOKUP($R512,Frequenties[],3,FALSE)*VLOOKUP($A512,Locaties[],3,FALSE),0)</f>
        <v>0</v>
      </c>
      <c r="U512" s="215">
        <f>Ruimtestaat[[#This Row],[Uitvoeringen werkdagen]]*Ruimtestaat[[#This Row],[Oppervlak (netto)]]</f>
        <v>1486.8000000000002</v>
      </c>
      <c r="V512" s="259">
        <f>IF(T512&gt;0,Ruimtestaat[[#This Row],[Prest. (m2 /jaar) werkdagen]]/Ruimtestaat[[#This Row],[Norm (m2/uur) werkdagen]],0)</f>
        <v>0</v>
      </c>
      <c r="W512" s="260">
        <f>Ruimtestaat[[#This Row],[uren / jaar werkdagen]]*Tariefsopbouw!$D$38</f>
        <v>0</v>
      </c>
      <c r="X512" s="33"/>
      <c r="Y512" s="33">
        <f>IF(Ruimtestaat[[#This Row],[Frequentie weekend]]&gt;0,VALUE(LEFT(X512,1))*Q512,0)</f>
        <v>0</v>
      </c>
      <c r="Z512" s="33">
        <f>IF($Y512&gt;0,VLOOKUP($J512,Ruimtegroepen[],3,FALSE)*VLOOKUP($K512,Vloersoorten[],3,FALSE)*VLOOKUP($X512,Frequenties[],3,FALSE)*VLOOKUP(#REF!,Locaties[],3,FALSE),0)</f>
        <v>0</v>
      </c>
      <c r="AA512" s="33"/>
      <c r="AB512" s="33"/>
      <c r="AC512" s="33">
        <f>Ruimtestaat[[#This Row],[uren / jaar weekend]]*Tariefsopbouw!$D$40</f>
        <v>0</v>
      </c>
      <c r="AD512" s="88">
        <f>Ruimtestaat[[#This Row],[Prest. (m2 /jaar) weekend]]+Ruimtestaat[[#This Row],[Prest. (m2 /jaar) werkdagen]]</f>
        <v>1486.8000000000002</v>
      </c>
      <c r="AE512" s="88">
        <f>Ruimtestaat[[#This Row],[uren / jaar weekend]]+Ruimtestaat[[#This Row],[uren / jaar werkdagen]]</f>
        <v>0</v>
      </c>
      <c r="AF512" s="89">
        <f>Ruimtestaat[[#This Row],[kosten / jaar weekend]]+Ruimtestaat[[#This Row],[kosten / jaar werkdagen]]</f>
        <v>0</v>
      </c>
    </row>
    <row r="513" spans="1:32" ht="15" customHeight="1">
      <c r="A513" s="280">
        <v>4</v>
      </c>
      <c r="B513" s="21" t="str">
        <f>VLOOKUP(Ruimtestaat[[#This Row],[Code]],Locaties[#All],2,FALSE)</f>
        <v>PXC Rijssen</v>
      </c>
      <c r="C513" s="281" t="str">
        <f>VLOOKUP(Ruimtestaat[[#This Row],[Code]],Locaties[#All],4,FALSE)</f>
        <v>Graaf Ottostraat 48</v>
      </c>
      <c r="D513" s="281" t="str">
        <f>VLOOKUP(Ruimtestaat[[#This Row],[Code]],Locaties[#All],5,FALSE)</f>
        <v>7461 CP</v>
      </c>
      <c r="E513" s="281" t="str">
        <f>VLOOKUP(Ruimtestaat[[#This Row],[Code]],Locaties[#All],6,FALSE)</f>
        <v>Rijssen</v>
      </c>
      <c r="F513" s="282"/>
      <c r="G513" s="283"/>
      <c r="H513" s="280">
        <v>1.28</v>
      </c>
      <c r="I513" s="282" t="s">
        <v>1064</v>
      </c>
      <c r="J513" s="200">
        <v>6</v>
      </c>
      <c r="K513" s="243" t="s">
        <v>1040</v>
      </c>
      <c r="L513" s="284" t="s">
        <v>1122</v>
      </c>
      <c r="M513" s="213">
        <v>89.14</v>
      </c>
      <c r="N513" s="202"/>
      <c r="O513" s="243" t="str">
        <f>VLOOKUP(Ruimtestaat[[#This Row],[Ruimte code]],Ruimtegroepen[#All],4,FALSE)</f>
        <v>V  (Verkeersruimte)</v>
      </c>
      <c r="P513" s="214"/>
      <c r="Q513" s="215">
        <v>40</v>
      </c>
      <c r="R513" s="215" t="s">
        <v>2</v>
      </c>
      <c r="S513" s="215">
        <f>IF(R513&gt;0,IF(RIGHT(Ruimtestaat[[#This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3" s="215">
        <f>IF(S513&gt;0,VLOOKUP($J513,Ruimtegroepen[],3,FALSE)*VLOOKUP($K513,Vloersoorten[],3,FALSE)*VLOOKUP($R513,Frequenties[],3,FALSE)*VLOOKUP($A513,Locaties[],3,FALSE),0)</f>
        <v>0</v>
      </c>
      <c r="U513" s="215">
        <f>Ruimtestaat[[#This Row],[Uitvoeringen werkdagen]]*Ruimtestaat[[#This Row],[Oppervlak (netto)]]</f>
        <v>17828</v>
      </c>
      <c r="V513" s="259">
        <f>IF(T513&gt;0,Ruimtestaat[[#This Row],[Prest. (m2 /jaar) werkdagen]]/Ruimtestaat[[#This Row],[Norm (m2/uur) werkdagen]],0)</f>
        <v>0</v>
      </c>
      <c r="W513" s="260">
        <f>Ruimtestaat[[#This Row],[uren / jaar werkdagen]]*Tariefsopbouw!$D$38</f>
        <v>0</v>
      </c>
      <c r="X513" s="33"/>
      <c r="Y513" s="33">
        <f>IF(Ruimtestaat[[#This Row],[Frequentie weekend]]&gt;0,VALUE(LEFT(X513,1))*Q513,0)</f>
        <v>0</v>
      </c>
      <c r="Z513" s="33">
        <f>IF($Y513&gt;0,VLOOKUP($J513,Ruimtegroepen[],3,FALSE)*VLOOKUP($K513,Vloersoorten[],3,FALSE)*VLOOKUP($X513,Frequenties[],3,FALSE)*VLOOKUP(#REF!,Locaties[],3,FALSE),0)</f>
        <v>0</v>
      </c>
      <c r="AA513" s="33"/>
      <c r="AB513" s="33"/>
      <c r="AC513" s="33">
        <f>Ruimtestaat[[#This Row],[uren / jaar weekend]]*Tariefsopbouw!$D$40</f>
        <v>0</v>
      </c>
      <c r="AD513" s="88">
        <f>Ruimtestaat[[#This Row],[Prest. (m2 /jaar) weekend]]+Ruimtestaat[[#This Row],[Prest. (m2 /jaar) werkdagen]]</f>
        <v>17828</v>
      </c>
      <c r="AE513" s="88">
        <f>Ruimtestaat[[#This Row],[uren / jaar weekend]]+Ruimtestaat[[#This Row],[uren / jaar werkdagen]]</f>
        <v>0</v>
      </c>
      <c r="AF513" s="89">
        <f>Ruimtestaat[[#This Row],[kosten / jaar weekend]]+Ruimtestaat[[#This Row],[kosten / jaar werkdagen]]</f>
        <v>0</v>
      </c>
    </row>
    <row r="514" spans="1:32" ht="15" customHeight="1">
      <c r="A514" s="280">
        <v>4</v>
      </c>
      <c r="B514" s="21" t="str">
        <f>VLOOKUP(Ruimtestaat[[#This Row],[Code]],Locaties[#All],2,FALSE)</f>
        <v>PXC Rijssen</v>
      </c>
      <c r="C514" s="281" t="str">
        <f>VLOOKUP(Ruimtestaat[[#This Row],[Code]],Locaties[#All],4,FALSE)</f>
        <v>Graaf Ottostraat 48</v>
      </c>
      <c r="D514" s="281" t="str">
        <f>VLOOKUP(Ruimtestaat[[#This Row],[Code]],Locaties[#All],5,FALSE)</f>
        <v>7461 CP</v>
      </c>
      <c r="E514" s="281" t="str">
        <f>VLOOKUP(Ruimtestaat[[#This Row],[Code]],Locaties[#All],6,FALSE)</f>
        <v>Rijssen</v>
      </c>
      <c r="F514" s="282"/>
      <c r="G514" s="283"/>
      <c r="H514" s="280">
        <v>1.29</v>
      </c>
      <c r="I514" s="282" t="s">
        <v>1061</v>
      </c>
      <c r="J514" s="200">
        <v>5</v>
      </c>
      <c r="K514" s="243" t="s">
        <v>111</v>
      </c>
      <c r="L514" s="284" t="s">
        <v>913</v>
      </c>
      <c r="M514" s="213">
        <v>6.07</v>
      </c>
      <c r="N514" s="213"/>
      <c r="O514" s="243" t="str">
        <f>VLOOKUP(Ruimtestaat[[#This Row],[Ruimte code]],Ruimtegroepen[#All],4,FALSE)</f>
        <v>S  (Sanitair)</v>
      </c>
      <c r="P514" s="214"/>
      <c r="Q514" s="215">
        <v>40</v>
      </c>
      <c r="R514" s="215" t="s">
        <v>2</v>
      </c>
      <c r="S514" s="215">
        <f>IF(R514&gt;0,IF(RIGHT(Ruimtestaat[[#This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4" s="215">
        <f>IF(S514&gt;0,VLOOKUP($J514,Ruimtegroepen[],3,FALSE)*VLOOKUP($K514,Vloersoorten[],3,FALSE)*VLOOKUP($R514,Frequenties[],3,FALSE)*VLOOKUP($A514,Locaties[],3,FALSE),0)</f>
        <v>0</v>
      </c>
      <c r="U514" s="215">
        <f>Ruimtestaat[[#This Row],[Uitvoeringen werkdagen]]*Ruimtestaat[[#This Row],[Oppervlak (netto)]]</f>
        <v>1214</v>
      </c>
      <c r="V514" s="259">
        <f>IF(T514&gt;0,Ruimtestaat[[#This Row],[Prest. (m2 /jaar) werkdagen]]/Ruimtestaat[[#This Row],[Norm (m2/uur) werkdagen]],0)</f>
        <v>0</v>
      </c>
      <c r="W514" s="260">
        <f>Ruimtestaat[[#This Row],[uren / jaar werkdagen]]*Tariefsopbouw!$D$38</f>
        <v>0</v>
      </c>
      <c r="X514" s="33"/>
      <c r="Y514" s="33">
        <f>IF(Ruimtestaat[[#This Row],[Frequentie weekend]]&gt;0,VALUE(LEFT(X514,1))*Q514,0)</f>
        <v>0</v>
      </c>
      <c r="Z514" s="33">
        <f>IF($Y514&gt;0,VLOOKUP($J514,Ruimtegroepen[],3,FALSE)*VLOOKUP($K514,Vloersoorten[],3,FALSE)*VLOOKUP($X514,Frequenties[],3,FALSE)*VLOOKUP(#REF!,Locaties[],3,FALSE),0)</f>
        <v>0</v>
      </c>
      <c r="AA514" s="33"/>
      <c r="AB514" s="33"/>
      <c r="AC514" s="33">
        <f>Ruimtestaat[[#This Row],[uren / jaar weekend]]*Tariefsopbouw!$D$40</f>
        <v>0</v>
      </c>
      <c r="AD514" s="88">
        <f>Ruimtestaat[[#This Row],[Prest. (m2 /jaar) weekend]]+Ruimtestaat[[#This Row],[Prest. (m2 /jaar) werkdagen]]</f>
        <v>1214</v>
      </c>
      <c r="AE514" s="88">
        <f>Ruimtestaat[[#This Row],[uren / jaar weekend]]+Ruimtestaat[[#This Row],[uren / jaar werkdagen]]</f>
        <v>0</v>
      </c>
      <c r="AF514" s="89">
        <f>Ruimtestaat[[#This Row],[kosten / jaar weekend]]+Ruimtestaat[[#This Row],[kosten / jaar werkdagen]]</f>
        <v>0</v>
      </c>
    </row>
    <row r="515" spans="1:32" ht="15" customHeight="1">
      <c r="A515" s="280">
        <v>4</v>
      </c>
      <c r="B515" s="21" t="str">
        <f>VLOOKUP(Ruimtestaat[[#This Row],[Code]],Locaties[#All],2,FALSE)</f>
        <v>PXC Rijssen</v>
      </c>
      <c r="C515" s="281" t="str">
        <f>VLOOKUP(Ruimtestaat[[#This Row],[Code]],Locaties[#All],4,FALSE)</f>
        <v>Graaf Ottostraat 48</v>
      </c>
      <c r="D515" s="281" t="str">
        <f>VLOOKUP(Ruimtestaat[[#This Row],[Code]],Locaties[#All],5,FALSE)</f>
        <v>7461 CP</v>
      </c>
      <c r="E515" s="281" t="str">
        <f>VLOOKUP(Ruimtestaat[[#This Row],[Code]],Locaties[#All],6,FALSE)</f>
        <v>Rijssen</v>
      </c>
      <c r="F515" s="282"/>
      <c r="G515" s="283"/>
      <c r="H515" s="280">
        <v>1.3</v>
      </c>
      <c r="I515" s="282" t="s">
        <v>1062</v>
      </c>
      <c r="J515" s="200">
        <v>5</v>
      </c>
      <c r="K515" s="243" t="s">
        <v>111</v>
      </c>
      <c r="L515" s="284" t="s">
        <v>913</v>
      </c>
      <c r="M515" s="213">
        <v>6.07</v>
      </c>
      <c r="N515" s="202"/>
      <c r="O515" s="243" t="str">
        <f>VLOOKUP(Ruimtestaat[[#This Row],[Ruimte code]],Ruimtegroepen[#All],4,FALSE)</f>
        <v>S  (Sanitair)</v>
      </c>
      <c r="P515" s="214"/>
      <c r="Q515" s="215">
        <v>40</v>
      </c>
      <c r="R515" s="215" t="s">
        <v>2</v>
      </c>
      <c r="S515" s="215">
        <f>IF(R515&gt;0,IF(RIGHT(Ruimtestaat[[#This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5" s="215">
        <f>IF(S515&gt;0,VLOOKUP($J515,Ruimtegroepen[],3,FALSE)*VLOOKUP($K515,Vloersoorten[],3,FALSE)*VLOOKUP($R515,Frequenties[],3,FALSE)*VLOOKUP($A515,Locaties[],3,FALSE),0)</f>
        <v>0</v>
      </c>
      <c r="U515" s="215">
        <f>Ruimtestaat[[#This Row],[Uitvoeringen werkdagen]]*Ruimtestaat[[#This Row],[Oppervlak (netto)]]</f>
        <v>1214</v>
      </c>
      <c r="V515" s="259">
        <f>IF(T515&gt;0,Ruimtestaat[[#This Row],[Prest. (m2 /jaar) werkdagen]]/Ruimtestaat[[#This Row],[Norm (m2/uur) werkdagen]],0)</f>
        <v>0</v>
      </c>
      <c r="W515" s="260">
        <f>Ruimtestaat[[#This Row],[uren / jaar werkdagen]]*Tariefsopbouw!$D$38</f>
        <v>0</v>
      </c>
      <c r="X515" s="33"/>
      <c r="Y515" s="33">
        <f>IF(Ruimtestaat[[#This Row],[Frequentie weekend]]&gt;0,VALUE(LEFT(X515,1))*Q515,0)</f>
        <v>0</v>
      </c>
      <c r="Z515" s="33">
        <f>IF($Y515&gt;0,VLOOKUP($J515,Ruimtegroepen[],3,FALSE)*VLOOKUP($K515,Vloersoorten[],3,FALSE)*VLOOKUP($X515,Frequenties[],3,FALSE)*VLOOKUP(#REF!,Locaties[],3,FALSE),0)</f>
        <v>0</v>
      </c>
      <c r="AA515" s="33"/>
      <c r="AB515" s="33"/>
      <c r="AC515" s="33">
        <f>Ruimtestaat[[#This Row],[uren / jaar weekend]]*Tariefsopbouw!$D$40</f>
        <v>0</v>
      </c>
      <c r="AD515" s="88">
        <f>Ruimtestaat[[#This Row],[Prest. (m2 /jaar) weekend]]+Ruimtestaat[[#This Row],[Prest. (m2 /jaar) werkdagen]]</f>
        <v>1214</v>
      </c>
      <c r="AE515" s="88">
        <f>Ruimtestaat[[#This Row],[uren / jaar weekend]]+Ruimtestaat[[#This Row],[uren / jaar werkdagen]]</f>
        <v>0</v>
      </c>
      <c r="AF515" s="89">
        <f>Ruimtestaat[[#This Row],[kosten / jaar weekend]]+Ruimtestaat[[#This Row],[kosten / jaar werkdagen]]</f>
        <v>0</v>
      </c>
    </row>
    <row r="516" spans="1:32" ht="15" customHeight="1">
      <c r="A516" s="280">
        <v>4</v>
      </c>
      <c r="B516" s="21" t="str">
        <f>VLOOKUP(Ruimtestaat[[#This Row],[Code]],Locaties[#All],2,FALSE)</f>
        <v>PXC Rijssen</v>
      </c>
      <c r="C516" s="281" t="str">
        <f>VLOOKUP(Ruimtestaat[[#This Row],[Code]],Locaties[#All],4,FALSE)</f>
        <v>Graaf Ottostraat 48</v>
      </c>
      <c r="D516" s="281" t="str">
        <f>VLOOKUP(Ruimtestaat[[#This Row],[Code]],Locaties[#All],5,FALSE)</f>
        <v>7461 CP</v>
      </c>
      <c r="E516" s="281" t="str">
        <f>VLOOKUP(Ruimtestaat[[#This Row],[Code]],Locaties[#All],6,FALSE)</f>
        <v>Rijssen</v>
      </c>
      <c r="F516" s="282"/>
      <c r="G516" s="283"/>
      <c r="H516" s="280">
        <v>1.31</v>
      </c>
      <c r="I516" s="282" t="s">
        <v>1079</v>
      </c>
      <c r="J516" s="200">
        <v>5</v>
      </c>
      <c r="K516" s="243" t="s">
        <v>111</v>
      </c>
      <c r="L516" s="284" t="s">
        <v>913</v>
      </c>
      <c r="M516" s="213">
        <v>3.88</v>
      </c>
      <c r="N516" s="202"/>
      <c r="O516" s="243" t="str">
        <f>VLOOKUP(Ruimtestaat[[#This Row],[Ruimte code]],Ruimtegroepen[#All],4,FALSE)</f>
        <v>S  (Sanitair)</v>
      </c>
      <c r="P516" s="214"/>
      <c r="Q516" s="215">
        <v>40</v>
      </c>
      <c r="R516" s="215" t="s">
        <v>2</v>
      </c>
      <c r="S516" s="215">
        <f>IF(R516&gt;0,IF(RIGHT(Ruimtestaat[[#This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6" s="215">
        <f>IF(S516&gt;0,VLOOKUP($J516,Ruimtegroepen[],3,FALSE)*VLOOKUP($K516,Vloersoorten[],3,FALSE)*VLOOKUP($R516,Frequenties[],3,FALSE)*VLOOKUP($A516,Locaties[],3,FALSE),0)</f>
        <v>0</v>
      </c>
      <c r="U516" s="215">
        <f>Ruimtestaat[[#This Row],[Uitvoeringen werkdagen]]*Ruimtestaat[[#This Row],[Oppervlak (netto)]]</f>
        <v>776</v>
      </c>
      <c r="V516" s="259">
        <f>IF(T516&gt;0,Ruimtestaat[[#This Row],[Prest. (m2 /jaar) werkdagen]]/Ruimtestaat[[#This Row],[Norm (m2/uur) werkdagen]],0)</f>
        <v>0</v>
      </c>
      <c r="W516" s="260">
        <f>Ruimtestaat[[#This Row],[uren / jaar werkdagen]]*Tariefsopbouw!$D$38</f>
        <v>0</v>
      </c>
      <c r="X516" s="33"/>
      <c r="Y516" s="33">
        <f>IF(Ruimtestaat[[#This Row],[Frequentie weekend]]&gt;0,VALUE(LEFT(X516,1))*Q516,0)</f>
        <v>0</v>
      </c>
      <c r="Z516" s="33">
        <f>IF($Y516&gt;0,VLOOKUP($J516,Ruimtegroepen[],3,FALSE)*VLOOKUP($K516,Vloersoorten[],3,FALSE)*VLOOKUP($X516,Frequenties[],3,FALSE)*VLOOKUP(#REF!,Locaties[],3,FALSE),0)</f>
        <v>0</v>
      </c>
      <c r="AA516" s="33"/>
      <c r="AB516" s="33"/>
      <c r="AC516" s="33">
        <f>Ruimtestaat[[#This Row],[uren / jaar weekend]]*Tariefsopbouw!$D$40</f>
        <v>0</v>
      </c>
      <c r="AD516" s="88">
        <f>Ruimtestaat[[#This Row],[Prest. (m2 /jaar) weekend]]+Ruimtestaat[[#This Row],[Prest. (m2 /jaar) werkdagen]]</f>
        <v>776</v>
      </c>
      <c r="AE516" s="88">
        <f>Ruimtestaat[[#This Row],[uren / jaar weekend]]+Ruimtestaat[[#This Row],[uren / jaar werkdagen]]</f>
        <v>0</v>
      </c>
      <c r="AF516" s="89">
        <f>Ruimtestaat[[#This Row],[kosten / jaar weekend]]+Ruimtestaat[[#This Row],[kosten / jaar werkdagen]]</f>
        <v>0</v>
      </c>
    </row>
    <row r="517" spans="1:32" ht="15" customHeight="1">
      <c r="A517" s="280">
        <v>4</v>
      </c>
      <c r="B517" s="21" t="str">
        <f>VLOOKUP(Ruimtestaat[[#This Row],[Code]],Locaties[#All],2,FALSE)</f>
        <v>PXC Rijssen</v>
      </c>
      <c r="C517" s="281" t="str">
        <f>VLOOKUP(Ruimtestaat[[#This Row],[Code]],Locaties[#All],4,FALSE)</f>
        <v>Graaf Ottostraat 48</v>
      </c>
      <c r="D517" s="281" t="str">
        <f>VLOOKUP(Ruimtestaat[[#This Row],[Code]],Locaties[#All],5,FALSE)</f>
        <v>7461 CP</v>
      </c>
      <c r="E517" s="281" t="str">
        <f>VLOOKUP(Ruimtestaat[[#This Row],[Code]],Locaties[#All],6,FALSE)</f>
        <v>Rijssen</v>
      </c>
      <c r="F517" s="282"/>
      <c r="G517" s="283"/>
      <c r="H517" s="280">
        <v>1.32</v>
      </c>
      <c r="I517" s="282" t="s">
        <v>1094</v>
      </c>
      <c r="J517" s="200">
        <v>21</v>
      </c>
      <c r="K517" s="243" t="s">
        <v>1043</v>
      </c>
      <c r="L517" s="284" t="s">
        <v>920</v>
      </c>
      <c r="M517" s="213">
        <v>1.63</v>
      </c>
      <c r="N517" s="202"/>
      <c r="O517" s="243" t="str">
        <f>VLOOKUP(Ruimtestaat[[#This Row],[Ruimte code]],Ruimtegroepen[#All],4,FALSE)</f>
        <v>Niet in onderhoud</v>
      </c>
      <c r="P517" s="214"/>
      <c r="Q517" s="215">
        <v>40</v>
      </c>
      <c r="R517" s="215"/>
      <c r="S517" s="215">
        <f>IF(R517&gt;0,IF(RIGHT(Ruimtestaat[[#This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7" s="215">
        <f>IF(S517&gt;0,VLOOKUP($J517,Ruimtegroepen[],3,FALSE)*VLOOKUP($K517,Vloersoorten[],3,FALSE)*VLOOKUP($R517,Frequenties[],3,FALSE)*VLOOKUP($A517,Locaties[],3,FALSE),0)</f>
        <v>0</v>
      </c>
      <c r="U517" s="215">
        <f>Ruimtestaat[[#This Row],[Uitvoeringen werkdagen]]*Ruimtestaat[[#This Row],[Oppervlak (netto)]]</f>
        <v>0</v>
      </c>
      <c r="V517" s="259">
        <f>IF(T517&gt;0,Ruimtestaat[[#This Row],[Prest. (m2 /jaar) werkdagen]]/Ruimtestaat[[#This Row],[Norm (m2/uur) werkdagen]],0)</f>
        <v>0</v>
      </c>
      <c r="W517" s="260">
        <f>Ruimtestaat[[#This Row],[uren / jaar werkdagen]]*Tariefsopbouw!$D$38</f>
        <v>0</v>
      </c>
      <c r="X517" s="33"/>
      <c r="Y517" s="33">
        <f>IF(Ruimtestaat[[#This Row],[Frequentie weekend]]&gt;0,VALUE(LEFT(X517,1))*Q517,0)</f>
        <v>0</v>
      </c>
      <c r="Z517" s="33">
        <f>IF($Y517&gt;0,VLOOKUP($J517,Ruimtegroepen[],3,FALSE)*VLOOKUP($K517,Vloersoorten[],3,FALSE)*VLOOKUP($X517,Frequenties[],3,FALSE)*VLOOKUP(#REF!,Locaties[],3,FALSE),0)</f>
        <v>0</v>
      </c>
      <c r="AA517" s="33"/>
      <c r="AB517" s="33"/>
      <c r="AC517" s="33">
        <f>Ruimtestaat[[#This Row],[uren / jaar weekend]]*Tariefsopbouw!$D$40</f>
        <v>0</v>
      </c>
      <c r="AD517" s="88">
        <f>Ruimtestaat[[#This Row],[Prest. (m2 /jaar) weekend]]+Ruimtestaat[[#This Row],[Prest. (m2 /jaar) werkdagen]]</f>
        <v>0</v>
      </c>
      <c r="AE517" s="88">
        <f>Ruimtestaat[[#This Row],[uren / jaar weekend]]+Ruimtestaat[[#This Row],[uren / jaar werkdagen]]</f>
        <v>0</v>
      </c>
      <c r="AF517" s="89">
        <f>Ruimtestaat[[#This Row],[kosten / jaar weekend]]+Ruimtestaat[[#This Row],[kosten / jaar werkdagen]]</f>
        <v>0</v>
      </c>
    </row>
    <row r="518" spans="1:32" ht="15" customHeight="1">
      <c r="A518" s="280">
        <v>4</v>
      </c>
      <c r="B518" s="21" t="str">
        <f>VLOOKUP(Ruimtestaat[[#This Row],[Code]],Locaties[#All],2,FALSE)</f>
        <v>PXC Rijssen</v>
      </c>
      <c r="C518" s="281" t="str">
        <f>VLOOKUP(Ruimtestaat[[#This Row],[Code]],Locaties[#All],4,FALSE)</f>
        <v>Graaf Ottostraat 48</v>
      </c>
      <c r="D518" s="281" t="str">
        <f>VLOOKUP(Ruimtestaat[[#This Row],[Code]],Locaties[#All],5,FALSE)</f>
        <v>7461 CP</v>
      </c>
      <c r="E518" s="281" t="str">
        <f>VLOOKUP(Ruimtestaat[[#This Row],[Code]],Locaties[#All],6,FALSE)</f>
        <v>Rijssen</v>
      </c>
      <c r="F518" s="282"/>
      <c r="G518" s="283"/>
      <c r="H518" s="280">
        <v>1.33</v>
      </c>
      <c r="I518" s="282" t="s">
        <v>1110</v>
      </c>
      <c r="J518" s="200">
        <v>21</v>
      </c>
      <c r="K518" s="243" t="s">
        <v>1043</v>
      </c>
      <c r="L518" s="284" t="s">
        <v>920</v>
      </c>
      <c r="M518" s="213">
        <v>1.71</v>
      </c>
      <c r="N518" s="202"/>
      <c r="O518" s="243" t="str">
        <f>VLOOKUP(Ruimtestaat[[#This Row],[Ruimte code]],Ruimtegroepen[#All],4,FALSE)</f>
        <v>Niet in onderhoud</v>
      </c>
      <c r="P518" s="214"/>
      <c r="Q518" s="215">
        <v>40</v>
      </c>
      <c r="R518" s="215"/>
      <c r="S518" s="215">
        <f>IF(R518&gt;0,IF(RIGHT(Ruimtestaat[[#This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18" s="215">
        <f>IF(S518&gt;0,VLOOKUP($J518,Ruimtegroepen[],3,FALSE)*VLOOKUP($K518,Vloersoorten[],3,FALSE)*VLOOKUP($R518,Frequenties[],3,FALSE)*VLOOKUP($A518,Locaties[],3,FALSE),0)</f>
        <v>0</v>
      </c>
      <c r="U518" s="215">
        <f>Ruimtestaat[[#This Row],[Uitvoeringen werkdagen]]*Ruimtestaat[[#This Row],[Oppervlak (netto)]]</f>
        <v>0</v>
      </c>
      <c r="V518" s="259">
        <f>IF(T518&gt;0,Ruimtestaat[[#This Row],[Prest. (m2 /jaar) werkdagen]]/Ruimtestaat[[#This Row],[Norm (m2/uur) werkdagen]],0)</f>
        <v>0</v>
      </c>
      <c r="W518" s="260">
        <f>Ruimtestaat[[#This Row],[uren / jaar werkdagen]]*Tariefsopbouw!$D$38</f>
        <v>0</v>
      </c>
      <c r="X518" s="33"/>
      <c r="Y518" s="33">
        <f>IF(Ruimtestaat[[#This Row],[Frequentie weekend]]&gt;0,VALUE(LEFT(X518,1))*Q518,0)</f>
        <v>0</v>
      </c>
      <c r="Z518" s="33">
        <f>IF($Y518&gt;0,VLOOKUP($J518,Ruimtegroepen[],3,FALSE)*VLOOKUP($K518,Vloersoorten[],3,FALSE)*VLOOKUP($X518,Frequenties[],3,FALSE)*VLOOKUP(#REF!,Locaties[],3,FALSE),0)</f>
        <v>0</v>
      </c>
      <c r="AA518" s="33"/>
      <c r="AB518" s="33"/>
      <c r="AC518" s="33">
        <f>Ruimtestaat[[#This Row],[uren / jaar weekend]]*Tariefsopbouw!$D$40</f>
        <v>0</v>
      </c>
      <c r="AD518" s="88">
        <f>Ruimtestaat[[#This Row],[Prest. (m2 /jaar) weekend]]+Ruimtestaat[[#This Row],[Prest. (m2 /jaar) werkdagen]]</f>
        <v>0</v>
      </c>
      <c r="AE518" s="88">
        <f>Ruimtestaat[[#This Row],[uren / jaar weekend]]+Ruimtestaat[[#This Row],[uren / jaar werkdagen]]</f>
        <v>0</v>
      </c>
      <c r="AF518" s="89">
        <f>Ruimtestaat[[#This Row],[kosten / jaar weekend]]+Ruimtestaat[[#This Row],[kosten / jaar werkdagen]]</f>
        <v>0</v>
      </c>
    </row>
    <row r="519" spans="1:32" ht="15" customHeight="1">
      <c r="A519" s="280">
        <v>4</v>
      </c>
      <c r="B519" s="21" t="str">
        <f>VLOOKUP(Ruimtestaat[[#This Row],[Code]],Locaties[#All],2,FALSE)</f>
        <v>PXC Rijssen</v>
      </c>
      <c r="C519" s="281" t="str">
        <f>VLOOKUP(Ruimtestaat[[#This Row],[Code]],Locaties[#All],4,FALSE)</f>
        <v>Graaf Ottostraat 48</v>
      </c>
      <c r="D519" s="281" t="str">
        <f>VLOOKUP(Ruimtestaat[[#This Row],[Code]],Locaties[#All],5,FALSE)</f>
        <v>7461 CP</v>
      </c>
      <c r="E519" s="281" t="str">
        <f>VLOOKUP(Ruimtestaat[[#This Row],[Code]],Locaties[#All],6,FALSE)</f>
        <v>Rijssen</v>
      </c>
      <c r="F519" s="282"/>
      <c r="G519" s="283"/>
      <c r="H519" s="280">
        <v>1.34</v>
      </c>
      <c r="I519" s="282" t="s">
        <v>1077</v>
      </c>
      <c r="J519" s="200">
        <v>10</v>
      </c>
      <c r="K519" s="243" t="s">
        <v>1041</v>
      </c>
      <c r="L519" s="291" t="s">
        <v>132</v>
      </c>
      <c r="M519" s="213"/>
      <c r="N519" s="213"/>
      <c r="O519" s="243" t="str">
        <f>VLOOKUP(Ruimtestaat[[#This Row],[Ruimte code]],Ruimtegroepen[#All],4,FALSE)</f>
        <v>V  (Verkeersruimte)</v>
      </c>
      <c r="P519" s="214"/>
      <c r="Q519" s="215">
        <v>40</v>
      </c>
      <c r="R519" s="215" t="s">
        <v>2</v>
      </c>
      <c r="S519" s="215">
        <f>IF(R519&gt;0,IF(RIGHT(Ruimtestaat[[#This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19" s="215">
        <f>IF(S519&gt;0,VLOOKUP($J519,Ruimtegroepen[],3,FALSE)*VLOOKUP($K519,Vloersoorten[],3,FALSE)*VLOOKUP($R519,Frequenties[],3,FALSE)*VLOOKUP($A519,Locaties[],3,FALSE),0)</f>
        <v>0</v>
      </c>
      <c r="U519" s="215">
        <f>Ruimtestaat[[#This Row],[Uitvoeringen werkdagen]]*Ruimtestaat[[#This Row],[Oppervlak (netto)]]</f>
        <v>0</v>
      </c>
      <c r="V519" s="259">
        <f>IF(T519&gt;0,Ruimtestaat[[#This Row],[Prest. (m2 /jaar) werkdagen]]/Ruimtestaat[[#This Row],[Norm (m2/uur) werkdagen]],0)</f>
        <v>0</v>
      </c>
      <c r="W519" s="260">
        <f>Ruimtestaat[[#This Row],[uren / jaar werkdagen]]*Tariefsopbouw!$D$38</f>
        <v>0</v>
      </c>
      <c r="X519" s="33"/>
      <c r="Y519" s="33">
        <f>IF(Ruimtestaat[[#This Row],[Frequentie weekend]]&gt;0,VALUE(LEFT(X519,1))*Q519,0)</f>
        <v>0</v>
      </c>
      <c r="Z519" s="33">
        <f>IF($Y519&gt;0,VLOOKUP($J519,Ruimtegroepen[],3,FALSE)*VLOOKUP($K519,Vloersoorten[],3,FALSE)*VLOOKUP($X519,Frequenties[],3,FALSE)*VLOOKUP(#REF!,Locaties[],3,FALSE),0)</f>
        <v>0</v>
      </c>
      <c r="AA519" s="33"/>
      <c r="AB519" s="33"/>
      <c r="AC519" s="33">
        <f>Ruimtestaat[[#This Row],[uren / jaar weekend]]*Tariefsopbouw!$D$40</f>
        <v>0</v>
      </c>
      <c r="AD519" s="88">
        <f>Ruimtestaat[[#This Row],[Prest. (m2 /jaar) weekend]]+Ruimtestaat[[#This Row],[Prest. (m2 /jaar) werkdagen]]</f>
        <v>0</v>
      </c>
      <c r="AE519" s="88">
        <f>Ruimtestaat[[#This Row],[uren / jaar weekend]]+Ruimtestaat[[#This Row],[uren / jaar werkdagen]]</f>
        <v>0</v>
      </c>
      <c r="AF519" s="89">
        <f>Ruimtestaat[[#This Row],[kosten / jaar weekend]]+Ruimtestaat[[#This Row],[kosten / jaar werkdagen]]</f>
        <v>0</v>
      </c>
    </row>
    <row r="520" spans="1:32" ht="15" customHeight="1">
      <c r="A520" s="280">
        <v>4</v>
      </c>
      <c r="B520" s="21" t="str">
        <f>VLOOKUP(Ruimtestaat[[#This Row],[Code]],Locaties[#All],2,FALSE)</f>
        <v>PXC Rijssen</v>
      </c>
      <c r="C520" s="281" t="str">
        <f>VLOOKUP(Ruimtestaat[[#This Row],[Code]],Locaties[#All],4,FALSE)</f>
        <v>Graaf Ottostraat 48</v>
      </c>
      <c r="D520" s="281" t="str">
        <f>VLOOKUP(Ruimtestaat[[#This Row],[Code]],Locaties[#All],5,FALSE)</f>
        <v>7461 CP</v>
      </c>
      <c r="E520" s="281" t="str">
        <f>VLOOKUP(Ruimtestaat[[#This Row],[Code]],Locaties[#All],6,FALSE)</f>
        <v>Rijssen</v>
      </c>
      <c r="F520" s="282"/>
      <c r="G520" s="283"/>
      <c r="H520" s="280">
        <v>1.35</v>
      </c>
      <c r="I520" s="282" t="s">
        <v>1078</v>
      </c>
      <c r="J520" s="281">
        <v>21</v>
      </c>
      <c r="K520" s="281"/>
      <c r="L520" s="284"/>
      <c r="M520" s="213"/>
      <c r="N520" s="202"/>
      <c r="O520" s="243" t="str">
        <f>VLOOKUP(Ruimtestaat[[#This Row],[Ruimte code]],Ruimtegroepen[#All],4,FALSE)</f>
        <v>Niet in onderhoud</v>
      </c>
      <c r="P520" s="214"/>
      <c r="Q520" s="215">
        <v>40</v>
      </c>
      <c r="R520" s="215"/>
      <c r="S520" s="215">
        <f>IF(R520&gt;0,IF(RIGHT(Ruimtestaat[[#This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20" s="215">
        <f>IF(S520&gt;0,VLOOKUP($J520,Ruimtegroepen[],3,FALSE)*VLOOKUP($K520,Vloersoorten[],3,FALSE)*VLOOKUP($R520,Frequenties[],3,FALSE)*VLOOKUP($A520,Locaties[],3,FALSE),0)</f>
        <v>0</v>
      </c>
      <c r="U520" s="215">
        <f>Ruimtestaat[[#This Row],[Uitvoeringen werkdagen]]*Ruimtestaat[[#This Row],[Oppervlak (netto)]]</f>
        <v>0</v>
      </c>
      <c r="V520" s="259">
        <f>IF(T520&gt;0,Ruimtestaat[[#This Row],[Prest. (m2 /jaar) werkdagen]]/Ruimtestaat[[#This Row],[Norm (m2/uur) werkdagen]],0)</f>
        <v>0</v>
      </c>
      <c r="W520" s="260">
        <f>Ruimtestaat[[#This Row],[uren / jaar werkdagen]]*Tariefsopbouw!$D$38</f>
        <v>0</v>
      </c>
      <c r="X520" s="33"/>
      <c r="Y520" s="33">
        <f>IF(Ruimtestaat[[#This Row],[Frequentie weekend]]&gt;0,VALUE(LEFT(X520,1))*Q520,0)</f>
        <v>0</v>
      </c>
      <c r="Z520" s="33">
        <f>IF($Y520&gt;0,VLOOKUP($J520,Ruimtegroepen[],3,FALSE)*VLOOKUP($K520,Vloersoorten[],3,FALSE)*VLOOKUP($X520,Frequenties[],3,FALSE)*VLOOKUP(#REF!,Locaties[],3,FALSE),0)</f>
        <v>0</v>
      </c>
      <c r="AA520" s="33"/>
      <c r="AB520" s="33"/>
      <c r="AC520" s="33">
        <f>Ruimtestaat[[#This Row],[uren / jaar weekend]]*Tariefsopbouw!$D$40</f>
        <v>0</v>
      </c>
      <c r="AD520" s="88">
        <f>Ruimtestaat[[#This Row],[Prest. (m2 /jaar) weekend]]+Ruimtestaat[[#This Row],[Prest. (m2 /jaar) werkdagen]]</f>
        <v>0</v>
      </c>
      <c r="AE520" s="88">
        <f>Ruimtestaat[[#This Row],[uren / jaar weekend]]+Ruimtestaat[[#This Row],[uren / jaar werkdagen]]</f>
        <v>0</v>
      </c>
      <c r="AF520" s="89">
        <f>Ruimtestaat[[#This Row],[kosten / jaar weekend]]+Ruimtestaat[[#This Row],[kosten / jaar werkdagen]]</f>
        <v>0</v>
      </c>
    </row>
    <row r="521" spans="1:32" ht="15" customHeight="1">
      <c r="A521" s="280">
        <v>4</v>
      </c>
      <c r="B521" s="21" t="str">
        <f>VLOOKUP(Ruimtestaat[[#This Row],[Code]],Locaties[#All],2,FALSE)</f>
        <v>PXC Rijssen</v>
      </c>
      <c r="C521" s="281" t="str">
        <f>VLOOKUP(Ruimtestaat[[#This Row],[Code]],Locaties[#All],4,FALSE)</f>
        <v>Graaf Ottostraat 48</v>
      </c>
      <c r="D521" s="281" t="str">
        <f>VLOOKUP(Ruimtestaat[[#This Row],[Code]],Locaties[#All],5,FALSE)</f>
        <v>7461 CP</v>
      </c>
      <c r="E521" s="281" t="str">
        <f>VLOOKUP(Ruimtestaat[[#This Row],[Code]],Locaties[#All],6,FALSE)</f>
        <v>Rijssen</v>
      </c>
      <c r="F521" s="282"/>
      <c r="G521" s="283"/>
      <c r="H521" s="280">
        <v>1.36</v>
      </c>
      <c r="I521" s="282" t="s">
        <v>1111</v>
      </c>
      <c r="J521" s="200">
        <v>21</v>
      </c>
      <c r="K521" s="243" t="s">
        <v>1043</v>
      </c>
      <c r="L521" s="284" t="s">
        <v>1125</v>
      </c>
      <c r="M521" s="213">
        <v>19.63</v>
      </c>
      <c r="N521" s="202"/>
      <c r="O521" s="243" t="str">
        <f>VLOOKUP(Ruimtestaat[[#This Row],[Ruimte code]],Ruimtegroepen[#All],4,FALSE)</f>
        <v>Niet in onderhoud</v>
      </c>
      <c r="P521" s="214"/>
      <c r="Q521" s="215">
        <v>40</v>
      </c>
      <c r="R521" s="215"/>
      <c r="S521" s="215">
        <f>IF(R521&gt;0,IF(RIGHT(Ruimtestaat[[#This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21" s="215">
        <f>IF(S521&gt;0,VLOOKUP($J521,Ruimtegroepen[],3,FALSE)*VLOOKUP($K521,Vloersoorten[],3,FALSE)*VLOOKUP($R521,Frequenties[],3,FALSE)*VLOOKUP($A521,Locaties[],3,FALSE),0)</f>
        <v>0</v>
      </c>
      <c r="U521" s="215">
        <f>Ruimtestaat[[#This Row],[Uitvoeringen werkdagen]]*Ruimtestaat[[#This Row],[Oppervlak (netto)]]</f>
        <v>0</v>
      </c>
      <c r="V521" s="259">
        <f>IF(T521&gt;0,Ruimtestaat[[#This Row],[Prest. (m2 /jaar) werkdagen]]/Ruimtestaat[[#This Row],[Norm (m2/uur) werkdagen]],0)</f>
        <v>0</v>
      </c>
      <c r="W521" s="260">
        <f>Ruimtestaat[[#This Row],[uren / jaar werkdagen]]*Tariefsopbouw!$D$38</f>
        <v>0</v>
      </c>
      <c r="X521" s="33"/>
      <c r="Y521" s="33">
        <f>IF(Ruimtestaat[[#This Row],[Frequentie weekend]]&gt;0,VALUE(LEFT(X521,1))*Q521,0)</f>
        <v>0</v>
      </c>
      <c r="Z521" s="33">
        <f>IF($Y521&gt;0,VLOOKUP($J521,Ruimtegroepen[],3,FALSE)*VLOOKUP($K521,Vloersoorten[],3,FALSE)*VLOOKUP($X521,Frequenties[],3,FALSE)*VLOOKUP(#REF!,Locaties[],3,FALSE),0)</f>
        <v>0</v>
      </c>
      <c r="AA521" s="33"/>
      <c r="AB521" s="33"/>
      <c r="AC521" s="33">
        <f>Ruimtestaat[[#This Row],[uren / jaar weekend]]*Tariefsopbouw!$D$40</f>
        <v>0</v>
      </c>
      <c r="AD521" s="88">
        <f>Ruimtestaat[[#This Row],[Prest. (m2 /jaar) weekend]]+Ruimtestaat[[#This Row],[Prest. (m2 /jaar) werkdagen]]</f>
        <v>0</v>
      </c>
      <c r="AE521" s="88">
        <f>Ruimtestaat[[#This Row],[uren / jaar weekend]]+Ruimtestaat[[#This Row],[uren / jaar werkdagen]]</f>
        <v>0</v>
      </c>
      <c r="AF521" s="89">
        <f>Ruimtestaat[[#This Row],[kosten / jaar weekend]]+Ruimtestaat[[#This Row],[kosten / jaar werkdagen]]</f>
        <v>0</v>
      </c>
    </row>
    <row r="522" spans="1:32" ht="15" customHeight="1">
      <c r="A522" s="280">
        <v>4</v>
      </c>
      <c r="B522" s="21" t="str">
        <f>VLOOKUP(Ruimtestaat[[#This Row],[Code]],Locaties[#All],2,FALSE)</f>
        <v>PXC Rijssen</v>
      </c>
      <c r="C522" s="281" t="str">
        <f>VLOOKUP(Ruimtestaat[[#This Row],[Code]],Locaties[#All],4,FALSE)</f>
        <v>Graaf Ottostraat 48</v>
      </c>
      <c r="D522" s="281" t="str">
        <f>VLOOKUP(Ruimtestaat[[#This Row],[Code]],Locaties[#All],5,FALSE)</f>
        <v>7461 CP</v>
      </c>
      <c r="E522" s="281" t="str">
        <f>VLOOKUP(Ruimtestaat[[#This Row],[Code]],Locaties[#All],6,FALSE)</f>
        <v>Rijssen</v>
      </c>
      <c r="F522" s="282"/>
      <c r="G522" s="283"/>
      <c r="H522" s="280">
        <v>1.37</v>
      </c>
      <c r="I522" s="282" t="s">
        <v>1063</v>
      </c>
      <c r="J522" s="200">
        <v>1</v>
      </c>
      <c r="K522" s="243" t="s">
        <v>1042</v>
      </c>
      <c r="L522" s="284" t="s">
        <v>1121</v>
      </c>
      <c r="M522" s="213">
        <v>6.56</v>
      </c>
      <c r="N522" s="202"/>
      <c r="O522" s="243" t="str">
        <f>VLOOKUP(Ruimtestaat[[#This Row],[Ruimte code]],Ruimtegroepen[#All],4,FALSE)</f>
        <v>V  (Verkeersruimte)</v>
      </c>
      <c r="P522" s="214"/>
      <c r="Q522" s="215">
        <v>40</v>
      </c>
      <c r="R522" s="215" t="s">
        <v>16</v>
      </c>
      <c r="S522" s="215">
        <f>IF(R522&gt;0,IF(RIGHT(Ruimtestaat[[#This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22" s="215">
        <f>IF(S522&gt;0,VLOOKUP($J522,Ruimtegroepen[],3,FALSE)*VLOOKUP($K522,Vloersoorten[],3,FALSE)*VLOOKUP($R522,Frequenties[],3,FALSE)*VLOOKUP($A522,Locaties[],3,FALSE),0)</f>
        <v>0</v>
      </c>
      <c r="U522" s="215">
        <f>Ruimtestaat[[#This Row],[Uitvoeringen werkdagen]]*Ruimtestaat[[#This Row],[Oppervlak (netto)]]</f>
        <v>78.72</v>
      </c>
      <c r="V522" s="259">
        <f>IF(T522&gt;0,Ruimtestaat[[#This Row],[Prest. (m2 /jaar) werkdagen]]/Ruimtestaat[[#This Row],[Norm (m2/uur) werkdagen]],0)</f>
        <v>0</v>
      </c>
      <c r="W522" s="260">
        <f>Ruimtestaat[[#This Row],[uren / jaar werkdagen]]*Tariefsopbouw!$D$38</f>
        <v>0</v>
      </c>
      <c r="X522" s="33"/>
      <c r="Y522" s="33">
        <f>IF(Ruimtestaat[[#This Row],[Frequentie weekend]]&gt;0,VALUE(LEFT(X522,1))*Q522,0)</f>
        <v>0</v>
      </c>
      <c r="Z522" s="33">
        <f>IF($Y522&gt;0,VLOOKUP($J522,Ruimtegroepen[],3,FALSE)*VLOOKUP($K522,Vloersoorten[],3,FALSE)*VLOOKUP($X522,Frequenties[],3,FALSE)*VLOOKUP(#REF!,Locaties[],3,FALSE),0)</f>
        <v>0</v>
      </c>
      <c r="AA522" s="33"/>
      <c r="AB522" s="33"/>
      <c r="AC522" s="33">
        <f>Ruimtestaat[[#This Row],[uren / jaar weekend]]*Tariefsopbouw!$D$40</f>
        <v>0</v>
      </c>
      <c r="AD522" s="88">
        <f>Ruimtestaat[[#This Row],[Prest. (m2 /jaar) weekend]]+Ruimtestaat[[#This Row],[Prest. (m2 /jaar) werkdagen]]</f>
        <v>78.72</v>
      </c>
      <c r="AE522" s="88">
        <f>Ruimtestaat[[#This Row],[uren / jaar weekend]]+Ruimtestaat[[#This Row],[uren / jaar werkdagen]]</f>
        <v>0</v>
      </c>
      <c r="AF522" s="89">
        <f>Ruimtestaat[[#This Row],[kosten / jaar weekend]]+Ruimtestaat[[#This Row],[kosten / jaar werkdagen]]</f>
        <v>0</v>
      </c>
    </row>
    <row r="523" spans="1:32" ht="15" customHeight="1">
      <c r="A523" s="280">
        <v>4</v>
      </c>
      <c r="B523" s="21" t="str">
        <f>VLOOKUP(Ruimtestaat[[#This Row],[Code]],Locaties[#All],2,FALSE)</f>
        <v>PXC Rijssen</v>
      </c>
      <c r="C523" s="281" t="str">
        <f>VLOOKUP(Ruimtestaat[[#This Row],[Code]],Locaties[#All],4,FALSE)</f>
        <v>Graaf Ottostraat 48</v>
      </c>
      <c r="D523" s="281" t="str">
        <f>VLOOKUP(Ruimtestaat[[#This Row],[Code]],Locaties[#All],5,FALSE)</f>
        <v>7461 CP</v>
      </c>
      <c r="E523" s="281" t="str">
        <f>VLOOKUP(Ruimtestaat[[#This Row],[Code]],Locaties[#All],6,FALSE)</f>
        <v>Rijssen</v>
      </c>
      <c r="F523" s="282"/>
      <c r="G523" s="283"/>
      <c r="H523" s="280"/>
      <c r="I523" s="282" t="s">
        <v>1112</v>
      </c>
      <c r="J523" s="200">
        <v>14</v>
      </c>
      <c r="K523" s="243" t="s">
        <v>1040</v>
      </c>
      <c r="L523" s="284" t="s">
        <v>1122</v>
      </c>
      <c r="M523" s="213">
        <v>78</v>
      </c>
      <c r="N523" s="202"/>
      <c r="O523" s="243" t="str">
        <f>VLOOKUP(Ruimtestaat[[#This Row],[Ruimte code]],Ruimtegroepen[#All],4,FALSE)</f>
        <v>V  (Verkeersruimte)</v>
      </c>
      <c r="P523" s="214"/>
      <c r="Q523" s="215">
        <v>40</v>
      </c>
      <c r="R523" s="215" t="s">
        <v>2</v>
      </c>
      <c r="S523" s="215">
        <f>IF(R523&gt;0,IF(RIGHT(Ruimtestaat[[#This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3" s="215">
        <f>IF(S523&gt;0,VLOOKUP($J523,Ruimtegroepen[],3,FALSE)*VLOOKUP($K523,Vloersoorten[],3,FALSE)*VLOOKUP($R523,Frequenties[],3,FALSE)*VLOOKUP($A523,Locaties[],3,FALSE),0)</f>
        <v>0</v>
      </c>
      <c r="U523" s="215">
        <f>Ruimtestaat[[#This Row],[Uitvoeringen werkdagen]]*Ruimtestaat[[#This Row],[Oppervlak (netto)]]</f>
        <v>15600</v>
      </c>
      <c r="V523" s="259">
        <f>IF(T523&gt;0,Ruimtestaat[[#This Row],[Prest. (m2 /jaar) werkdagen]]/Ruimtestaat[[#This Row],[Norm (m2/uur) werkdagen]],0)</f>
        <v>0</v>
      </c>
      <c r="W523" s="260">
        <f>Ruimtestaat[[#This Row],[uren / jaar werkdagen]]*Tariefsopbouw!$D$38</f>
        <v>0</v>
      </c>
      <c r="X523" s="33"/>
      <c r="Y523" s="33">
        <f>IF(Ruimtestaat[[#This Row],[Frequentie weekend]]&gt;0,VALUE(LEFT(X523,1))*Q523,0)</f>
        <v>0</v>
      </c>
      <c r="Z523" s="33">
        <f>IF($Y523&gt;0,VLOOKUP($J523,Ruimtegroepen[],3,FALSE)*VLOOKUP($K523,Vloersoorten[],3,FALSE)*VLOOKUP($X523,Frequenties[],3,FALSE)*VLOOKUP(#REF!,Locaties[],3,FALSE),0)</f>
        <v>0</v>
      </c>
      <c r="AA523" s="33"/>
      <c r="AB523" s="33"/>
      <c r="AC523" s="33">
        <f>Ruimtestaat[[#This Row],[uren / jaar weekend]]*Tariefsopbouw!$D$40</f>
        <v>0</v>
      </c>
      <c r="AD523" s="88">
        <f>Ruimtestaat[[#This Row],[Prest. (m2 /jaar) weekend]]+Ruimtestaat[[#This Row],[Prest. (m2 /jaar) werkdagen]]</f>
        <v>15600</v>
      </c>
      <c r="AE523" s="88">
        <f>Ruimtestaat[[#This Row],[uren / jaar weekend]]+Ruimtestaat[[#This Row],[uren / jaar werkdagen]]</f>
        <v>0</v>
      </c>
      <c r="AF523" s="89">
        <f>Ruimtestaat[[#This Row],[kosten / jaar weekend]]+Ruimtestaat[[#This Row],[kosten / jaar werkdagen]]</f>
        <v>0</v>
      </c>
    </row>
    <row r="524" spans="1:32" ht="15" customHeight="1">
      <c r="A524" s="280">
        <v>4</v>
      </c>
      <c r="B524" s="21" t="str">
        <f>VLOOKUP(Ruimtestaat[[#This Row],[Code]],Locaties[#All],2,FALSE)</f>
        <v>PXC Rijssen</v>
      </c>
      <c r="C524" s="281" t="str">
        <f>VLOOKUP(Ruimtestaat[[#This Row],[Code]],Locaties[#All],4,FALSE)</f>
        <v>Graaf Ottostraat 48</v>
      </c>
      <c r="D524" s="281" t="str">
        <f>VLOOKUP(Ruimtestaat[[#This Row],[Code]],Locaties[#All],5,FALSE)</f>
        <v>7461 CP</v>
      </c>
      <c r="E524" s="281" t="str">
        <f>VLOOKUP(Ruimtestaat[[#This Row],[Code]],Locaties[#All],6,FALSE)</f>
        <v>Rijssen</v>
      </c>
      <c r="F524" s="282"/>
      <c r="G524" s="283"/>
      <c r="H524" s="280"/>
      <c r="I524" s="282" t="s">
        <v>1113</v>
      </c>
      <c r="J524" s="200">
        <v>16</v>
      </c>
      <c r="K524" s="243" t="s">
        <v>1040</v>
      </c>
      <c r="L524" s="284" t="s">
        <v>1122</v>
      </c>
      <c r="M524" s="213">
        <v>50</v>
      </c>
      <c r="N524" s="202"/>
      <c r="O524" s="243" t="str">
        <f>VLOOKUP(Ruimtestaat[[#This Row],[Ruimte code]],Ruimtegroepen[#All],4,FALSE)</f>
        <v>L  (Lesruimte)</v>
      </c>
      <c r="P524" s="214"/>
      <c r="Q524" s="215">
        <v>40</v>
      </c>
      <c r="R524" s="215" t="s">
        <v>2</v>
      </c>
      <c r="S524" s="215">
        <f>IF(R524&gt;0,IF(RIGHT(Ruimtestaat[[#This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4" s="215">
        <f>IF(S524&gt;0,VLOOKUP($J524,Ruimtegroepen[],3,FALSE)*VLOOKUP($K524,Vloersoorten[],3,FALSE)*VLOOKUP($R524,Frequenties[],3,FALSE)*VLOOKUP($A524,Locaties[],3,FALSE),0)</f>
        <v>0</v>
      </c>
      <c r="U524" s="215">
        <f>Ruimtestaat[[#This Row],[Uitvoeringen werkdagen]]*Ruimtestaat[[#This Row],[Oppervlak (netto)]]</f>
        <v>10000</v>
      </c>
      <c r="V524" s="259">
        <f>IF(T524&gt;0,Ruimtestaat[[#This Row],[Prest. (m2 /jaar) werkdagen]]/Ruimtestaat[[#This Row],[Norm (m2/uur) werkdagen]],0)</f>
        <v>0</v>
      </c>
      <c r="W524" s="260">
        <f>Ruimtestaat[[#This Row],[uren / jaar werkdagen]]*Tariefsopbouw!$D$38</f>
        <v>0</v>
      </c>
      <c r="X524" s="33"/>
      <c r="Y524" s="33">
        <f>IF(Ruimtestaat[[#This Row],[Frequentie weekend]]&gt;0,VALUE(LEFT(X524,1))*Q524,0)</f>
        <v>0</v>
      </c>
      <c r="Z524" s="33">
        <f>IF($Y524&gt;0,VLOOKUP($J524,Ruimtegroepen[],3,FALSE)*VLOOKUP($K524,Vloersoorten[],3,FALSE)*VLOOKUP($X524,Frequenties[],3,FALSE)*VLOOKUP(#REF!,Locaties[],3,FALSE),0)</f>
        <v>0</v>
      </c>
      <c r="AA524" s="33"/>
      <c r="AB524" s="33"/>
      <c r="AC524" s="33">
        <f>Ruimtestaat[[#This Row],[uren / jaar weekend]]*Tariefsopbouw!$D$40</f>
        <v>0</v>
      </c>
      <c r="AD524" s="88">
        <f>Ruimtestaat[[#This Row],[Prest. (m2 /jaar) weekend]]+Ruimtestaat[[#This Row],[Prest. (m2 /jaar) werkdagen]]</f>
        <v>10000</v>
      </c>
      <c r="AE524" s="88">
        <f>Ruimtestaat[[#This Row],[uren / jaar weekend]]+Ruimtestaat[[#This Row],[uren / jaar werkdagen]]</f>
        <v>0</v>
      </c>
      <c r="AF524" s="89">
        <f>Ruimtestaat[[#This Row],[kosten / jaar weekend]]+Ruimtestaat[[#This Row],[kosten / jaar werkdagen]]</f>
        <v>0</v>
      </c>
    </row>
    <row r="525" spans="1:32" ht="15" customHeight="1">
      <c r="A525" s="280">
        <v>4</v>
      </c>
      <c r="B525" s="21" t="str">
        <f>VLOOKUP(Ruimtestaat[[#This Row],[Code]],Locaties[#All],2,FALSE)</f>
        <v>PXC Rijssen</v>
      </c>
      <c r="C525" s="281" t="str">
        <f>VLOOKUP(Ruimtestaat[[#This Row],[Code]],Locaties[#All],4,FALSE)</f>
        <v>Graaf Ottostraat 48</v>
      </c>
      <c r="D525" s="281" t="str">
        <f>VLOOKUP(Ruimtestaat[[#This Row],[Code]],Locaties[#All],5,FALSE)</f>
        <v>7461 CP</v>
      </c>
      <c r="E525" s="281" t="str">
        <f>VLOOKUP(Ruimtestaat[[#This Row],[Code]],Locaties[#All],6,FALSE)</f>
        <v>Rijssen</v>
      </c>
      <c r="F525" s="282"/>
      <c r="G525" s="283"/>
      <c r="H525" s="280"/>
      <c r="I525" s="282" t="s">
        <v>1070</v>
      </c>
      <c r="J525" s="200">
        <v>9</v>
      </c>
      <c r="K525" s="243" t="s">
        <v>1040</v>
      </c>
      <c r="L525" s="284" t="s">
        <v>1122</v>
      </c>
      <c r="M525" s="213">
        <v>25</v>
      </c>
      <c r="N525" s="213"/>
      <c r="O525" s="243" t="str">
        <f>VLOOKUP(Ruimtestaat[[#This Row],[Ruimte code]],Ruimtegroepen[#All],4,FALSE)</f>
        <v>V  (Verkeersruimte)</v>
      </c>
      <c r="P525" s="214"/>
      <c r="Q525" s="215">
        <v>40</v>
      </c>
      <c r="R525" s="215" t="s">
        <v>2</v>
      </c>
      <c r="S525" s="215">
        <f>IF(R525&gt;0,IF(RIGHT(Ruimtestaat[[#This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5" s="215">
        <f>IF(S525&gt;0,VLOOKUP($J525,Ruimtegroepen[],3,FALSE)*VLOOKUP($K525,Vloersoorten[],3,FALSE)*VLOOKUP($R525,Frequenties[],3,FALSE)*VLOOKUP($A525,Locaties[],3,FALSE),0)</f>
        <v>0</v>
      </c>
      <c r="U525" s="215">
        <f>Ruimtestaat[[#This Row],[Uitvoeringen werkdagen]]*Ruimtestaat[[#This Row],[Oppervlak (netto)]]</f>
        <v>5000</v>
      </c>
      <c r="V525" s="259">
        <f>IF(T525&gt;0,Ruimtestaat[[#This Row],[Prest. (m2 /jaar) werkdagen]]/Ruimtestaat[[#This Row],[Norm (m2/uur) werkdagen]],0)</f>
        <v>0</v>
      </c>
      <c r="W525" s="260">
        <f>Ruimtestaat[[#This Row],[uren / jaar werkdagen]]*Tariefsopbouw!$D$38</f>
        <v>0</v>
      </c>
      <c r="X525" s="33"/>
      <c r="Y525" s="33">
        <f>IF(Ruimtestaat[[#This Row],[Frequentie weekend]]&gt;0,VALUE(LEFT(X525,1))*Q525,0)</f>
        <v>0</v>
      </c>
      <c r="Z525" s="33">
        <f>IF($Y525&gt;0,VLOOKUP($J525,Ruimtegroepen[],3,FALSE)*VLOOKUP($K525,Vloersoorten[],3,FALSE)*VLOOKUP($X525,Frequenties[],3,FALSE)*VLOOKUP(#REF!,Locaties[],3,FALSE),0)</f>
        <v>0</v>
      </c>
      <c r="AA525" s="33"/>
      <c r="AB525" s="33"/>
      <c r="AC525" s="33">
        <f>Ruimtestaat[[#This Row],[uren / jaar weekend]]*Tariefsopbouw!$D$40</f>
        <v>0</v>
      </c>
      <c r="AD525" s="88">
        <f>Ruimtestaat[[#This Row],[Prest. (m2 /jaar) weekend]]+Ruimtestaat[[#This Row],[Prest. (m2 /jaar) werkdagen]]</f>
        <v>5000</v>
      </c>
      <c r="AE525" s="88">
        <f>Ruimtestaat[[#This Row],[uren / jaar weekend]]+Ruimtestaat[[#This Row],[uren / jaar werkdagen]]</f>
        <v>0</v>
      </c>
      <c r="AF525" s="89">
        <f>Ruimtestaat[[#This Row],[kosten / jaar weekend]]+Ruimtestaat[[#This Row],[kosten / jaar werkdagen]]</f>
        <v>0</v>
      </c>
    </row>
    <row r="526" spans="1:32" ht="15" customHeight="1">
      <c r="A526" s="280">
        <v>4</v>
      </c>
      <c r="B526" s="21" t="str">
        <f>VLOOKUP(Ruimtestaat[[#This Row],[Code]],Locaties[#All],2,FALSE)</f>
        <v>PXC Rijssen</v>
      </c>
      <c r="C526" s="281" t="str">
        <f>VLOOKUP(Ruimtestaat[[#This Row],[Code]],Locaties[#All],4,FALSE)</f>
        <v>Graaf Ottostraat 48</v>
      </c>
      <c r="D526" s="281" t="str">
        <f>VLOOKUP(Ruimtestaat[[#This Row],[Code]],Locaties[#All],5,FALSE)</f>
        <v>7461 CP</v>
      </c>
      <c r="E526" s="281" t="str">
        <f>VLOOKUP(Ruimtestaat[[#This Row],[Code]],Locaties[#All],6,FALSE)</f>
        <v>Rijssen</v>
      </c>
      <c r="F526" s="282" t="s">
        <v>1126</v>
      </c>
      <c r="G526" s="283"/>
      <c r="H526" s="280"/>
      <c r="I526" s="282" t="s">
        <v>1114</v>
      </c>
      <c r="J526" s="200">
        <v>2</v>
      </c>
      <c r="K526" s="243" t="s">
        <v>1040</v>
      </c>
      <c r="L526" s="284" t="s">
        <v>1122</v>
      </c>
      <c r="M526" s="213">
        <v>21.5</v>
      </c>
      <c r="N526" s="213"/>
      <c r="O526" s="243" t="str">
        <f>VLOOKUP(Ruimtestaat[[#This Row],[Ruimte code]],Ruimtegroepen[#All],4,FALSE)</f>
        <v>B  (Bureauruimte)</v>
      </c>
      <c r="P526" s="214"/>
      <c r="Q526" s="215">
        <v>40</v>
      </c>
      <c r="R526" s="215" t="s">
        <v>17</v>
      </c>
      <c r="S526" s="215">
        <f>IF(R526&gt;0,IF(RIGHT(Ruimtestaat[[#This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26" s="215">
        <f>IF(S526&gt;0,VLOOKUP($J526,Ruimtegroepen[],3,FALSE)*VLOOKUP($K526,Vloersoorten[],3,FALSE)*VLOOKUP($R526,Frequenties[],3,FALSE)*VLOOKUP($A526,Locaties[],3,FALSE),0)</f>
        <v>0</v>
      </c>
      <c r="U526" s="215">
        <f>Ruimtestaat[[#This Row],[Uitvoeringen werkdagen]]*Ruimtestaat[[#This Row],[Oppervlak (netto)]]</f>
        <v>1720</v>
      </c>
      <c r="V526" s="259">
        <f>IF(T526&gt;0,Ruimtestaat[[#This Row],[Prest. (m2 /jaar) werkdagen]]/Ruimtestaat[[#This Row],[Norm (m2/uur) werkdagen]],0)</f>
        <v>0</v>
      </c>
      <c r="W526" s="260">
        <f>Ruimtestaat[[#This Row],[uren / jaar werkdagen]]*Tariefsopbouw!$D$38</f>
        <v>0</v>
      </c>
      <c r="X526" s="33"/>
      <c r="Y526" s="33">
        <f>IF(Ruimtestaat[[#This Row],[Frequentie weekend]]&gt;0,VALUE(LEFT(X526,1))*Q526,0)</f>
        <v>0</v>
      </c>
      <c r="Z526" s="33">
        <f>IF($Y526&gt;0,VLOOKUP($J526,Ruimtegroepen[],3,FALSE)*VLOOKUP($K526,Vloersoorten[],3,FALSE)*VLOOKUP($X526,Frequenties[],3,FALSE)*VLOOKUP(#REF!,Locaties[],3,FALSE),0)</f>
        <v>0</v>
      </c>
      <c r="AA526" s="33"/>
      <c r="AB526" s="33"/>
      <c r="AC526" s="33">
        <f>Ruimtestaat[[#This Row],[uren / jaar weekend]]*Tariefsopbouw!$D$40</f>
        <v>0</v>
      </c>
      <c r="AD526" s="88">
        <f>Ruimtestaat[[#This Row],[Prest. (m2 /jaar) weekend]]+Ruimtestaat[[#This Row],[Prest. (m2 /jaar) werkdagen]]</f>
        <v>1720</v>
      </c>
      <c r="AE526" s="88">
        <f>Ruimtestaat[[#This Row],[uren / jaar weekend]]+Ruimtestaat[[#This Row],[uren / jaar werkdagen]]</f>
        <v>0</v>
      </c>
      <c r="AF526" s="89">
        <f>Ruimtestaat[[#This Row],[kosten / jaar weekend]]+Ruimtestaat[[#This Row],[kosten / jaar werkdagen]]</f>
        <v>0</v>
      </c>
    </row>
    <row r="527" spans="1:32" ht="15" customHeight="1">
      <c r="A527" s="280">
        <v>4</v>
      </c>
      <c r="B527" s="21" t="str">
        <f>VLOOKUP(Ruimtestaat[[#This Row],[Code]],Locaties[#All],2,FALSE)</f>
        <v>PXC Rijssen</v>
      </c>
      <c r="C527" s="281" t="str">
        <f>VLOOKUP(Ruimtestaat[[#This Row],[Code]],Locaties[#All],4,FALSE)</f>
        <v>Graaf Ottostraat 48</v>
      </c>
      <c r="D527" s="281" t="str">
        <f>VLOOKUP(Ruimtestaat[[#This Row],[Code]],Locaties[#All],5,FALSE)</f>
        <v>7461 CP</v>
      </c>
      <c r="E527" s="281" t="str">
        <f>VLOOKUP(Ruimtestaat[[#This Row],[Code]],Locaties[#All],6,FALSE)</f>
        <v>Rijssen</v>
      </c>
      <c r="F527" s="282" t="s">
        <v>1126</v>
      </c>
      <c r="G527" s="283"/>
      <c r="H527" s="280"/>
      <c r="I527" s="282" t="s">
        <v>1115</v>
      </c>
      <c r="J527" s="200">
        <v>5</v>
      </c>
      <c r="K527" s="243" t="s">
        <v>111</v>
      </c>
      <c r="L527" s="284" t="s">
        <v>913</v>
      </c>
      <c r="M527" s="213">
        <v>4.8</v>
      </c>
      <c r="N527" s="213"/>
      <c r="O527" s="243" t="str">
        <f>VLOOKUP(Ruimtestaat[[#This Row],[Ruimte code]],Ruimtegroepen[#All],4,FALSE)</f>
        <v>S  (Sanitair)</v>
      </c>
      <c r="P527" s="214"/>
      <c r="Q527" s="215">
        <v>40</v>
      </c>
      <c r="R527" s="215" t="s">
        <v>2</v>
      </c>
      <c r="S527" s="215">
        <f>IF(R527&gt;0,IF(RIGHT(Ruimtestaat[[#This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7" s="215">
        <f>IF(S527&gt;0,VLOOKUP($J527,Ruimtegroepen[],3,FALSE)*VLOOKUP($K527,Vloersoorten[],3,FALSE)*VLOOKUP($R527,Frequenties[],3,FALSE)*VLOOKUP($A527,Locaties[],3,FALSE),0)</f>
        <v>0</v>
      </c>
      <c r="U527" s="215">
        <f>Ruimtestaat[[#This Row],[Uitvoeringen werkdagen]]*Ruimtestaat[[#This Row],[Oppervlak (netto)]]</f>
        <v>960</v>
      </c>
      <c r="V527" s="259">
        <f>IF(T527&gt;0,Ruimtestaat[[#This Row],[Prest. (m2 /jaar) werkdagen]]/Ruimtestaat[[#This Row],[Norm (m2/uur) werkdagen]],0)</f>
        <v>0</v>
      </c>
      <c r="W527" s="260">
        <f>Ruimtestaat[[#This Row],[uren / jaar werkdagen]]*Tariefsopbouw!$D$38</f>
        <v>0</v>
      </c>
      <c r="X527" s="33"/>
      <c r="Y527" s="33">
        <f>IF(Ruimtestaat[[#This Row],[Frequentie weekend]]&gt;0,VALUE(LEFT(X527,1))*Q527,0)</f>
        <v>0</v>
      </c>
      <c r="Z527" s="33">
        <f>IF($Y527&gt;0,VLOOKUP($J527,Ruimtegroepen[],3,FALSE)*VLOOKUP($K527,Vloersoorten[],3,FALSE)*VLOOKUP($X527,Frequenties[],3,FALSE)*VLOOKUP(#REF!,Locaties[],3,FALSE),0)</f>
        <v>0</v>
      </c>
      <c r="AA527" s="33"/>
      <c r="AB527" s="33"/>
      <c r="AC527" s="33">
        <f>Ruimtestaat[[#This Row],[uren / jaar weekend]]*Tariefsopbouw!$D$40</f>
        <v>0</v>
      </c>
      <c r="AD527" s="88">
        <f>Ruimtestaat[[#This Row],[Prest. (m2 /jaar) weekend]]+Ruimtestaat[[#This Row],[Prest. (m2 /jaar) werkdagen]]</f>
        <v>960</v>
      </c>
      <c r="AE527" s="88">
        <f>Ruimtestaat[[#This Row],[uren / jaar weekend]]+Ruimtestaat[[#This Row],[uren / jaar werkdagen]]</f>
        <v>0</v>
      </c>
      <c r="AF527" s="89">
        <f>Ruimtestaat[[#This Row],[kosten / jaar weekend]]+Ruimtestaat[[#This Row],[kosten / jaar werkdagen]]</f>
        <v>0</v>
      </c>
    </row>
    <row r="528" spans="1:32" ht="15" customHeight="1">
      <c r="A528" s="280">
        <v>4</v>
      </c>
      <c r="B528" s="21" t="str">
        <f>VLOOKUP(Ruimtestaat[[#This Row],[Code]],Locaties[#All],2,FALSE)</f>
        <v>PXC Rijssen</v>
      </c>
      <c r="C528" s="281" t="str">
        <f>VLOOKUP(Ruimtestaat[[#This Row],[Code]],Locaties[#All],4,FALSE)</f>
        <v>Graaf Ottostraat 48</v>
      </c>
      <c r="D528" s="281" t="str">
        <f>VLOOKUP(Ruimtestaat[[#This Row],[Code]],Locaties[#All],5,FALSE)</f>
        <v>7461 CP</v>
      </c>
      <c r="E528" s="281" t="str">
        <f>VLOOKUP(Ruimtestaat[[#This Row],[Code]],Locaties[#All],6,FALSE)</f>
        <v>Rijssen</v>
      </c>
      <c r="F528" s="282" t="s">
        <v>1126</v>
      </c>
      <c r="G528" s="283"/>
      <c r="H528" s="280"/>
      <c r="I528" s="282" t="s">
        <v>1116</v>
      </c>
      <c r="J528" s="200">
        <v>5</v>
      </c>
      <c r="K528" s="243" t="s">
        <v>111</v>
      </c>
      <c r="L528" s="284" t="s">
        <v>913</v>
      </c>
      <c r="M528" s="213">
        <v>4.8</v>
      </c>
      <c r="N528" s="213"/>
      <c r="O528" s="243" t="str">
        <f>VLOOKUP(Ruimtestaat[[#This Row],[Ruimte code]],Ruimtegroepen[#All],4,FALSE)</f>
        <v>S  (Sanitair)</v>
      </c>
      <c r="P528" s="214"/>
      <c r="Q528" s="215">
        <v>40</v>
      </c>
      <c r="R528" s="215" t="s">
        <v>2</v>
      </c>
      <c r="S528" s="215">
        <f>IF(R528&gt;0,IF(RIGHT(Ruimtestaat[[#This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8" s="215">
        <f>IF(S528&gt;0,VLOOKUP($J528,Ruimtegroepen[],3,FALSE)*VLOOKUP($K528,Vloersoorten[],3,FALSE)*VLOOKUP($R528,Frequenties[],3,FALSE)*VLOOKUP($A528,Locaties[],3,FALSE),0)</f>
        <v>0</v>
      </c>
      <c r="U528" s="215">
        <f>Ruimtestaat[[#This Row],[Uitvoeringen werkdagen]]*Ruimtestaat[[#This Row],[Oppervlak (netto)]]</f>
        <v>960</v>
      </c>
      <c r="V528" s="259">
        <f>IF(T528&gt;0,Ruimtestaat[[#This Row],[Prest. (m2 /jaar) werkdagen]]/Ruimtestaat[[#This Row],[Norm (m2/uur) werkdagen]],0)</f>
        <v>0</v>
      </c>
      <c r="W528" s="260">
        <f>Ruimtestaat[[#This Row],[uren / jaar werkdagen]]*Tariefsopbouw!$D$38</f>
        <v>0</v>
      </c>
      <c r="X528" s="33"/>
      <c r="Y528" s="33">
        <f>IF(Ruimtestaat[[#This Row],[Frequentie weekend]]&gt;0,VALUE(LEFT(X528,1))*Q528,0)</f>
        <v>0</v>
      </c>
      <c r="Z528" s="33">
        <f>IF($Y528&gt;0,VLOOKUP($J528,Ruimtegroepen[],3,FALSE)*VLOOKUP($K528,Vloersoorten[],3,FALSE)*VLOOKUP($X528,Frequenties[],3,FALSE)*VLOOKUP(#REF!,Locaties[],3,FALSE),0)</f>
        <v>0</v>
      </c>
      <c r="AA528" s="33"/>
      <c r="AB528" s="33"/>
      <c r="AC528" s="33">
        <f>Ruimtestaat[[#This Row],[uren / jaar weekend]]*Tariefsopbouw!$D$40</f>
        <v>0</v>
      </c>
      <c r="AD528" s="88">
        <f>Ruimtestaat[[#This Row],[Prest. (m2 /jaar) weekend]]+Ruimtestaat[[#This Row],[Prest. (m2 /jaar) werkdagen]]</f>
        <v>960</v>
      </c>
      <c r="AE528" s="88">
        <f>Ruimtestaat[[#This Row],[uren / jaar weekend]]+Ruimtestaat[[#This Row],[uren / jaar werkdagen]]</f>
        <v>0</v>
      </c>
      <c r="AF528" s="89">
        <f>Ruimtestaat[[#This Row],[kosten / jaar weekend]]+Ruimtestaat[[#This Row],[kosten / jaar werkdagen]]</f>
        <v>0</v>
      </c>
    </row>
    <row r="529" spans="1:32" ht="15" customHeight="1">
      <c r="A529" s="280">
        <v>4</v>
      </c>
      <c r="B529" s="21" t="str">
        <f>VLOOKUP(Ruimtestaat[[#This Row],[Code]],Locaties[#All],2,FALSE)</f>
        <v>PXC Rijssen</v>
      </c>
      <c r="C529" s="281" t="str">
        <f>VLOOKUP(Ruimtestaat[[#This Row],[Code]],Locaties[#All],4,FALSE)</f>
        <v>Graaf Ottostraat 48</v>
      </c>
      <c r="D529" s="281" t="str">
        <f>VLOOKUP(Ruimtestaat[[#This Row],[Code]],Locaties[#All],5,FALSE)</f>
        <v>7461 CP</v>
      </c>
      <c r="E529" s="281" t="str">
        <f>VLOOKUP(Ruimtestaat[[#This Row],[Code]],Locaties[#All],6,FALSE)</f>
        <v>Rijssen</v>
      </c>
      <c r="F529" s="282" t="s">
        <v>1126</v>
      </c>
      <c r="G529" s="283"/>
      <c r="H529" s="280"/>
      <c r="I529" s="282" t="s">
        <v>1117</v>
      </c>
      <c r="J529" s="200">
        <v>5</v>
      </c>
      <c r="K529" s="243" t="s">
        <v>111</v>
      </c>
      <c r="L529" s="284" t="s">
        <v>913</v>
      </c>
      <c r="M529" s="213">
        <v>1.5</v>
      </c>
      <c r="N529" s="202"/>
      <c r="O529" s="243" t="str">
        <f>VLOOKUP(Ruimtestaat[[#This Row],[Ruimte code]],Ruimtegroepen[#All],4,FALSE)</f>
        <v>S  (Sanitair)</v>
      </c>
      <c r="P529" s="214"/>
      <c r="Q529" s="215">
        <v>40</v>
      </c>
      <c r="R529" s="215" t="s">
        <v>2</v>
      </c>
      <c r="S529" s="215">
        <f>IF(R529&gt;0,IF(RIGHT(Ruimtestaat[[#This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29" s="215">
        <f>IF(S529&gt;0,VLOOKUP($J529,Ruimtegroepen[],3,FALSE)*VLOOKUP($K529,Vloersoorten[],3,FALSE)*VLOOKUP($R529,Frequenties[],3,FALSE)*VLOOKUP($A529,Locaties[],3,FALSE),0)</f>
        <v>0</v>
      </c>
      <c r="U529" s="215">
        <f>Ruimtestaat[[#This Row],[Uitvoeringen werkdagen]]*Ruimtestaat[[#This Row],[Oppervlak (netto)]]</f>
        <v>300</v>
      </c>
      <c r="V529" s="259">
        <f>IF(T529&gt;0,Ruimtestaat[[#This Row],[Prest. (m2 /jaar) werkdagen]]/Ruimtestaat[[#This Row],[Norm (m2/uur) werkdagen]],0)</f>
        <v>0</v>
      </c>
      <c r="W529" s="260">
        <f>Ruimtestaat[[#This Row],[uren / jaar werkdagen]]*Tariefsopbouw!$D$38</f>
        <v>0</v>
      </c>
      <c r="X529" s="33"/>
      <c r="Y529" s="33">
        <f>IF(Ruimtestaat[[#This Row],[Frequentie weekend]]&gt;0,VALUE(LEFT(X529,1))*Q529,0)</f>
        <v>0</v>
      </c>
      <c r="Z529" s="33">
        <f>IF($Y529&gt;0,VLOOKUP($J529,Ruimtegroepen[],3,FALSE)*VLOOKUP($K529,Vloersoorten[],3,FALSE)*VLOOKUP($X529,Frequenties[],3,FALSE)*VLOOKUP(#REF!,Locaties[],3,FALSE),0)</f>
        <v>0</v>
      </c>
      <c r="AA529" s="33"/>
      <c r="AB529" s="33"/>
      <c r="AC529" s="33">
        <f>Ruimtestaat[[#This Row],[uren / jaar weekend]]*Tariefsopbouw!$D$40</f>
        <v>0</v>
      </c>
      <c r="AD529" s="88">
        <f>Ruimtestaat[[#This Row],[Prest. (m2 /jaar) weekend]]+Ruimtestaat[[#This Row],[Prest. (m2 /jaar) werkdagen]]</f>
        <v>300</v>
      </c>
      <c r="AE529" s="88">
        <f>Ruimtestaat[[#This Row],[uren / jaar weekend]]+Ruimtestaat[[#This Row],[uren / jaar werkdagen]]</f>
        <v>0</v>
      </c>
      <c r="AF529" s="89">
        <f>Ruimtestaat[[#This Row],[kosten / jaar weekend]]+Ruimtestaat[[#This Row],[kosten / jaar werkdagen]]</f>
        <v>0</v>
      </c>
    </row>
    <row r="530" spans="1:32" ht="15" customHeight="1">
      <c r="A530" s="280">
        <v>4</v>
      </c>
      <c r="B530" s="21" t="str">
        <f>VLOOKUP(Ruimtestaat[[#This Row],[Code]],Locaties[#All],2,FALSE)</f>
        <v>PXC Rijssen</v>
      </c>
      <c r="C530" s="281" t="str">
        <f>VLOOKUP(Ruimtestaat[[#This Row],[Code]],Locaties[#All],4,FALSE)</f>
        <v>Graaf Ottostraat 48</v>
      </c>
      <c r="D530" s="281" t="str">
        <f>VLOOKUP(Ruimtestaat[[#This Row],[Code]],Locaties[#All],5,FALSE)</f>
        <v>7461 CP</v>
      </c>
      <c r="E530" s="281" t="str">
        <f>VLOOKUP(Ruimtestaat[[#This Row],[Code]],Locaties[#All],6,FALSE)</f>
        <v>Rijssen</v>
      </c>
      <c r="F530" s="282" t="s">
        <v>1126</v>
      </c>
      <c r="G530" s="283"/>
      <c r="H530" s="280"/>
      <c r="I530" s="282" t="s">
        <v>1118</v>
      </c>
      <c r="J530" s="200">
        <v>5</v>
      </c>
      <c r="K530" s="243" t="s">
        <v>111</v>
      </c>
      <c r="L530" s="284" t="s">
        <v>913</v>
      </c>
      <c r="M530" s="213">
        <v>1.5</v>
      </c>
      <c r="N530" s="202"/>
      <c r="O530" s="243" t="str">
        <f>VLOOKUP(Ruimtestaat[[#This Row],[Ruimte code]],Ruimtegroepen[#All],4,FALSE)</f>
        <v>S  (Sanitair)</v>
      </c>
      <c r="P530" s="214"/>
      <c r="Q530" s="215">
        <v>40</v>
      </c>
      <c r="R530" s="215" t="s">
        <v>2</v>
      </c>
      <c r="S530" s="215">
        <f>IF(R530&gt;0,IF(RIGHT(Ruimtestaat[[#This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0" s="215">
        <f>IF(S530&gt;0,VLOOKUP($J530,Ruimtegroepen[],3,FALSE)*VLOOKUP($K530,Vloersoorten[],3,FALSE)*VLOOKUP($R530,Frequenties[],3,FALSE)*VLOOKUP($A530,Locaties[],3,FALSE),0)</f>
        <v>0</v>
      </c>
      <c r="U530" s="215">
        <f>Ruimtestaat[[#This Row],[Uitvoeringen werkdagen]]*Ruimtestaat[[#This Row],[Oppervlak (netto)]]</f>
        <v>300</v>
      </c>
      <c r="V530" s="259">
        <f>IF(T530&gt;0,Ruimtestaat[[#This Row],[Prest. (m2 /jaar) werkdagen]]/Ruimtestaat[[#This Row],[Norm (m2/uur) werkdagen]],0)</f>
        <v>0</v>
      </c>
      <c r="W530" s="260">
        <f>Ruimtestaat[[#This Row],[uren / jaar werkdagen]]*Tariefsopbouw!$D$38</f>
        <v>0</v>
      </c>
      <c r="X530" s="33"/>
      <c r="Y530" s="33">
        <f>IF(Ruimtestaat[[#This Row],[Frequentie weekend]]&gt;0,VALUE(LEFT(X530,1))*Q530,0)</f>
        <v>0</v>
      </c>
      <c r="Z530" s="33">
        <f>IF($Y530&gt;0,VLOOKUP($J530,Ruimtegroepen[],3,FALSE)*VLOOKUP($K530,Vloersoorten[],3,FALSE)*VLOOKUP($X530,Frequenties[],3,FALSE)*VLOOKUP(#REF!,Locaties[],3,FALSE),0)</f>
        <v>0</v>
      </c>
      <c r="AA530" s="33"/>
      <c r="AB530" s="33"/>
      <c r="AC530" s="33">
        <f>Ruimtestaat[[#This Row],[uren / jaar weekend]]*Tariefsopbouw!$D$40</f>
        <v>0</v>
      </c>
      <c r="AD530" s="88">
        <f>Ruimtestaat[[#This Row],[Prest. (m2 /jaar) weekend]]+Ruimtestaat[[#This Row],[Prest. (m2 /jaar) werkdagen]]</f>
        <v>300</v>
      </c>
      <c r="AE530" s="88">
        <f>Ruimtestaat[[#This Row],[uren / jaar weekend]]+Ruimtestaat[[#This Row],[uren / jaar werkdagen]]</f>
        <v>0</v>
      </c>
      <c r="AF530" s="89">
        <f>Ruimtestaat[[#This Row],[kosten / jaar weekend]]+Ruimtestaat[[#This Row],[kosten / jaar werkdagen]]</f>
        <v>0</v>
      </c>
    </row>
    <row r="531" spans="1:32" ht="15" customHeight="1">
      <c r="A531" s="280">
        <v>4</v>
      </c>
      <c r="B531" s="21" t="str">
        <f>VLOOKUP(Ruimtestaat[[#This Row],[Code]],Locaties[#All],2,FALSE)</f>
        <v>PXC Rijssen</v>
      </c>
      <c r="C531" s="281" t="str">
        <f>VLOOKUP(Ruimtestaat[[#This Row],[Code]],Locaties[#All],4,FALSE)</f>
        <v>Graaf Ottostraat 48</v>
      </c>
      <c r="D531" s="281" t="str">
        <f>VLOOKUP(Ruimtestaat[[#This Row],[Code]],Locaties[#All],5,FALSE)</f>
        <v>7461 CP</v>
      </c>
      <c r="E531" s="281" t="str">
        <f>VLOOKUP(Ruimtestaat[[#This Row],[Code]],Locaties[#All],6,FALSE)</f>
        <v>Rijssen</v>
      </c>
      <c r="F531" s="282" t="s">
        <v>1126</v>
      </c>
      <c r="G531" s="283"/>
      <c r="H531" s="280"/>
      <c r="I531" s="282" t="s">
        <v>1119</v>
      </c>
      <c r="J531" s="200">
        <v>5</v>
      </c>
      <c r="K531" s="243" t="s">
        <v>111</v>
      </c>
      <c r="L531" s="284" t="s">
        <v>913</v>
      </c>
      <c r="M531" s="213">
        <v>1.5</v>
      </c>
      <c r="N531" s="213"/>
      <c r="O531" s="243" t="str">
        <f>VLOOKUP(Ruimtestaat[[#This Row],[Ruimte code]],Ruimtegroepen[#All],4,FALSE)</f>
        <v>S  (Sanitair)</v>
      </c>
      <c r="P531" s="214"/>
      <c r="Q531" s="215">
        <v>40</v>
      </c>
      <c r="R531" s="215" t="s">
        <v>2</v>
      </c>
      <c r="S531" s="215">
        <f>IF(R531&gt;0,IF(RIGHT(Ruimtestaat[[#This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1" s="215">
        <f>IF(S531&gt;0,VLOOKUP($J531,Ruimtegroepen[],3,FALSE)*VLOOKUP($K531,Vloersoorten[],3,FALSE)*VLOOKUP($R531,Frequenties[],3,FALSE)*VLOOKUP($A531,Locaties[],3,FALSE),0)</f>
        <v>0</v>
      </c>
      <c r="U531" s="215">
        <f>Ruimtestaat[[#This Row],[Uitvoeringen werkdagen]]*Ruimtestaat[[#This Row],[Oppervlak (netto)]]</f>
        <v>300</v>
      </c>
      <c r="V531" s="259">
        <f>IF(T531&gt;0,Ruimtestaat[[#This Row],[Prest. (m2 /jaar) werkdagen]]/Ruimtestaat[[#This Row],[Norm (m2/uur) werkdagen]],0)</f>
        <v>0</v>
      </c>
      <c r="W531" s="260">
        <f>Ruimtestaat[[#This Row],[uren / jaar werkdagen]]*Tariefsopbouw!$D$38</f>
        <v>0</v>
      </c>
      <c r="X531" s="33"/>
      <c r="Y531" s="33">
        <f>IF(Ruimtestaat[[#This Row],[Frequentie weekend]]&gt;0,VALUE(LEFT(X531,1))*Q531,0)</f>
        <v>0</v>
      </c>
      <c r="Z531" s="33">
        <f>IF($Y531&gt;0,VLOOKUP($J531,Ruimtegroepen[],3,FALSE)*VLOOKUP($K531,Vloersoorten[],3,FALSE)*VLOOKUP($X531,Frequenties[],3,FALSE)*VLOOKUP(#REF!,Locaties[],3,FALSE),0)</f>
        <v>0</v>
      </c>
      <c r="AA531" s="33"/>
      <c r="AB531" s="33"/>
      <c r="AC531" s="33">
        <f>Ruimtestaat[[#This Row],[uren / jaar weekend]]*Tariefsopbouw!$D$40</f>
        <v>0</v>
      </c>
      <c r="AD531" s="88">
        <f>Ruimtestaat[[#This Row],[Prest. (m2 /jaar) weekend]]+Ruimtestaat[[#This Row],[Prest. (m2 /jaar) werkdagen]]</f>
        <v>300</v>
      </c>
      <c r="AE531" s="88">
        <f>Ruimtestaat[[#This Row],[uren / jaar weekend]]+Ruimtestaat[[#This Row],[uren / jaar werkdagen]]</f>
        <v>0</v>
      </c>
      <c r="AF531" s="89">
        <f>Ruimtestaat[[#This Row],[kosten / jaar weekend]]+Ruimtestaat[[#This Row],[kosten / jaar werkdagen]]</f>
        <v>0</v>
      </c>
    </row>
    <row r="532" spans="1:32" ht="15" customHeight="1">
      <c r="A532" s="280">
        <v>5</v>
      </c>
      <c r="B532" s="21" t="str">
        <f>VLOOKUP(Ruimtestaat[[#This Row],[Code]],Locaties[#All],2,FALSE)</f>
        <v>SGC Almelo</v>
      </c>
      <c r="C532" s="281" t="str">
        <f>VLOOKUP(Ruimtestaat[[#This Row],[Code]],Locaties[#All],4,FALSE)</f>
        <v>Slot 31</v>
      </c>
      <c r="D532" s="281" t="str">
        <f>VLOOKUP(Ruimtestaat[[#This Row],[Code]],Locaties[#All],5,FALSE)</f>
        <v>7608 ND</v>
      </c>
      <c r="E532" s="281" t="str">
        <f>VLOOKUP(Ruimtestaat[[#This Row],[Code]],Locaties[#All],6,FALSE)</f>
        <v>Almelo</v>
      </c>
      <c r="F532" s="282"/>
      <c r="G532" s="283" t="s">
        <v>444</v>
      </c>
      <c r="H532" s="280">
        <v>1</v>
      </c>
      <c r="I532" s="282" t="s">
        <v>253</v>
      </c>
      <c r="J532" s="243">
        <v>9</v>
      </c>
      <c r="K532" s="243" t="s">
        <v>111</v>
      </c>
      <c r="L532" s="291" t="s">
        <v>890</v>
      </c>
      <c r="M532" s="213">
        <v>217.24</v>
      </c>
      <c r="N532" s="202"/>
      <c r="O532" s="243" t="str">
        <f>VLOOKUP(Ruimtestaat[[#This Row],[Ruimte code]],Ruimtegroepen[#All],4,FALSE)</f>
        <v>V  (Verkeersruimte)</v>
      </c>
      <c r="P532" s="214"/>
      <c r="Q532" s="215">
        <v>40</v>
      </c>
      <c r="R532" s="215" t="s">
        <v>2</v>
      </c>
      <c r="S532" s="215">
        <f>IF(R532&gt;0,IF(RIGHT(Ruimtestaat[[#This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32" s="215">
        <f>IF(S532&gt;0,VLOOKUP($J532,Ruimtegroepen[],3,FALSE)*VLOOKUP($K532,Vloersoorten[],3,FALSE)*VLOOKUP($R532,Frequenties[],3,FALSE)*VLOOKUP($A532,Locaties[],3,FALSE),0)</f>
        <v>0</v>
      </c>
      <c r="U532" s="215">
        <f>Ruimtestaat[[#This Row],[Uitvoeringen werkdagen]]*Ruimtestaat[[#This Row],[Oppervlak (netto)]]</f>
        <v>43448</v>
      </c>
      <c r="V532" s="259">
        <f>IF(T532&gt;0,Ruimtestaat[[#This Row],[Prest. (m2 /jaar) werkdagen]]/Ruimtestaat[[#This Row],[Norm (m2/uur) werkdagen]],0)</f>
        <v>0</v>
      </c>
      <c r="W532" s="260">
        <f>Ruimtestaat[[#This Row],[uren / jaar werkdagen]]*Tariefsopbouw!$D$38</f>
        <v>0</v>
      </c>
      <c r="X532" s="33"/>
      <c r="Y532" s="33">
        <f>IF(Ruimtestaat[[#This Row],[Frequentie weekend]]&gt;0,VALUE(LEFT(X532,1))*Q532,0)</f>
        <v>0</v>
      </c>
      <c r="Z532" s="33">
        <f>IF($Y532&gt;0,VLOOKUP($J532,Ruimtegroepen[],3,FALSE)*VLOOKUP($K532,Vloersoorten[],3,FALSE)*VLOOKUP($X532,Frequenties[],3,FALSE)*VLOOKUP(#REF!,Locaties[],3,FALSE),0)</f>
        <v>0</v>
      </c>
      <c r="AA532" s="33"/>
      <c r="AB532" s="33"/>
      <c r="AC532" s="33">
        <f>Ruimtestaat[[#This Row],[uren / jaar weekend]]*Tariefsopbouw!$D$40</f>
        <v>0</v>
      </c>
      <c r="AD532" s="88">
        <f>Ruimtestaat[[#This Row],[Prest. (m2 /jaar) weekend]]+Ruimtestaat[[#This Row],[Prest. (m2 /jaar) werkdagen]]</f>
        <v>43448</v>
      </c>
      <c r="AE532" s="88">
        <f>Ruimtestaat[[#This Row],[uren / jaar weekend]]+Ruimtestaat[[#This Row],[uren / jaar werkdagen]]</f>
        <v>0</v>
      </c>
      <c r="AF532" s="89">
        <f>Ruimtestaat[[#This Row],[kosten / jaar weekend]]+Ruimtestaat[[#This Row],[kosten / jaar werkdagen]]</f>
        <v>0</v>
      </c>
    </row>
    <row r="533" spans="1:32" ht="15" customHeight="1">
      <c r="A533" s="280">
        <v>5</v>
      </c>
      <c r="B533" s="21" t="str">
        <f>VLOOKUP(Ruimtestaat[[#This Row],[Code]],Locaties[#All],2,FALSE)</f>
        <v>SGC Almelo</v>
      </c>
      <c r="C533" s="281" t="str">
        <f>VLOOKUP(Ruimtestaat[[#This Row],[Code]],Locaties[#All],4,FALSE)</f>
        <v>Slot 31</v>
      </c>
      <c r="D533" s="281" t="str">
        <f>VLOOKUP(Ruimtestaat[[#This Row],[Code]],Locaties[#All],5,FALSE)</f>
        <v>7608 ND</v>
      </c>
      <c r="E533" s="281" t="str">
        <f>VLOOKUP(Ruimtestaat[[#This Row],[Code]],Locaties[#All],6,FALSE)</f>
        <v>Almelo</v>
      </c>
      <c r="F533" s="282"/>
      <c r="G533" s="283" t="s">
        <v>444</v>
      </c>
      <c r="H533" s="200" t="s">
        <v>905</v>
      </c>
      <c r="I533" s="282" t="s">
        <v>699</v>
      </c>
      <c r="J533" s="281">
        <v>21</v>
      </c>
      <c r="K533" s="281"/>
      <c r="L533" s="284"/>
      <c r="M533" s="213"/>
      <c r="N533" s="213">
        <v>1.5</v>
      </c>
      <c r="O533" s="243" t="str">
        <f>VLOOKUP(Ruimtestaat[[#This Row],[Ruimte code]],Ruimtegroepen[#All],4,FALSE)</f>
        <v>Niet in onderhoud</v>
      </c>
      <c r="P533" s="214"/>
      <c r="Q533" s="215"/>
      <c r="R533" s="215"/>
      <c r="S533" s="215">
        <f>IF(R533&gt;0,IF(RIGHT(Ruimtestaat[[#This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3" s="215">
        <f>IF(S533&gt;0,VLOOKUP($J533,Ruimtegroepen[],3,FALSE)*VLOOKUP($K533,Vloersoorten[],3,FALSE)*VLOOKUP($R533,Frequenties[],3,FALSE)*VLOOKUP($A533,Locaties[],3,FALSE),0)</f>
        <v>0</v>
      </c>
      <c r="U533" s="215">
        <f>Ruimtestaat[[#This Row],[Uitvoeringen werkdagen]]*Ruimtestaat[[#This Row],[Oppervlak (netto)]]</f>
        <v>0</v>
      </c>
      <c r="V533" s="259">
        <f>IF(T533&gt;0,Ruimtestaat[[#This Row],[Prest. (m2 /jaar) werkdagen]]/Ruimtestaat[[#This Row],[Norm (m2/uur) werkdagen]],0)</f>
        <v>0</v>
      </c>
      <c r="W533" s="260">
        <f>Ruimtestaat[[#This Row],[uren / jaar werkdagen]]*Tariefsopbouw!$D$38</f>
        <v>0</v>
      </c>
      <c r="X533" s="33"/>
      <c r="Y533" s="33">
        <f>IF(Ruimtestaat[[#This Row],[Frequentie weekend]]&gt;0,VALUE(LEFT(X533,1))*Q533,0)</f>
        <v>0</v>
      </c>
      <c r="Z533" s="33">
        <f>IF($Y533&gt;0,VLOOKUP($J533,Ruimtegroepen[],3,FALSE)*VLOOKUP($K533,Vloersoorten[],3,FALSE)*VLOOKUP($X533,Frequenties[],3,FALSE)*VLOOKUP(#REF!,Locaties[],3,FALSE),0)</f>
        <v>0</v>
      </c>
      <c r="AA533" s="33"/>
      <c r="AB533" s="33"/>
      <c r="AC533" s="33">
        <f>Ruimtestaat[[#This Row],[uren / jaar weekend]]*Tariefsopbouw!$D$40</f>
        <v>0</v>
      </c>
      <c r="AD533" s="88">
        <f>Ruimtestaat[[#This Row],[Prest. (m2 /jaar) weekend]]+Ruimtestaat[[#This Row],[Prest. (m2 /jaar) werkdagen]]</f>
        <v>0</v>
      </c>
      <c r="AE533" s="88">
        <f>Ruimtestaat[[#This Row],[uren / jaar weekend]]+Ruimtestaat[[#This Row],[uren / jaar werkdagen]]</f>
        <v>0</v>
      </c>
      <c r="AF533" s="89">
        <f>Ruimtestaat[[#This Row],[kosten / jaar weekend]]+Ruimtestaat[[#This Row],[kosten / jaar werkdagen]]</f>
        <v>0</v>
      </c>
    </row>
    <row r="534" spans="1:32" ht="15" customHeight="1">
      <c r="A534" s="280">
        <v>5</v>
      </c>
      <c r="B534" s="21" t="str">
        <f>VLOOKUP(Ruimtestaat[[#This Row],[Code]],Locaties[#All],2,FALSE)</f>
        <v>SGC Almelo</v>
      </c>
      <c r="C534" s="281" t="str">
        <f>VLOOKUP(Ruimtestaat[[#This Row],[Code]],Locaties[#All],4,FALSE)</f>
        <v>Slot 31</v>
      </c>
      <c r="D534" s="281" t="str">
        <f>VLOOKUP(Ruimtestaat[[#This Row],[Code]],Locaties[#All],5,FALSE)</f>
        <v>7608 ND</v>
      </c>
      <c r="E534" s="281" t="str">
        <f>VLOOKUP(Ruimtestaat[[#This Row],[Code]],Locaties[#All],6,FALSE)</f>
        <v>Almelo</v>
      </c>
      <c r="F534" s="282"/>
      <c r="G534" s="283" t="s">
        <v>444</v>
      </c>
      <c r="H534" s="200" t="s">
        <v>904</v>
      </c>
      <c r="I534" s="282" t="s">
        <v>694</v>
      </c>
      <c r="J534" s="200">
        <v>21</v>
      </c>
      <c r="K534" s="281"/>
      <c r="L534" s="284"/>
      <c r="M534" s="213"/>
      <c r="N534" s="213">
        <v>1.61</v>
      </c>
      <c r="O534" s="243" t="str">
        <f>VLOOKUP(Ruimtestaat[[#This Row],[Ruimte code]],Ruimtegroepen[#All],4,FALSE)</f>
        <v>Niet in onderhoud</v>
      </c>
      <c r="P534" s="214"/>
      <c r="Q534" s="215"/>
      <c r="R534" s="215"/>
      <c r="S534" s="215">
        <f>IF(R534&gt;0,IF(RIGHT(Ruimtestaat[[#This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4" s="215">
        <f>IF(S534&gt;0,VLOOKUP($J534,Ruimtegroepen[],3,FALSE)*VLOOKUP($K534,Vloersoorten[],3,FALSE)*VLOOKUP($R534,Frequenties[],3,FALSE)*VLOOKUP($A534,Locaties[],3,FALSE),0)</f>
        <v>0</v>
      </c>
      <c r="U534" s="215">
        <f>Ruimtestaat[[#This Row],[Uitvoeringen werkdagen]]*Ruimtestaat[[#This Row],[Oppervlak (netto)]]</f>
        <v>0</v>
      </c>
      <c r="V534" s="259">
        <f>IF(T534&gt;0,Ruimtestaat[[#This Row],[Prest. (m2 /jaar) werkdagen]]/Ruimtestaat[[#This Row],[Norm (m2/uur) werkdagen]],0)</f>
        <v>0</v>
      </c>
      <c r="W534" s="260">
        <f>Ruimtestaat[[#This Row],[uren / jaar werkdagen]]*Tariefsopbouw!$D$38</f>
        <v>0</v>
      </c>
      <c r="X534" s="33"/>
      <c r="Y534" s="33">
        <f>IF(Ruimtestaat[[#This Row],[Frequentie weekend]]&gt;0,VALUE(LEFT(X534,1))*Q534,0)</f>
        <v>0</v>
      </c>
      <c r="Z534" s="33">
        <f>IF($Y534&gt;0,VLOOKUP($J534,Ruimtegroepen[],3,FALSE)*VLOOKUP($K534,Vloersoorten[],3,FALSE)*VLOOKUP($X534,Frequenties[],3,FALSE)*VLOOKUP(#REF!,Locaties[],3,FALSE),0)</f>
        <v>0</v>
      </c>
      <c r="AA534" s="33"/>
      <c r="AB534" s="33"/>
      <c r="AC534" s="33">
        <f>Ruimtestaat[[#This Row],[uren / jaar weekend]]*Tariefsopbouw!$D$40</f>
        <v>0</v>
      </c>
      <c r="AD534" s="88">
        <f>Ruimtestaat[[#This Row],[Prest. (m2 /jaar) weekend]]+Ruimtestaat[[#This Row],[Prest. (m2 /jaar) werkdagen]]</f>
        <v>0</v>
      </c>
      <c r="AE534" s="88">
        <f>Ruimtestaat[[#This Row],[uren / jaar weekend]]+Ruimtestaat[[#This Row],[uren / jaar werkdagen]]</f>
        <v>0</v>
      </c>
      <c r="AF534" s="89">
        <f>Ruimtestaat[[#This Row],[kosten / jaar weekend]]+Ruimtestaat[[#This Row],[kosten / jaar werkdagen]]</f>
        <v>0</v>
      </c>
    </row>
    <row r="535" spans="1:32" ht="15" customHeight="1">
      <c r="A535" s="280">
        <v>5</v>
      </c>
      <c r="B535" s="21" t="str">
        <f>VLOOKUP(Ruimtestaat[[#This Row],[Code]],Locaties[#All],2,FALSE)</f>
        <v>SGC Almelo</v>
      </c>
      <c r="C535" s="281" t="str">
        <f>VLOOKUP(Ruimtestaat[[#This Row],[Code]],Locaties[#All],4,FALSE)</f>
        <v>Slot 31</v>
      </c>
      <c r="D535" s="281" t="str">
        <f>VLOOKUP(Ruimtestaat[[#This Row],[Code]],Locaties[#All],5,FALSE)</f>
        <v>7608 ND</v>
      </c>
      <c r="E535" s="281" t="str">
        <f>VLOOKUP(Ruimtestaat[[#This Row],[Code]],Locaties[#All],6,FALSE)</f>
        <v>Almelo</v>
      </c>
      <c r="F535" s="282"/>
      <c r="G535" s="283" t="s">
        <v>444</v>
      </c>
      <c r="H535" s="200" t="s">
        <v>903</v>
      </c>
      <c r="I535" s="282" t="s">
        <v>694</v>
      </c>
      <c r="J535" s="200">
        <v>21</v>
      </c>
      <c r="K535" s="281"/>
      <c r="L535" s="284"/>
      <c r="M535" s="213"/>
      <c r="N535" s="213">
        <v>1.75</v>
      </c>
      <c r="O535" s="243" t="str">
        <f>VLOOKUP(Ruimtestaat[[#This Row],[Ruimte code]],Ruimtegroepen[#All],4,FALSE)</f>
        <v>Niet in onderhoud</v>
      </c>
      <c r="P535" s="214"/>
      <c r="Q535" s="215"/>
      <c r="R535" s="215"/>
      <c r="S535" s="215">
        <f>IF(R535&gt;0,IF(RIGHT(Ruimtestaat[[#This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5" s="215">
        <f>IF(S535&gt;0,VLOOKUP($J535,Ruimtegroepen[],3,FALSE)*VLOOKUP($K535,Vloersoorten[],3,FALSE)*VLOOKUP($R535,Frequenties[],3,FALSE)*VLOOKUP($A535,Locaties[],3,FALSE),0)</f>
        <v>0</v>
      </c>
      <c r="U535" s="215">
        <f>Ruimtestaat[[#This Row],[Uitvoeringen werkdagen]]*Ruimtestaat[[#This Row],[Oppervlak (netto)]]</f>
        <v>0</v>
      </c>
      <c r="V535" s="259">
        <f>IF(T535&gt;0,Ruimtestaat[[#This Row],[Prest. (m2 /jaar) werkdagen]]/Ruimtestaat[[#This Row],[Norm (m2/uur) werkdagen]],0)</f>
        <v>0</v>
      </c>
      <c r="W535" s="260">
        <f>Ruimtestaat[[#This Row],[uren / jaar werkdagen]]*Tariefsopbouw!$D$38</f>
        <v>0</v>
      </c>
      <c r="X535" s="33"/>
      <c r="Y535" s="33">
        <f>IF(Ruimtestaat[[#This Row],[Frequentie weekend]]&gt;0,VALUE(LEFT(X535,1))*Q535,0)</f>
        <v>0</v>
      </c>
      <c r="Z535" s="33">
        <f>IF($Y535&gt;0,VLOOKUP($J535,Ruimtegroepen[],3,FALSE)*VLOOKUP($K535,Vloersoorten[],3,FALSE)*VLOOKUP($X535,Frequenties[],3,FALSE)*VLOOKUP(#REF!,Locaties[],3,FALSE),0)</f>
        <v>0</v>
      </c>
      <c r="AA535" s="33"/>
      <c r="AB535" s="33"/>
      <c r="AC535" s="33">
        <f>Ruimtestaat[[#This Row],[uren / jaar weekend]]*Tariefsopbouw!$D$40</f>
        <v>0</v>
      </c>
      <c r="AD535" s="88">
        <f>Ruimtestaat[[#This Row],[Prest. (m2 /jaar) weekend]]+Ruimtestaat[[#This Row],[Prest. (m2 /jaar) werkdagen]]</f>
        <v>0</v>
      </c>
      <c r="AE535" s="88">
        <f>Ruimtestaat[[#This Row],[uren / jaar weekend]]+Ruimtestaat[[#This Row],[uren / jaar werkdagen]]</f>
        <v>0</v>
      </c>
      <c r="AF535" s="89">
        <f>Ruimtestaat[[#This Row],[kosten / jaar weekend]]+Ruimtestaat[[#This Row],[kosten / jaar werkdagen]]</f>
        <v>0</v>
      </c>
    </row>
    <row r="536" spans="1:32" ht="15" customHeight="1">
      <c r="A536" s="280">
        <v>5</v>
      </c>
      <c r="B536" s="21" t="str">
        <f>VLOOKUP(Ruimtestaat[[#This Row],[Code]],Locaties[#All],2,FALSE)</f>
        <v>SGC Almelo</v>
      </c>
      <c r="C536" s="281" t="str">
        <f>VLOOKUP(Ruimtestaat[[#This Row],[Code]],Locaties[#All],4,FALSE)</f>
        <v>Slot 31</v>
      </c>
      <c r="D536" s="281" t="str">
        <f>VLOOKUP(Ruimtestaat[[#This Row],[Code]],Locaties[#All],5,FALSE)</f>
        <v>7608 ND</v>
      </c>
      <c r="E536" s="281" t="str">
        <f>VLOOKUP(Ruimtestaat[[#This Row],[Code]],Locaties[#All],6,FALSE)</f>
        <v>Almelo</v>
      </c>
      <c r="F536" s="282"/>
      <c r="G536" s="283" t="s">
        <v>444</v>
      </c>
      <c r="H536" s="200" t="s">
        <v>902</v>
      </c>
      <c r="I536" s="282" t="s">
        <v>447</v>
      </c>
      <c r="J536" s="200">
        <v>21</v>
      </c>
      <c r="K536" s="281"/>
      <c r="L536" s="284"/>
      <c r="M536" s="213"/>
      <c r="N536" s="213">
        <v>1.1399999999999999</v>
      </c>
      <c r="O536" s="243" t="str">
        <f>VLOOKUP(Ruimtestaat[[#This Row],[Ruimte code]],Ruimtegroepen[#All],4,FALSE)</f>
        <v>Niet in onderhoud</v>
      </c>
      <c r="P536" s="214"/>
      <c r="Q536" s="215"/>
      <c r="R536" s="215"/>
      <c r="S536" s="215">
        <f>IF(R536&gt;0,IF(RIGHT(Ruimtestaat[[#This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6" s="215">
        <f>IF(S536&gt;0,VLOOKUP($J536,Ruimtegroepen[],3,FALSE)*VLOOKUP($K536,Vloersoorten[],3,FALSE)*VLOOKUP($R536,Frequenties[],3,FALSE)*VLOOKUP($A536,Locaties[],3,FALSE),0)</f>
        <v>0</v>
      </c>
      <c r="U536" s="215">
        <f>Ruimtestaat[[#This Row],[Uitvoeringen werkdagen]]*Ruimtestaat[[#This Row],[Oppervlak (netto)]]</f>
        <v>0</v>
      </c>
      <c r="V536" s="259">
        <f>IF(T536&gt;0,Ruimtestaat[[#This Row],[Prest. (m2 /jaar) werkdagen]]/Ruimtestaat[[#This Row],[Norm (m2/uur) werkdagen]],0)</f>
        <v>0</v>
      </c>
      <c r="W536" s="260">
        <f>Ruimtestaat[[#This Row],[uren / jaar werkdagen]]*Tariefsopbouw!$D$38</f>
        <v>0</v>
      </c>
      <c r="X536" s="33"/>
      <c r="Y536" s="33">
        <f>IF(Ruimtestaat[[#This Row],[Frequentie weekend]]&gt;0,VALUE(LEFT(X536,1))*Q536,0)</f>
        <v>0</v>
      </c>
      <c r="Z536" s="33">
        <f>IF($Y536&gt;0,VLOOKUP($J536,Ruimtegroepen[],3,FALSE)*VLOOKUP($K536,Vloersoorten[],3,FALSE)*VLOOKUP($X536,Frequenties[],3,FALSE)*VLOOKUP(#REF!,Locaties[],3,FALSE),0)</f>
        <v>0</v>
      </c>
      <c r="AA536" s="33"/>
      <c r="AB536" s="33"/>
      <c r="AC536" s="33">
        <f>Ruimtestaat[[#This Row],[uren / jaar weekend]]*Tariefsopbouw!$D$40</f>
        <v>0</v>
      </c>
      <c r="AD536" s="88">
        <f>Ruimtestaat[[#This Row],[Prest. (m2 /jaar) weekend]]+Ruimtestaat[[#This Row],[Prest. (m2 /jaar) werkdagen]]</f>
        <v>0</v>
      </c>
      <c r="AE536" s="88">
        <f>Ruimtestaat[[#This Row],[uren / jaar weekend]]+Ruimtestaat[[#This Row],[uren / jaar werkdagen]]</f>
        <v>0</v>
      </c>
      <c r="AF536" s="89">
        <f>Ruimtestaat[[#This Row],[kosten / jaar weekend]]+Ruimtestaat[[#This Row],[kosten / jaar werkdagen]]</f>
        <v>0</v>
      </c>
    </row>
    <row r="537" spans="1:32" ht="15" customHeight="1">
      <c r="A537" s="280">
        <v>5</v>
      </c>
      <c r="B537" s="21" t="str">
        <f>VLOOKUP(Ruimtestaat[[#This Row],[Code]],Locaties[#All],2,FALSE)</f>
        <v>SGC Almelo</v>
      </c>
      <c r="C537" s="281" t="str">
        <f>VLOOKUP(Ruimtestaat[[#This Row],[Code]],Locaties[#All],4,FALSE)</f>
        <v>Slot 31</v>
      </c>
      <c r="D537" s="281" t="str">
        <f>VLOOKUP(Ruimtestaat[[#This Row],[Code]],Locaties[#All],5,FALSE)</f>
        <v>7608 ND</v>
      </c>
      <c r="E537" s="281" t="str">
        <f>VLOOKUP(Ruimtestaat[[#This Row],[Code]],Locaties[#All],6,FALSE)</f>
        <v>Almelo</v>
      </c>
      <c r="F537" s="282"/>
      <c r="G537" s="283" t="s">
        <v>444</v>
      </c>
      <c r="H537" s="280">
        <v>2</v>
      </c>
      <c r="I537" s="282" t="s">
        <v>479</v>
      </c>
      <c r="J537" s="200">
        <v>3</v>
      </c>
      <c r="K537" s="243" t="s">
        <v>110</v>
      </c>
      <c r="L537" s="291" t="s">
        <v>132</v>
      </c>
      <c r="M537" s="213">
        <v>22.54</v>
      </c>
      <c r="N537" s="202"/>
      <c r="O537" s="243" t="str">
        <f>VLOOKUP(Ruimtestaat[[#This Row],[Ruimte code]],Ruimtegroepen[#All],4,FALSE)</f>
        <v>V  (Verkeersruimte)</v>
      </c>
      <c r="P537" s="214"/>
      <c r="Q537" s="215">
        <v>40</v>
      </c>
      <c r="R537" s="215" t="s">
        <v>17</v>
      </c>
      <c r="S537" s="215">
        <f>IF(R537&gt;0,IF(RIGHT(Ruimtestaat[[#This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37" s="215">
        <f>IF(S537&gt;0,VLOOKUP($J537,Ruimtegroepen[],3,FALSE)*VLOOKUP($K537,Vloersoorten[],3,FALSE)*VLOOKUP($R537,Frequenties[],3,FALSE)*VLOOKUP($A537,Locaties[],3,FALSE),0)</f>
        <v>0</v>
      </c>
      <c r="U537" s="215">
        <f>Ruimtestaat[[#This Row],[Uitvoeringen werkdagen]]*Ruimtestaat[[#This Row],[Oppervlak (netto)]]</f>
        <v>1803.1999999999998</v>
      </c>
      <c r="V537" s="259">
        <f>IF(T537&gt;0,Ruimtestaat[[#This Row],[Prest. (m2 /jaar) werkdagen]]/Ruimtestaat[[#This Row],[Norm (m2/uur) werkdagen]],0)</f>
        <v>0</v>
      </c>
      <c r="W537" s="260">
        <f>Ruimtestaat[[#This Row],[uren / jaar werkdagen]]*Tariefsopbouw!$D$38</f>
        <v>0</v>
      </c>
      <c r="X537" s="33"/>
      <c r="Y537" s="33">
        <f>IF(Ruimtestaat[[#This Row],[Frequentie weekend]]&gt;0,VALUE(LEFT(X537,1))*Q537,0)</f>
        <v>0</v>
      </c>
      <c r="Z537" s="33">
        <f>IF($Y537&gt;0,VLOOKUP($J537,Ruimtegroepen[],3,FALSE)*VLOOKUP($K537,Vloersoorten[],3,FALSE)*VLOOKUP($X537,Frequenties[],3,FALSE)*VLOOKUP(#REF!,Locaties[],3,FALSE),0)</f>
        <v>0</v>
      </c>
      <c r="AA537" s="33"/>
      <c r="AB537" s="33"/>
      <c r="AC537" s="33">
        <f>Ruimtestaat[[#This Row],[uren / jaar weekend]]*Tariefsopbouw!$D$40</f>
        <v>0</v>
      </c>
      <c r="AD537" s="88">
        <f>Ruimtestaat[[#This Row],[Prest. (m2 /jaar) weekend]]+Ruimtestaat[[#This Row],[Prest. (m2 /jaar) werkdagen]]</f>
        <v>1803.1999999999998</v>
      </c>
      <c r="AE537" s="88">
        <f>Ruimtestaat[[#This Row],[uren / jaar weekend]]+Ruimtestaat[[#This Row],[uren / jaar werkdagen]]</f>
        <v>0</v>
      </c>
      <c r="AF537" s="89">
        <f>Ruimtestaat[[#This Row],[kosten / jaar weekend]]+Ruimtestaat[[#This Row],[kosten / jaar werkdagen]]</f>
        <v>0</v>
      </c>
    </row>
    <row r="538" spans="1:32" ht="15" customHeight="1">
      <c r="A538" s="280">
        <v>5</v>
      </c>
      <c r="B538" s="21" t="str">
        <f>VLOOKUP(Ruimtestaat[[#This Row],[Code]],Locaties[#All],2,FALSE)</f>
        <v>SGC Almelo</v>
      </c>
      <c r="C538" s="281" t="str">
        <f>VLOOKUP(Ruimtestaat[[#This Row],[Code]],Locaties[#All],4,FALSE)</f>
        <v>Slot 31</v>
      </c>
      <c r="D538" s="281" t="str">
        <f>VLOOKUP(Ruimtestaat[[#This Row],[Code]],Locaties[#All],5,FALSE)</f>
        <v>7608 ND</v>
      </c>
      <c r="E538" s="281" t="str">
        <f>VLOOKUP(Ruimtestaat[[#This Row],[Code]],Locaties[#All],6,FALSE)</f>
        <v>Almelo</v>
      </c>
      <c r="F538" s="282"/>
      <c r="G538" s="283" t="s">
        <v>444</v>
      </c>
      <c r="H538" s="280" t="s">
        <v>1045</v>
      </c>
      <c r="I538" s="282" t="s">
        <v>297</v>
      </c>
      <c r="J538" s="200">
        <v>2</v>
      </c>
      <c r="K538" s="243" t="s">
        <v>109</v>
      </c>
      <c r="L538" s="291" t="s">
        <v>1046</v>
      </c>
      <c r="M538" s="213">
        <v>29.65</v>
      </c>
      <c r="N538" s="202"/>
      <c r="O538" s="243" t="str">
        <f>VLOOKUP(Ruimtestaat[[#This Row],[Ruimte code]],Ruimtegroepen[#All],4,FALSE)</f>
        <v>B  (Bureauruimte)</v>
      </c>
      <c r="P538" s="214"/>
      <c r="Q538" s="215">
        <v>40</v>
      </c>
      <c r="R538" s="215" t="s">
        <v>17</v>
      </c>
      <c r="S538" s="215">
        <f>IF(R538&gt;0,IF(RIGHT(Ruimtestaat[[#This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38" s="215">
        <f>IF(S538&gt;0,VLOOKUP($J538,Ruimtegroepen[],3,FALSE)*VLOOKUP($K538,Vloersoorten[],3,FALSE)*VLOOKUP($R538,Frequenties[],3,FALSE)*VLOOKUP($A538,Locaties[],3,FALSE),0)</f>
        <v>0</v>
      </c>
      <c r="U538" s="215">
        <f>Ruimtestaat[[#This Row],[Uitvoeringen werkdagen]]*Ruimtestaat[[#This Row],[Oppervlak (netto)]]</f>
        <v>2372</v>
      </c>
      <c r="V538" s="259">
        <f>IF(T538&gt;0,Ruimtestaat[[#This Row],[Prest. (m2 /jaar) werkdagen]]/Ruimtestaat[[#This Row],[Norm (m2/uur) werkdagen]],0)</f>
        <v>0</v>
      </c>
      <c r="W538" s="260">
        <f>Ruimtestaat[[#This Row],[uren / jaar werkdagen]]*Tariefsopbouw!$D$38</f>
        <v>0</v>
      </c>
      <c r="X538" s="33"/>
      <c r="Y538" s="33">
        <f>IF(Ruimtestaat[[#This Row],[Frequentie weekend]]&gt;0,VALUE(LEFT(X538,1))*Q538,0)</f>
        <v>0</v>
      </c>
      <c r="Z538" s="33">
        <f>IF($Y538&gt;0,VLOOKUP($J538,Ruimtegroepen[],3,FALSE)*VLOOKUP($K538,Vloersoorten[],3,FALSE)*VLOOKUP($X538,Frequenties[],3,FALSE)*VLOOKUP(#REF!,Locaties[],3,FALSE),0)</f>
        <v>0</v>
      </c>
      <c r="AA538" s="33"/>
      <c r="AB538" s="33"/>
      <c r="AC538" s="33">
        <f>Ruimtestaat[[#This Row],[uren / jaar weekend]]*Tariefsopbouw!$D$40</f>
        <v>0</v>
      </c>
      <c r="AD538" s="88">
        <f>Ruimtestaat[[#This Row],[Prest. (m2 /jaar) weekend]]+Ruimtestaat[[#This Row],[Prest. (m2 /jaar) werkdagen]]</f>
        <v>2372</v>
      </c>
      <c r="AE538" s="88">
        <f>Ruimtestaat[[#This Row],[uren / jaar weekend]]+Ruimtestaat[[#This Row],[uren / jaar werkdagen]]</f>
        <v>0</v>
      </c>
      <c r="AF538" s="89">
        <f>Ruimtestaat[[#This Row],[kosten / jaar weekend]]+Ruimtestaat[[#This Row],[kosten / jaar werkdagen]]</f>
        <v>0</v>
      </c>
    </row>
    <row r="539" spans="1:32" ht="15" customHeight="1">
      <c r="A539" s="280">
        <v>5</v>
      </c>
      <c r="B539" s="21" t="str">
        <f>VLOOKUP(Ruimtestaat[[#This Row],[Code]],Locaties[#All],2,FALSE)</f>
        <v>SGC Almelo</v>
      </c>
      <c r="C539" s="281" t="str">
        <f>VLOOKUP(Ruimtestaat[[#This Row],[Code]],Locaties[#All],4,FALSE)</f>
        <v>Slot 31</v>
      </c>
      <c r="D539" s="281" t="str">
        <f>VLOOKUP(Ruimtestaat[[#This Row],[Code]],Locaties[#All],5,FALSE)</f>
        <v>7608 ND</v>
      </c>
      <c r="E539" s="281" t="str">
        <f>VLOOKUP(Ruimtestaat[[#This Row],[Code]],Locaties[#All],6,FALSE)</f>
        <v>Almelo</v>
      </c>
      <c r="F539" s="282"/>
      <c r="G539" s="283" t="s">
        <v>444</v>
      </c>
      <c r="H539" s="200" t="s">
        <v>901</v>
      </c>
      <c r="I539" s="282" t="s">
        <v>694</v>
      </c>
      <c r="J539" s="200">
        <v>21</v>
      </c>
      <c r="K539" s="281"/>
      <c r="L539" s="284"/>
      <c r="M539" s="213"/>
      <c r="N539" s="213">
        <v>1.1100000000000001</v>
      </c>
      <c r="O539" s="243" t="str">
        <f>VLOOKUP(Ruimtestaat[[#This Row],[Ruimte code]],Ruimtegroepen[#All],4,FALSE)</f>
        <v>Niet in onderhoud</v>
      </c>
      <c r="P539" s="214"/>
      <c r="Q539" s="215"/>
      <c r="R539" s="215"/>
      <c r="S539" s="215">
        <f>IF(R539&gt;0,IF(RIGHT(Ruimtestaat[[#This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39" s="215">
        <f>IF(S539&gt;0,VLOOKUP($J539,Ruimtegroepen[],3,FALSE)*VLOOKUP($K539,Vloersoorten[],3,FALSE)*VLOOKUP($R539,Frequenties[],3,FALSE)*VLOOKUP($A539,Locaties[],3,FALSE),0)</f>
        <v>0</v>
      </c>
      <c r="U539" s="215">
        <f>Ruimtestaat[[#This Row],[Uitvoeringen werkdagen]]*Ruimtestaat[[#This Row],[Oppervlak (netto)]]</f>
        <v>0</v>
      </c>
      <c r="V539" s="259">
        <f>IF(T539&gt;0,Ruimtestaat[[#This Row],[Prest. (m2 /jaar) werkdagen]]/Ruimtestaat[[#This Row],[Norm (m2/uur) werkdagen]],0)</f>
        <v>0</v>
      </c>
      <c r="W539" s="260">
        <f>Ruimtestaat[[#This Row],[uren / jaar werkdagen]]*Tariefsopbouw!$D$38</f>
        <v>0</v>
      </c>
      <c r="X539" s="33"/>
      <c r="Y539" s="33">
        <f>IF(Ruimtestaat[[#This Row],[Frequentie weekend]]&gt;0,VALUE(LEFT(X539,1))*Q539,0)</f>
        <v>0</v>
      </c>
      <c r="Z539" s="33">
        <f>IF($Y539&gt;0,VLOOKUP($J539,Ruimtegroepen[],3,FALSE)*VLOOKUP($K539,Vloersoorten[],3,FALSE)*VLOOKUP($X539,Frequenties[],3,FALSE)*VLOOKUP(#REF!,Locaties[],3,FALSE),0)</f>
        <v>0</v>
      </c>
      <c r="AA539" s="33"/>
      <c r="AB539" s="33"/>
      <c r="AC539" s="33">
        <f>Ruimtestaat[[#This Row],[uren / jaar weekend]]*Tariefsopbouw!$D$40</f>
        <v>0</v>
      </c>
      <c r="AD539" s="88">
        <f>Ruimtestaat[[#This Row],[Prest. (m2 /jaar) weekend]]+Ruimtestaat[[#This Row],[Prest. (m2 /jaar) werkdagen]]</f>
        <v>0</v>
      </c>
      <c r="AE539" s="88">
        <f>Ruimtestaat[[#This Row],[uren / jaar weekend]]+Ruimtestaat[[#This Row],[uren / jaar werkdagen]]</f>
        <v>0</v>
      </c>
      <c r="AF539" s="89">
        <f>Ruimtestaat[[#This Row],[kosten / jaar weekend]]+Ruimtestaat[[#This Row],[kosten / jaar werkdagen]]</f>
        <v>0</v>
      </c>
    </row>
    <row r="540" spans="1:32" ht="15" customHeight="1">
      <c r="A540" s="280">
        <v>5</v>
      </c>
      <c r="B540" s="21" t="str">
        <f>VLOOKUP(Ruimtestaat[[#This Row],[Code]],Locaties[#All],2,FALSE)</f>
        <v>SGC Almelo</v>
      </c>
      <c r="C540" s="281" t="str">
        <f>VLOOKUP(Ruimtestaat[[#This Row],[Code]],Locaties[#All],4,FALSE)</f>
        <v>Slot 31</v>
      </c>
      <c r="D540" s="281" t="str">
        <f>VLOOKUP(Ruimtestaat[[#This Row],[Code]],Locaties[#All],5,FALSE)</f>
        <v>7608 ND</v>
      </c>
      <c r="E540" s="281" t="str">
        <f>VLOOKUP(Ruimtestaat[[#This Row],[Code]],Locaties[#All],6,FALSE)</f>
        <v>Almelo</v>
      </c>
      <c r="F540" s="282"/>
      <c r="G540" s="283" t="s">
        <v>444</v>
      </c>
      <c r="H540" s="200" t="s">
        <v>900</v>
      </c>
      <c r="I540" s="282" t="s">
        <v>694</v>
      </c>
      <c r="J540" s="200">
        <v>21</v>
      </c>
      <c r="K540" s="281"/>
      <c r="L540" s="284"/>
      <c r="M540" s="213"/>
      <c r="N540" s="213">
        <v>1.78</v>
      </c>
      <c r="O540" s="243" t="str">
        <f>VLOOKUP(Ruimtestaat[[#This Row],[Ruimte code]],Ruimtegroepen[#All],4,FALSE)</f>
        <v>Niet in onderhoud</v>
      </c>
      <c r="P540" s="214"/>
      <c r="Q540" s="215"/>
      <c r="R540" s="215"/>
      <c r="S540" s="215">
        <f>IF(R540&gt;0,IF(RIGHT(Ruimtestaat[[#This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40" s="215">
        <f>IF(S540&gt;0,VLOOKUP($J540,Ruimtegroepen[],3,FALSE)*VLOOKUP($K540,Vloersoorten[],3,FALSE)*VLOOKUP($R540,Frequenties[],3,FALSE)*VLOOKUP($A540,Locaties[],3,FALSE),0)</f>
        <v>0</v>
      </c>
      <c r="U540" s="215">
        <f>Ruimtestaat[[#This Row],[Uitvoeringen werkdagen]]*Ruimtestaat[[#This Row],[Oppervlak (netto)]]</f>
        <v>0</v>
      </c>
      <c r="V540" s="259">
        <f>IF(T540&gt;0,Ruimtestaat[[#This Row],[Prest. (m2 /jaar) werkdagen]]/Ruimtestaat[[#This Row],[Norm (m2/uur) werkdagen]],0)</f>
        <v>0</v>
      </c>
      <c r="W540" s="260">
        <f>Ruimtestaat[[#This Row],[uren / jaar werkdagen]]*Tariefsopbouw!$D$38</f>
        <v>0</v>
      </c>
      <c r="X540" s="33"/>
      <c r="Y540" s="33">
        <f>IF(Ruimtestaat[[#This Row],[Frequentie weekend]]&gt;0,VALUE(LEFT(X540,1))*Q540,0)</f>
        <v>0</v>
      </c>
      <c r="Z540" s="33">
        <f>IF($Y540&gt;0,VLOOKUP($J540,Ruimtegroepen[],3,FALSE)*VLOOKUP($K540,Vloersoorten[],3,FALSE)*VLOOKUP($X540,Frequenties[],3,FALSE)*VLOOKUP(#REF!,Locaties[],3,FALSE),0)</f>
        <v>0</v>
      </c>
      <c r="AA540" s="33"/>
      <c r="AB540" s="33"/>
      <c r="AC540" s="33">
        <f>Ruimtestaat[[#This Row],[uren / jaar weekend]]*Tariefsopbouw!$D$40</f>
        <v>0</v>
      </c>
      <c r="AD540" s="88">
        <f>Ruimtestaat[[#This Row],[Prest. (m2 /jaar) weekend]]+Ruimtestaat[[#This Row],[Prest. (m2 /jaar) werkdagen]]</f>
        <v>0</v>
      </c>
      <c r="AE540" s="88">
        <f>Ruimtestaat[[#This Row],[uren / jaar weekend]]+Ruimtestaat[[#This Row],[uren / jaar werkdagen]]</f>
        <v>0</v>
      </c>
      <c r="AF540" s="89">
        <f>Ruimtestaat[[#This Row],[kosten / jaar weekend]]+Ruimtestaat[[#This Row],[kosten / jaar werkdagen]]</f>
        <v>0</v>
      </c>
    </row>
    <row r="541" spans="1:32" ht="15" customHeight="1">
      <c r="A541" s="280">
        <v>5</v>
      </c>
      <c r="B541" s="21" t="str">
        <f>VLOOKUP(Ruimtestaat[[#This Row],[Code]],Locaties[#All],2,FALSE)</f>
        <v>SGC Almelo</v>
      </c>
      <c r="C541" s="281" t="str">
        <f>VLOOKUP(Ruimtestaat[[#This Row],[Code]],Locaties[#All],4,FALSE)</f>
        <v>Slot 31</v>
      </c>
      <c r="D541" s="281" t="str">
        <f>VLOOKUP(Ruimtestaat[[#This Row],[Code]],Locaties[#All],5,FALSE)</f>
        <v>7608 ND</v>
      </c>
      <c r="E541" s="281" t="str">
        <f>VLOOKUP(Ruimtestaat[[#This Row],[Code]],Locaties[#All],6,FALSE)</f>
        <v>Almelo</v>
      </c>
      <c r="F541" s="282"/>
      <c r="G541" s="283" t="s">
        <v>444</v>
      </c>
      <c r="H541" s="200" t="s">
        <v>899</v>
      </c>
      <c r="I541" s="282" t="s">
        <v>694</v>
      </c>
      <c r="J541" s="200">
        <v>21</v>
      </c>
      <c r="K541" s="281"/>
      <c r="L541" s="284"/>
      <c r="M541" s="213"/>
      <c r="N541" s="213">
        <v>2.13</v>
      </c>
      <c r="O541" s="243" t="str">
        <f>VLOOKUP(Ruimtestaat[[#This Row],[Ruimte code]],Ruimtegroepen[#All],4,FALSE)</f>
        <v>Niet in onderhoud</v>
      </c>
      <c r="P541" s="214"/>
      <c r="Q541" s="215"/>
      <c r="R541" s="215"/>
      <c r="S541" s="215">
        <f>IF(R541&gt;0,IF(RIGHT(Ruimtestaat[[#This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41" s="215">
        <f>IF(S541&gt;0,VLOOKUP($J541,Ruimtegroepen[],3,FALSE)*VLOOKUP($K541,Vloersoorten[],3,FALSE)*VLOOKUP($R541,Frequenties[],3,FALSE)*VLOOKUP($A541,Locaties[],3,FALSE),0)</f>
        <v>0</v>
      </c>
      <c r="U541" s="215">
        <f>Ruimtestaat[[#This Row],[Uitvoeringen werkdagen]]*Ruimtestaat[[#This Row],[Oppervlak (netto)]]</f>
        <v>0</v>
      </c>
      <c r="V541" s="259">
        <f>IF(T541&gt;0,Ruimtestaat[[#This Row],[Prest. (m2 /jaar) werkdagen]]/Ruimtestaat[[#This Row],[Norm (m2/uur) werkdagen]],0)</f>
        <v>0</v>
      </c>
      <c r="W541" s="260">
        <f>Ruimtestaat[[#This Row],[uren / jaar werkdagen]]*Tariefsopbouw!$D$38</f>
        <v>0</v>
      </c>
      <c r="X541" s="33"/>
      <c r="Y541" s="33">
        <f>IF(Ruimtestaat[[#This Row],[Frequentie weekend]]&gt;0,VALUE(LEFT(X541,1))*Q541,0)</f>
        <v>0</v>
      </c>
      <c r="Z541" s="33">
        <f>IF($Y541&gt;0,VLOOKUP($J541,Ruimtegroepen[],3,FALSE)*VLOOKUP($K541,Vloersoorten[],3,FALSE)*VLOOKUP($X541,Frequenties[],3,FALSE)*VLOOKUP(#REF!,Locaties[],3,FALSE),0)</f>
        <v>0</v>
      </c>
      <c r="AA541" s="33"/>
      <c r="AB541" s="33"/>
      <c r="AC541" s="33">
        <f>Ruimtestaat[[#This Row],[uren / jaar weekend]]*Tariefsopbouw!$D$40</f>
        <v>0</v>
      </c>
      <c r="AD541" s="88">
        <f>Ruimtestaat[[#This Row],[Prest. (m2 /jaar) weekend]]+Ruimtestaat[[#This Row],[Prest. (m2 /jaar) werkdagen]]</f>
        <v>0</v>
      </c>
      <c r="AE541" s="88">
        <f>Ruimtestaat[[#This Row],[uren / jaar weekend]]+Ruimtestaat[[#This Row],[uren / jaar werkdagen]]</f>
        <v>0</v>
      </c>
      <c r="AF541" s="89">
        <f>Ruimtestaat[[#This Row],[kosten / jaar weekend]]+Ruimtestaat[[#This Row],[kosten / jaar werkdagen]]</f>
        <v>0</v>
      </c>
    </row>
    <row r="542" spans="1:32" ht="15" customHeight="1">
      <c r="A542" s="280">
        <v>5</v>
      </c>
      <c r="B542" s="21" t="str">
        <f>VLOOKUP(Ruimtestaat[[#This Row],[Code]],Locaties[#All],2,FALSE)</f>
        <v>SGC Almelo</v>
      </c>
      <c r="C542" s="281" t="str">
        <f>VLOOKUP(Ruimtestaat[[#This Row],[Code]],Locaties[#All],4,FALSE)</f>
        <v>Slot 31</v>
      </c>
      <c r="D542" s="281" t="str">
        <f>VLOOKUP(Ruimtestaat[[#This Row],[Code]],Locaties[#All],5,FALSE)</f>
        <v>7608 ND</v>
      </c>
      <c r="E542" s="281" t="str">
        <f>VLOOKUP(Ruimtestaat[[#This Row],[Code]],Locaties[#All],6,FALSE)</f>
        <v>Almelo</v>
      </c>
      <c r="F542" s="282"/>
      <c r="G542" s="283" t="s">
        <v>444</v>
      </c>
      <c r="H542" s="280">
        <v>3</v>
      </c>
      <c r="I542" s="282" t="s">
        <v>447</v>
      </c>
      <c r="J542" s="200">
        <v>21</v>
      </c>
      <c r="K542" s="243" t="s">
        <v>110</v>
      </c>
      <c r="L542" s="291" t="s">
        <v>132</v>
      </c>
      <c r="M542" s="213"/>
      <c r="N542" s="297">
        <v>11.1</v>
      </c>
      <c r="O542" s="243" t="str">
        <f>VLOOKUP(Ruimtestaat[[#This Row],[Ruimte code]],Ruimtegroepen[#All],4,FALSE)</f>
        <v>Niet in onderhoud</v>
      </c>
      <c r="P542" s="214"/>
      <c r="Q542" s="215"/>
      <c r="R542" s="215"/>
      <c r="S542" s="215">
        <f>IF(R542&gt;0,IF(RIGHT(Ruimtestaat[[#This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42" s="215">
        <f>IF(S542&gt;0,VLOOKUP($J542,Ruimtegroepen[],3,FALSE)*VLOOKUP($K542,Vloersoorten[],3,FALSE)*VLOOKUP($R542,Frequenties[],3,FALSE)*VLOOKUP($A542,Locaties[],3,FALSE),0)</f>
        <v>0</v>
      </c>
      <c r="U542" s="215">
        <f>Ruimtestaat[[#This Row],[Uitvoeringen werkdagen]]*Ruimtestaat[[#This Row],[Oppervlak (netto)]]</f>
        <v>0</v>
      </c>
      <c r="V542" s="259">
        <f>IF(T542&gt;0,Ruimtestaat[[#This Row],[Prest. (m2 /jaar) werkdagen]]/Ruimtestaat[[#This Row],[Norm (m2/uur) werkdagen]],0)</f>
        <v>0</v>
      </c>
      <c r="W542" s="260">
        <f>Ruimtestaat[[#This Row],[uren / jaar werkdagen]]*Tariefsopbouw!$D$38</f>
        <v>0</v>
      </c>
      <c r="X542" s="33"/>
      <c r="Y542" s="33">
        <f>IF(Ruimtestaat[[#This Row],[Frequentie weekend]]&gt;0,VALUE(LEFT(X542,1))*Q542,0)</f>
        <v>0</v>
      </c>
      <c r="Z542" s="33">
        <f>IF($Y542&gt;0,VLOOKUP($J542,Ruimtegroepen[],3,FALSE)*VLOOKUP($K542,Vloersoorten[],3,FALSE)*VLOOKUP($X542,Frequenties[],3,FALSE)*VLOOKUP(#REF!,Locaties[],3,FALSE),0)</f>
        <v>0</v>
      </c>
      <c r="AA542" s="33"/>
      <c r="AB542" s="33"/>
      <c r="AC542" s="33">
        <f>Ruimtestaat[[#This Row],[uren / jaar weekend]]*Tariefsopbouw!$D$40</f>
        <v>0</v>
      </c>
      <c r="AD542" s="88">
        <f>Ruimtestaat[[#This Row],[Prest. (m2 /jaar) weekend]]+Ruimtestaat[[#This Row],[Prest. (m2 /jaar) werkdagen]]</f>
        <v>0</v>
      </c>
      <c r="AE542" s="88">
        <f>Ruimtestaat[[#This Row],[uren / jaar weekend]]+Ruimtestaat[[#This Row],[uren / jaar werkdagen]]</f>
        <v>0</v>
      </c>
      <c r="AF542" s="89">
        <f>Ruimtestaat[[#This Row],[kosten / jaar weekend]]+Ruimtestaat[[#This Row],[kosten / jaar werkdagen]]</f>
        <v>0</v>
      </c>
    </row>
    <row r="543" spans="1:32" ht="15" customHeight="1">
      <c r="A543" s="280">
        <v>5</v>
      </c>
      <c r="B543" s="21" t="str">
        <f>VLOOKUP(Ruimtestaat[[#This Row],[Code]],Locaties[#All],2,FALSE)</f>
        <v>SGC Almelo</v>
      </c>
      <c r="C543" s="281" t="str">
        <f>VLOOKUP(Ruimtestaat[[#This Row],[Code]],Locaties[#All],4,FALSE)</f>
        <v>Slot 31</v>
      </c>
      <c r="D543" s="281" t="str">
        <f>VLOOKUP(Ruimtestaat[[#This Row],[Code]],Locaties[#All],5,FALSE)</f>
        <v>7608 ND</v>
      </c>
      <c r="E543" s="281" t="str">
        <f>VLOOKUP(Ruimtestaat[[#This Row],[Code]],Locaties[#All],6,FALSE)</f>
        <v>Almelo</v>
      </c>
      <c r="F543" s="282"/>
      <c r="G543" s="283" t="s">
        <v>444</v>
      </c>
      <c r="H543" s="200" t="s">
        <v>898</v>
      </c>
      <c r="I543" s="282" t="s">
        <v>469</v>
      </c>
      <c r="J543" s="200">
        <v>6</v>
      </c>
      <c r="K543" s="281" t="s">
        <v>109</v>
      </c>
      <c r="L543" s="284" t="s">
        <v>919</v>
      </c>
      <c r="M543" s="213">
        <v>4.45</v>
      </c>
      <c r="N543" s="202"/>
      <c r="O543" s="243" t="str">
        <f>VLOOKUP(Ruimtestaat[[#This Row],[Ruimte code]],Ruimtegroepen[#All],4,FALSE)</f>
        <v>V  (Verkeersruimte)</v>
      </c>
      <c r="P543" s="214"/>
      <c r="Q543" s="215">
        <v>40</v>
      </c>
      <c r="R543" s="215" t="s">
        <v>2</v>
      </c>
      <c r="S543" s="215">
        <f>IF(R543&gt;0,IF(RIGHT(Ruimtestaat[[#This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3" s="215">
        <f>IF(S543&gt;0,VLOOKUP($J543,Ruimtegroepen[],3,FALSE)*VLOOKUP($K543,Vloersoorten[],3,FALSE)*VLOOKUP($R543,Frequenties[],3,FALSE)*VLOOKUP($A543,Locaties[],3,FALSE),0)</f>
        <v>0</v>
      </c>
      <c r="U543" s="215">
        <f>Ruimtestaat[[#This Row],[Uitvoeringen werkdagen]]*Ruimtestaat[[#This Row],[Oppervlak (netto)]]</f>
        <v>890</v>
      </c>
      <c r="V543" s="259">
        <f>IF(T543&gt;0,Ruimtestaat[[#This Row],[Prest. (m2 /jaar) werkdagen]]/Ruimtestaat[[#This Row],[Norm (m2/uur) werkdagen]],0)</f>
        <v>0</v>
      </c>
      <c r="W543" s="260">
        <f>Ruimtestaat[[#This Row],[uren / jaar werkdagen]]*Tariefsopbouw!$D$38</f>
        <v>0</v>
      </c>
      <c r="X543" s="33"/>
      <c r="Y543" s="33">
        <f>IF(Ruimtestaat[[#This Row],[Frequentie weekend]]&gt;0,VALUE(LEFT(X543,1))*Q543,0)</f>
        <v>0</v>
      </c>
      <c r="Z543" s="33">
        <f>IF($Y543&gt;0,VLOOKUP($J543,Ruimtegroepen[],3,FALSE)*VLOOKUP($K543,Vloersoorten[],3,FALSE)*VLOOKUP($X543,Frequenties[],3,FALSE)*VLOOKUP(#REF!,Locaties[],3,FALSE),0)</f>
        <v>0</v>
      </c>
      <c r="AA543" s="33"/>
      <c r="AB543" s="33"/>
      <c r="AC543" s="33">
        <f>Ruimtestaat[[#This Row],[uren / jaar weekend]]*Tariefsopbouw!$D$40</f>
        <v>0</v>
      </c>
      <c r="AD543" s="88">
        <f>Ruimtestaat[[#This Row],[Prest. (m2 /jaar) weekend]]+Ruimtestaat[[#This Row],[Prest. (m2 /jaar) werkdagen]]</f>
        <v>890</v>
      </c>
      <c r="AE543" s="88">
        <f>Ruimtestaat[[#This Row],[uren / jaar weekend]]+Ruimtestaat[[#This Row],[uren / jaar werkdagen]]</f>
        <v>0</v>
      </c>
      <c r="AF543" s="89">
        <f>Ruimtestaat[[#This Row],[kosten / jaar weekend]]+Ruimtestaat[[#This Row],[kosten / jaar werkdagen]]</f>
        <v>0</v>
      </c>
    </row>
    <row r="544" spans="1:32" ht="15" customHeight="1">
      <c r="A544" s="280">
        <v>5</v>
      </c>
      <c r="B544" s="21" t="str">
        <f>VLOOKUP(Ruimtestaat[[#This Row],[Code]],Locaties[#All],2,FALSE)</f>
        <v>SGC Almelo</v>
      </c>
      <c r="C544" s="281" t="str">
        <f>VLOOKUP(Ruimtestaat[[#This Row],[Code]],Locaties[#All],4,FALSE)</f>
        <v>Slot 31</v>
      </c>
      <c r="D544" s="281" t="str">
        <f>VLOOKUP(Ruimtestaat[[#This Row],[Code]],Locaties[#All],5,FALSE)</f>
        <v>7608 ND</v>
      </c>
      <c r="E544" s="281" t="str">
        <f>VLOOKUP(Ruimtestaat[[#This Row],[Code]],Locaties[#All],6,FALSE)</f>
        <v>Almelo</v>
      </c>
      <c r="F544" s="282"/>
      <c r="G544" s="283" t="s">
        <v>444</v>
      </c>
      <c r="H544" s="200" t="s">
        <v>897</v>
      </c>
      <c r="I544" s="282" t="s">
        <v>469</v>
      </c>
      <c r="J544" s="200">
        <v>6</v>
      </c>
      <c r="K544" s="243" t="s">
        <v>111</v>
      </c>
      <c r="L544" s="291" t="s">
        <v>890</v>
      </c>
      <c r="M544" s="213">
        <v>441.26</v>
      </c>
      <c r="N544" s="202"/>
      <c r="O544" s="243" t="str">
        <f>VLOOKUP(Ruimtestaat[[#This Row],[Ruimte code]],Ruimtegroepen[#All],4,FALSE)</f>
        <v>V  (Verkeersruimte)</v>
      </c>
      <c r="P544" s="214"/>
      <c r="Q544" s="215">
        <v>40</v>
      </c>
      <c r="R544" s="215" t="s">
        <v>2</v>
      </c>
      <c r="S544" s="215">
        <f>IF(R544&gt;0,IF(RIGHT(Ruimtestaat[[#This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4" s="215">
        <f>IF(S544&gt;0,VLOOKUP($J544,Ruimtegroepen[],3,FALSE)*VLOOKUP($K544,Vloersoorten[],3,FALSE)*VLOOKUP($R544,Frequenties[],3,FALSE)*VLOOKUP($A544,Locaties[],3,FALSE),0)</f>
        <v>0</v>
      </c>
      <c r="U544" s="215">
        <f>Ruimtestaat[[#This Row],[Uitvoeringen werkdagen]]*Ruimtestaat[[#This Row],[Oppervlak (netto)]]</f>
        <v>88252</v>
      </c>
      <c r="V544" s="259">
        <f>IF(T544&gt;0,Ruimtestaat[[#This Row],[Prest. (m2 /jaar) werkdagen]]/Ruimtestaat[[#This Row],[Norm (m2/uur) werkdagen]],0)</f>
        <v>0</v>
      </c>
      <c r="W544" s="260">
        <f>Ruimtestaat[[#This Row],[uren / jaar werkdagen]]*Tariefsopbouw!$D$38</f>
        <v>0</v>
      </c>
      <c r="X544" s="33"/>
      <c r="Y544" s="33">
        <f>IF(Ruimtestaat[[#This Row],[Frequentie weekend]]&gt;0,VALUE(LEFT(X544,1))*Q544,0)</f>
        <v>0</v>
      </c>
      <c r="Z544" s="33">
        <f>IF($Y544&gt;0,VLOOKUP($J544,Ruimtegroepen[],3,FALSE)*VLOOKUP($K544,Vloersoorten[],3,FALSE)*VLOOKUP($X544,Frequenties[],3,FALSE)*VLOOKUP(#REF!,Locaties[],3,FALSE),0)</f>
        <v>0</v>
      </c>
      <c r="AA544" s="33"/>
      <c r="AB544" s="33"/>
      <c r="AC544" s="33">
        <f>Ruimtestaat[[#This Row],[uren / jaar weekend]]*Tariefsopbouw!$D$40</f>
        <v>0</v>
      </c>
      <c r="AD544" s="88">
        <f>Ruimtestaat[[#This Row],[Prest. (m2 /jaar) weekend]]+Ruimtestaat[[#This Row],[Prest. (m2 /jaar) werkdagen]]</f>
        <v>88252</v>
      </c>
      <c r="AE544" s="88">
        <f>Ruimtestaat[[#This Row],[uren / jaar weekend]]+Ruimtestaat[[#This Row],[uren / jaar werkdagen]]</f>
        <v>0</v>
      </c>
      <c r="AF544" s="89">
        <f>Ruimtestaat[[#This Row],[kosten / jaar weekend]]+Ruimtestaat[[#This Row],[kosten / jaar werkdagen]]</f>
        <v>0</v>
      </c>
    </row>
    <row r="545" spans="1:32" ht="15" customHeight="1">
      <c r="A545" s="280">
        <v>5</v>
      </c>
      <c r="B545" s="21" t="str">
        <f>VLOOKUP(Ruimtestaat[[#This Row],[Code]],Locaties[#All],2,FALSE)</f>
        <v>SGC Almelo</v>
      </c>
      <c r="C545" s="281" t="str">
        <f>VLOOKUP(Ruimtestaat[[#This Row],[Code]],Locaties[#All],4,FALSE)</f>
        <v>Slot 31</v>
      </c>
      <c r="D545" s="281" t="str">
        <f>VLOOKUP(Ruimtestaat[[#This Row],[Code]],Locaties[#All],5,FALSE)</f>
        <v>7608 ND</v>
      </c>
      <c r="E545" s="281" t="str">
        <f>VLOOKUP(Ruimtestaat[[#This Row],[Code]],Locaties[#All],6,FALSE)</f>
        <v>Almelo</v>
      </c>
      <c r="F545" s="282"/>
      <c r="G545" s="283" t="s">
        <v>444</v>
      </c>
      <c r="H545" s="200" t="s">
        <v>896</v>
      </c>
      <c r="I545" s="282" t="s">
        <v>741</v>
      </c>
      <c r="J545" s="281">
        <v>12</v>
      </c>
      <c r="K545" s="243" t="s">
        <v>111</v>
      </c>
      <c r="L545" s="291" t="s">
        <v>890</v>
      </c>
      <c r="M545" s="213">
        <v>293.93</v>
      </c>
      <c r="N545" s="202"/>
      <c r="O545" s="243" t="str">
        <f>VLOOKUP(Ruimtestaat[[#This Row],[Ruimte code]],Ruimtegroepen[#All],4,FALSE)</f>
        <v>V  (Verkeersruimte)</v>
      </c>
      <c r="P545" s="214"/>
      <c r="Q545" s="215">
        <v>40</v>
      </c>
      <c r="R545" s="215" t="s">
        <v>2</v>
      </c>
      <c r="S545" s="215">
        <f>IF(R545&gt;0,IF(RIGHT(Ruimtestaat[[#This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45" s="215">
        <f>IF(S545&gt;0,VLOOKUP($J545,Ruimtegroepen[],3,FALSE)*VLOOKUP($K545,Vloersoorten[],3,FALSE)*VLOOKUP($R545,Frequenties[],3,FALSE)*VLOOKUP($A545,Locaties[],3,FALSE),0)</f>
        <v>0</v>
      </c>
      <c r="U545" s="215">
        <f>Ruimtestaat[[#This Row],[Uitvoeringen werkdagen]]*Ruimtestaat[[#This Row],[Oppervlak (netto)]]</f>
        <v>58786</v>
      </c>
      <c r="V545" s="259">
        <f>IF(T545&gt;0,Ruimtestaat[[#This Row],[Prest. (m2 /jaar) werkdagen]]/Ruimtestaat[[#This Row],[Norm (m2/uur) werkdagen]],0)</f>
        <v>0</v>
      </c>
      <c r="W545" s="260">
        <f>Ruimtestaat[[#This Row],[uren / jaar werkdagen]]*Tariefsopbouw!$D$38</f>
        <v>0</v>
      </c>
      <c r="X545" s="33"/>
      <c r="Y545" s="33">
        <f>IF(Ruimtestaat[[#This Row],[Frequentie weekend]]&gt;0,VALUE(LEFT(X545,1))*Q545,0)</f>
        <v>0</v>
      </c>
      <c r="Z545" s="33">
        <f>IF($Y545&gt;0,VLOOKUP($J545,Ruimtegroepen[],3,FALSE)*VLOOKUP($K545,Vloersoorten[],3,FALSE)*VLOOKUP($X545,Frequenties[],3,FALSE)*VLOOKUP(#REF!,Locaties[],3,FALSE),0)</f>
        <v>0</v>
      </c>
      <c r="AA545" s="33"/>
      <c r="AB545" s="33"/>
      <c r="AC545" s="33">
        <f>Ruimtestaat[[#This Row],[uren / jaar weekend]]*Tariefsopbouw!$D$40</f>
        <v>0</v>
      </c>
      <c r="AD545" s="88">
        <f>Ruimtestaat[[#This Row],[Prest. (m2 /jaar) weekend]]+Ruimtestaat[[#This Row],[Prest. (m2 /jaar) werkdagen]]</f>
        <v>58786</v>
      </c>
      <c r="AE545" s="88">
        <f>Ruimtestaat[[#This Row],[uren / jaar weekend]]+Ruimtestaat[[#This Row],[uren / jaar werkdagen]]</f>
        <v>0</v>
      </c>
      <c r="AF545" s="89">
        <f>Ruimtestaat[[#This Row],[kosten / jaar weekend]]+Ruimtestaat[[#This Row],[kosten / jaar werkdagen]]</f>
        <v>0</v>
      </c>
    </row>
    <row r="546" spans="1:32" ht="15" customHeight="1">
      <c r="A546" s="280">
        <v>5</v>
      </c>
      <c r="B546" s="21" t="str">
        <f>VLOOKUP(Ruimtestaat[[#This Row],[Code]],Locaties[#All],2,FALSE)</f>
        <v>SGC Almelo</v>
      </c>
      <c r="C546" s="281" t="str">
        <f>VLOOKUP(Ruimtestaat[[#This Row],[Code]],Locaties[#All],4,FALSE)</f>
        <v>Slot 31</v>
      </c>
      <c r="D546" s="281" t="str">
        <f>VLOOKUP(Ruimtestaat[[#This Row],[Code]],Locaties[#All],5,FALSE)</f>
        <v>7608 ND</v>
      </c>
      <c r="E546" s="281" t="str">
        <f>VLOOKUP(Ruimtestaat[[#This Row],[Code]],Locaties[#All],6,FALSE)</f>
        <v>Almelo</v>
      </c>
      <c r="F546" s="282"/>
      <c r="G546" s="283" t="s">
        <v>444</v>
      </c>
      <c r="H546" s="280">
        <v>4</v>
      </c>
      <c r="I546" s="282" t="s">
        <v>487</v>
      </c>
      <c r="J546" s="200">
        <v>2</v>
      </c>
      <c r="K546" s="243" t="s">
        <v>109</v>
      </c>
      <c r="L546" s="291" t="s">
        <v>919</v>
      </c>
      <c r="M546" s="213">
        <v>64.84</v>
      </c>
      <c r="N546" s="202"/>
      <c r="O546" s="243" t="str">
        <f>VLOOKUP(Ruimtestaat[[#This Row],[Ruimte code]],Ruimtegroepen[#All],4,FALSE)</f>
        <v>B  (Bureauruimte)</v>
      </c>
      <c r="P546" s="214"/>
      <c r="Q546" s="215">
        <v>40</v>
      </c>
      <c r="R546" s="215" t="s">
        <v>17</v>
      </c>
      <c r="S546" s="215">
        <f>IF(R546&gt;0,IF(RIGHT(Ruimtestaat[[#This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6" s="215">
        <f>IF(S546&gt;0,VLOOKUP($J546,Ruimtegroepen[],3,FALSE)*VLOOKUP($K546,Vloersoorten[],3,FALSE)*VLOOKUP($R546,Frequenties[],3,FALSE)*VLOOKUP($A546,Locaties[],3,FALSE),0)</f>
        <v>0</v>
      </c>
      <c r="U546" s="215">
        <f>Ruimtestaat[[#This Row],[Uitvoeringen werkdagen]]*Ruimtestaat[[#This Row],[Oppervlak (netto)]]</f>
        <v>5187.2000000000007</v>
      </c>
      <c r="V546" s="259">
        <f>IF(T546&gt;0,Ruimtestaat[[#This Row],[Prest. (m2 /jaar) werkdagen]]/Ruimtestaat[[#This Row],[Norm (m2/uur) werkdagen]],0)</f>
        <v>0</v>
      </c>
      <c r="W546" s="260">
        <f>Ruimtestaat[[#This Row],[uren / jaar werkdagen]]*Tariefsopbouw!$D$38</f>
        <v>0</v>
      </c>
      <c r="X546" s="33"/>
      <c r="Y546" s="33">
        <f>IF(Ruimtestaat[[#This Row],[Frequentie weekend]]&gt;0,VALUE(LEFT(X546,1))*Q546,0)</f>
        <v>0</v>
      </c>
      <c r="Z546" s="33">
        <f>IF($Y546&gt;0,VLOOKUP($J546,Ruimtegroepen[],3,FALSE)*VLOOKUP($K546,Vloersoorten[],3,FALSE)*VLOOKUP($X546,Frequenties[],3,FALSE)*VLOOKUP(#REF!,Locaties[],3,FALSE),0)</f>
        <v>0</v>
      </c>
      <c r="AA546" s="33"/>
      <c r="AB546" s="33"/>
      <c r="AC546" s="33">
        <f>Ruimtestaat[[#This Row],[uren / jaar weekend]]*Tariefsopbouw!$D$40</f>
        <v>0</v>
      </c>
      <c r="AD546" s="88">
        <f>Ruimtestaat[[#This Row],[Prest. (m2 /jaar) weekend]]+Ruimtestaat[[#This Row],[Prest. (m2 /jaar) werkdagen]]</f>
        <v>5187.2000000000007</v>
      </c>
      <c r="AE546" s="88">
        <f>Ruimtestaat[[#This Row],[uren / jaar weekend]]+Ruimtestaat[[#This Row],[uren / jaar werkdagen]]</f>
        <v>0</v>
      </c>
      <c r="AF546" s="89">
        <f>Ruimtestaat[[#This Row],[kosten / jaar weekend]]+Ruimtestaat[[#This Row],[kosten / jaar werkdagen]]</f>
        <v>0</v>
      </c>
    </row>
    <row r="547" spans="1:32" ht="15" customHeight="1">
      <c r="A547" s="280">
        <v>5</v>
      </c>
      <c r="B547" s="21" t="str">
        <f>VLOOKUP(Ruimtestaat[[#This Row],[Code]],Locaties[#All],2,FALSE)</f>
        <v>SGC Almelo</v>
      </c>
      <c r="C547" s="281" t="str">
        <f>VLOOKUP(Ruimtestaat[[#This Row],[Code]],Locaties[#All],4,FALSE)</f>
        <v>Slot 31</v>
      </c>
      <c r="D547" s="281" t="str">
        <f>VLOOKUP(Ruimtestaat[[#This Row],[Code]],Locaties[#All],5,FALSE)</f>
        <v>7608 ND</v>
      </c>
      <c r="E547" s="281" t="str">
        <f>VLOOKUP(Ruimtestaat[[#This Row],[Code]],Locaties[#All],6,FALSE)</f>
        <v>Almelo</v>
      </c>
      <c r="F547" s="282"/>
      <c r="G547" s="283" t="s">
        <v>444</v>
      </c>
      <c r="H547" s="280">
        <v>5</v>
      </c>
      <c r="I547" s="282" t="s">
        <v>487</v>
      </c>
      <c r="J547" s="200">
        <v>2</v>
      </c>
      <c r="K547" s="243" t="s">
        <v>109</v>
      </c>
      <c r="L547" s="291" t="s">
        <v>919</v>
      </c>
      <c r="M547" s="213">
        <v>34.04</v>
      </c>
      <c r="N547" s="202"/>
      <c r="O547" s="243" t="str">
        <f>VLOOKUP(Ruimtestaat[[#This Row],[Ruimte code]],Ruimtegroepen[#All],4,FALSE)</f>
        <v>B  (Bureauruimte)</v>
      </c>
      <c r="P547" s="214"/>
      <c r="Q547" s="215">
        <v>40</v>
      </c>
      <c r="R547" s="215" t="s">
        <v>17</v>
      </c>
      <c r="S547" s="215">
        <f>IF(R547&gt;0,IF(RIGHT(Ruimtestaat[[#This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7" s="215">
        <f>IF(S547&gt;0,VLOOKUP($J547,Ruimtegroepen[],3,FALSE)*VLOOKUP($K547,Vloersoorten[],3,FALSE)*VLOOKUP($R547,Frequenties[],3,FALSE)*VLOOKUP($A547,Locaties[],3,FALSE),0)</f>
        <v>0</v>
      </c>
      <c r="U547" s="215">
        <f>Ruimtestaat[[#This Row],[Uitvoeringen werkdagen]]*Ruimtestaat[[#This Row],[Oppervlak (netto)]]</f>
        <v>2723.2</v>
      </c>
      <c r="V547" s="259">
        <f>IF(T547&gt;0,Ruimtestaat[[#This Row],[Prest. (m2 /jaar) werkdagen]]/Ruimtestaat[[#This Row],[Norm (m2/uur) werkdagen]],0)</f>
        <v>0</v>
      </c>
      <c r="W547" s="260">
        <f>Ruimtestaat[[#This Row],[uren / jaar werkdagen]]*Tariefsopbouw!$D$38</f>
        <v>0</v>
      </c>
      <c r="X547" s="33"/>
      <c r="Y547" s="33">
        <f>IF(Ruimtestaat[[#This Row],[Frequentie weekend]]&gt;0,VALUE(LEFT(X547,1))*Q547,0)</f>
        <v>0</v>
      </c>
      <c r="Z547" s="33">
        <f>IF($Y547&gt;0,VLOOKUP($J547,Ruimtegroepen[],3,FALSE)*VLOOKUP($K547,Vloersoorten[],3,FALSE)*VLOOKUP($X547,Frequenties[],3,FALSE)*VLOOKUP(#REF!,Locaties[],3,FALSE),0)</f>
        <v>0</v>
      </c>
      <c r="AA547" s="33"/>
      <c r="AB547" s="33"/>
      <c r="AC547" s="33">
        <f>Ruimtestaat[[#This Row],[uren / jaar weekend]]*Tariefsopbouw!$D$40</f>
        <v>0</v>
      </c>
      <c r="AD547" s="88">
        <f>Ruimtestaat[[#This Row],[Prest. (m2 /jaar) weekend]]+Ruimtestaat[[#This Row],[Prest. (m2 /jaar) werkdagen]]</f>
        <v>2723.2</v>
      </c>
      <c r="AE547" s="88">
        <f>Ruimtestaat[[#This Row],[uren / jaar weekend]]+Ruimtestaat[[#This Row],[uren / jaar werkdagen]]</f>
        <v>0</v>
      </c>
      <c r="AF547" s="89">
        <f>Ruimtestaat[[#This Row],[kosten / jaar weekend]]+Ruimtestaat[[#This Row],[kosten / jaar werkdagen]]</f>
        <v>0</v>
      </c>
    </row>
    <row r="548" spans="1:32" ht="15" customHeight="1">
      <c r="A548" s="280">
        <v>5</v>
      </c>
      <c r="B548" s="21" t="str">
        <f>VLOOKUP(Ruimtestaat[[#This Row],[Code]],Locaties[#All],2,FALSE)</f>
        <v>SGC Almelo</v>
      </c>
      <c r="C548" s="281" t="str">
        <f>VLOOKUP(Ruimtestaat[[#This Row],[Code]],Locaties[#All],4,FALSE)</f>
        <v>Slot 31</v>
      </c>
      <c r="D548" s="281" t="str">
        <f>VLOOKUP(Ruimtestaat[[#This Row],[Code]],Locaties[#All],5,FALSE)</f>
        <v>7608 ND</v>
      </c>
      <c r="E548" s="281" t="str">
        <f>VLOOKUP(Ruimtestaat[[#This Row],[Code]],Locaties[#All],6,FALSE)</f>
        <v>Almelo</v>
      </c>
      <c r="F548" s="282"/>
      <c r="G548" s="283" t="s">
        <v>444</v>
      </c>
      <c r="H548" s="280">
        <v>6</v>
      </c>
      <c r="I548" s="282" t="s">
        <v>487</v>
      </c>
      <c r="J548" s="200">
        <v>2</v>
      </c>
      <c r="K548" s="243" t="s">
        <v>109</v>
      </c>
      <c r="L548" s="291" t="s">
        <v>1046</v>
      </c>
      <c r="M548" s="213">
        <v>24.05</v>
      </c>
      <c r="N548" s="202"/>
      <c r="O548" s="243" t="str">
        <f>VLOOKUP(Ruimtestaat[[#This Row],[Ruimte code]],Ruimtegroepen[#All],4,FALSE)</f>
        <v>B  (Bureauruimte)</v>
      </c>
      <c r="P548" s="214"/>
      <c r="Q548" s="215">
        <v>40</v>
      </c>
      <c r="R548" s="215" t="s">
        <v>17</v>
      </c>
      <c r="S548" s="215">
        <f>IF(R548&gt;0,IF(RIGHT(Ruimtestaat[[#This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8" s="215">
        <f>IF(S548&gt;0,VLOOKUP($J548,Ruimtegroepen[],3,FALSE)*VLOOKUP($K548,Vloersoorten[],3,FALSE)*VLOOKUP($R548,Frequenties[],3,FALSE)*VLOOKUP($A548,Locaties[],3,FALSE),0)</f>
        <v>0</v>
      </c>
      <c r="U548" s="215">
        <f>Ruimtestaat[[#This Row],[Uitvoeringen werkdagen]]*Ruimtestaat[[#This Row],[Oppervlak (netto)]]</f>
        <v>1924</v>
      </c>
      <c r="V548" s="259">
        <f>IF(T548&gt;0,Ruimtestaat[[#This Row],[Prest. (m2 /jaar) werkdagen]]/Ruimtestaat[[#This Row],[Norm (m2/uur) werkdagen]],0)</f>
        <v>0</v>
      </c>
      <c r="W548" s="260">
        <f>Ruimtestaat[[#This Row],[uren / jaar werkdagen]]*Tariefsopbouw!$D$38</f>
        <v>0</v>
      </c>
      <c r="X548" s="33"/>
      <c r="Y548" s="33">
        <f>IF(Ruimtestaat[[#This Row],[Frequentie weekend]]&gt;0,VALUE(LEFT(X548,1))*Q548,0)</f>
        <v>0</v>
      </c>
      <c r="Z548" s="33">
        <f>IF($Y548&gt;0,VLOOKUP($J548,Ruimtegroepen[],3,FALSE)*VLOOKUP($K548,Vloersoorten[],3,FALSE)*VLOOKUP($X548,Frequenties[],3,FALSE)*VLOOKUP(#REF!,Locaties[],3,FALSE),0)</f>
        <v>0</v>
      </c>
      <c r="AA548" s="33"/>
      <c r="AB548" s="33"/>
      <c r="AC548" s="33">
        <f>Ruimtestaat[[#This Row],[uren / jaar weekend]]*Tariefsopbouw!$D$40</f>
        <v>0</v>
      </c>
      <c r="AD548" s="88">
        <f>Ruimtestaat[[#This Row],[Prest. (m2 /jaar) weekend]]+Ruimtestaat[[#This Row],[Prest. (m2 /jaar) werkdagen]]</f>
        <v>1924</v>
      </c>
      <c r="AE548" s="88">
        <f>Ruimtestaat[[#This Row],[uren / jaar weekend]]+Ruimtestaat[[#This Row],[uren / jaar werkdagen]]</f>
        <v>0</v>
      </c>
      <c r="AF548" s="89">
        <f>Ruimtestaat[[#This Row],[kosten / jaar weekend]]+Ruimtestaat[[#This Row],[kosten / jaar werkdagen]]</f>
        <v>0</v>
      </c>
    </row>
    <row r="549" spans="1:32" ht="15" customHeight="1">
      <c r="A549" s="280">
        <v>5</v>
      </c>
      <c r="B549" s="21" t="str">
        <f>VLOOKUP(Ruimtestaat[[#This Row],[Code]],Locaties[#All],2,FALSE)</f>
        <v>SGC Almelo</v>
      </c>
      <c r="C549" s="281" t="str">
        <f>VLOOKUP(Ruimtestaat[[#This Row],[Code]],Locaties[#All],4,FALSE)</f>
        <v>Slot 31</v>
      </c>
      <c r="D549" s="281" t="str">
        <f>VLOOKUP(Ruimtestaat[[#This Row],[Code]],Locaties[#All],5,FALSE)</f>
        <v>7608 ND</v>
      </c>
      <c r="E549" s="281" t="str">
        <f>VLOOKUP(Ruimtestaat[[#This Row],[Code]],Locaties[#All],6,FALSE)</f>
        <v>Almelo</v>
      </c>
      <c r="F549" s="282"/>
      <c r="G549" s="283" t="s">
        <v>444</v>
      </c>
      <c r="H549" s="280">
        <v>7</v>
      </c>
      <c r="I549" s="282" t="s">
        <v>487</v>
      </c>
      <c r="J549" s="200">
        <v>2</v>
      </c>
      <c r="K549" s="243" t="s">
        <v>109</v>
      </c>
      <c r="L549" s="291" t="s">
        <v>1046</v>
      </c>
      <c r="M549" s="213">
        <v>27.38</v>
      </c>
      <c r="N549" s="202"/>
      <c r="O549" s="243" t="str">
        <f>VLOOKUP(Ruimtestaat[[#This Row],[Ruimte code]],Ruimtegroepen[#All],4,FALSE)</f>
        <v>B  (Bureauruimte)</v>
      </c>
      <c r="P549" s="214"/>
      <c r="Q549" s="215">
        <v>40</v>
      </c>
      <c r="R549" s="215" t="s">
        <v>17</v>
      </c>
      <c r="S549" s="215">
        <f>IF(R549&gt;0,IF(RIGHT(Ruimtestaat[[#This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49" s="215">
        <f>IF(S549&gt;0,VLOOKUP($J549,Ruimtegroepen[],3,FALSE)*VLOOKUP($K549,Vloersoorten[],3,FALSE)*VLOOKUP($R549,Frequenties[],3,FALSE)*VLOOKUP($A549,Locaties[],3,FALSE),0)</f>
        <v>0</v>
      </c>
      <c r="U549" s="215">
        <f>Ruimtestaat[[#This Row],[Uitvoeringen werkdagen]]*Ruimtestaat[[#This Row],[Oppervlak (netto)]]</f>
        <v>2190.4</v>
      </c>
      <c r="V549" s="259">
        <f>IF(T549&gt;0,Ruimtestaat[[#This Row],[Prest. (m2 /jaar) werkdagen]]/Ruimtestaat[[#This Row],[Norm (m2/uur) werkdagen]],0)</f>
        <v>0</v>
      </c>
      <c r="W549" s="260">
        <f>Ruimtestaat[[#This Row],[uren / jaar werkdagen]]*Tariefsopbouw!$D$38</f>
        <v>0</v>
      </c>
      <c r="X549" s="33"/>
      <c r="Y549" s="33">
        <f>IF(Ruimtestaat[[#This Row],[Frequentie weekend]]&gt;0,VALUE(LEFT(X549,1))*Q549,0)</f>
        <v>0</v>
      </c>
      <c r="Z549" s="33">
        <f>IF($Y549&gt;0,VLOOKUP($J549,Ruimtegroepen[],3,FALSE)*VLOOKUP($K549,Vloersoorten[],3,FALSE)*VLOOKUP($X549,Frequenties[],3,FALSE)*VLOOKUP(#REF!,Locaties[],3,FALSE),0)</f>
        <v>0</v>
      </c>
      <c r="AA549" s="33"/>
      <c r="AB549" s="33"/>
      <c r="AC549" s="33">
        <f>Ruimtestaat[[#This Row],[uren / jaar weekend]]*Tariefsopbouw!$D$40</f>
        <v>0</v>
      </c>
      <c r="AD549" s="88">
        <f>Ruimtestaat[[#This Row],[Prest. (m2 /jaar) weekend]]+Ruimtestaat[[#This Row],[Prest. (m2 /jaar) werkdagen]]</f>
        <v>2190.4</v>
      </c>
      <c r="AE549" s="88">
        <f>Ruimtestaat[[#This Row],[uren / jaar weekend]]+Ruimtestaat[[#This Row],[uren / jaar werkdagen]]</f>
        <v>0</v>
      </c>
      <c r="AF549" s="89">
        <f>Ruimtestaat[[#This Row],[kosten / jaar weekend]]+Ruimtestaat[[#This Row],[kosten / jaar werkdagen]]</f>
        <v>0</v>
      </c>
    </row>
    <row r="550" spans="1:32" ht="15" customHeight="1">
      <c r="A550" s="280">
        <v>5</v>
      </c>
      <c r="B550" s="21" t="str">
        <f>VLOOKUP(Ruimtestaat[[#This Row],[Code]],Locaties[#All],2,FALSE)</f>
        <v>SGC Almelo</v>
      </c>
      <c r="C550" s="281" t="str">
        <f>VLOOKUP(Ruimtestaat[[#This Row],[Code]],Locaties[#All],4,FALSE)</f>
        <v>Slot 31</v>
      </c>
      <c r="D550" s="281" t="str">
        <f>VLOOKUP(Ruimtestaat[[#This Row],[Code]],Locaties[#All],5,FALSE)</f>
        <v>7608 ND</v>
      </c>
      <c r="E550" s="281" t="str">
        <f>VLOOKUP(Ruimtestaat[[#This Row],[Code]],Locaties[#All],6,FALSE)</f>
        <v>Almelo</v>
      </c>
      <c r="F550" s="282"/>
      <c r="G550" s="283" t="s">
        <v>444</v>
      </c>
      <c r="H550" s="200" t="s">
        <v>895</v>
      </c>
      <c r="I550" s="282" t="s">
        <v>749</v>
      </c>
      <c r="J550" s="200">
        <v>5</v>
      </c>
      <c r="K550" s="243" t="s">
        <v>111</v>
      </c>
      <c r="L550" s="291" t="s">
        <v>913</v>
      </c>
      <c r="M550" s="213">
        <v>3.39</v>
      </c>
      <c r="N550" s="202"/>
      <c r="O550" s="243" t="str">
        <f>VLOOKUP(Ruimtestaat[[#This Row],[Ruimte code]],Ruimtegroepen[#All],4,FALSE)</f>
        <v>S  (Sanitair)</v>
      </c>
      <c r="P550" s="214"/>
      <c r="Q550" s="215">
        <v>40</v>
      </c>
      <c r="R550" s="215" t="s">
        <v>2</v>
      </c>
      <c r="S550" s="215">
        <f>IF(R550&gt;0,IF(RIGHT(Ruimtestaat[[#This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0" s="215">
        <f>IF(S550&gt;0,VLOOKUP($J550,Ruimtegroepen[],3,FALSE)*VLOOKUP($K550,Vloersoorten[],3,FALSE)*VLOOKUP($R550,Frequenties[],3,FALSE)*VLOOKUP($A550,Locaties[],3,FALSE),0)</f>
        <v>0</v>
      </c>
      <c r="U550" s="215">
        <f>Ruimtestaat[[#This Row],[Uitvoeringen werkdagen]]*Ruimtestaat[[#This Row],[Oppervlak (netto)]]</f>
        <v>678</v>
      </c>
      <c r="V550" s="259">
        <f>IF(T550&gt;0,Ruimtestaat[[#This Row],[Prest. (m2 /jaar) werkdagen]]/Ruimtestaat[[#This Row],[Norm (m2/uur) werkdagen]],0)</f>
        <v>0</v>
      </c>
      <c r="W550" s="260">
        <f>Ruimtestaat[[#This Row],[uren / jaar werkdagen]]*Tariefsopbouw!$D$38</f>
        <v>0</v>
      </c>
      <c r="X550" s="33"/>
      <c r="Y550" s="33">
        <f>IF(Ruimtestaat[[#This Row],[Frequentie weekend]]&gt;0,VALUE(LEFT(X550,1))*Q550,0)</f>
        <v>0</v>
      </c>
      <c r="Z550" s="33">
        <f>IF($Y550&gt;0,VLOOKUP($J550,Ruimtegroepen[],3,FALSE)*VLOOKUP($K550,Vloersoorten[],3,FALSE)*VLOOKUP($X550,Frequenties[],3,FALSE)*VLOOKUP(#REF!,Locaties[],3,FALSE),0)</f>
        <v>0</v>
      </c>
      <c r="AA550" s="33"/>
      <c r="AB550" s="33"/>
      <c r="AC550" s="33">
        <f>Ruimtestaat[[#This Row],[uren / jaar weekend]]*Tariefsopbouw!$D$40</f>
        <v>0</v>
      </c>
      <c r="AD550" s="88">
        <f>Ruimtestaat[[#This Row],[Prest. (m2 /jaar) weekend]]+Ruimtestaat[[#This Row],[Prest. (m2 /jaar) werkdagen]]</f>
        <v>678</v>
      </c>
      <c r="AE550" s="88">
        <f>Ruimtestaat[[#This Row],[uren / jaar weekend]]+Ruimtestaat[[#This Row],[uren / jaar werkdagen]]</f>
        <v>0</v>
      </c>
      <c r="AF550" s="89">
        <f>Ruimtestaat[[#This Row],[kosten / jaar weekend]]+Ruimtestaat[[#This Row],[kosten / jaar werkdagen]]</f>
        <v>0</v>
      </c>
    </row>
    <row r="551" spans="1:32" ht="15" customHeight="1">
      <c r="A551" s="280">
        <v>5</v>
      </c>
      <c r="B551" s="21" t="str">
        <f>VLOOKUP(Ruimtestaat[[#This Row],[Code]],Locaties[#All],2,FALSE)</f>
        <v>SGC Almelo</v>
      </c>
      <c r="C551" s="281" t="str">
        <f>VLOOKUP(Ruimtestaat[[#This Row],[Code]],Locaties[#All],4,FALSE)</f>
        <v>Slot 31</v>
      </c>
      <c r="D551" s="281" t="str">
        <f>VLOOKUP(Ruimtestaat[[#This Row],[Code]],Locaties[#All],5,FALSE)</f>
        <v>7608 ND</v>
      </c>
      <c r="E551" s="281" t="str">
        <f>VLOOKUP(Ruimtestaat[[#This Row],[Code]],Locaties[#All],6,FALSE)</f>
        <v>Almelo</v>
      </c>
      <c r="F551" s="282"/>
      <c r="G551" s="283" t="s">
        <v>444</v>
      </c>
      <c r="H551" s="200" t="s">
        <v>894</v>
      </c>
      <c r="I551" s="282" t="s">
        <v>697</v>
      </c>
      <c r="J551" s="200">
        <v>5</v>
      </c>
      <c r="K551" s="243" t="s">
        <v>111</v>
      </c>
      <c r="L551" s="291" t="s">
        <v>913</v>
      </c>
      <c r="M551" s="213">
        <v>9.4499999999999993</v>
      </c>
      <c r="N551" s="202"/>
      <c r="O551" s="243" t="str">
        <f>VLOOKUP(Ruimtestaat[[#This Row],[Ruimte code]],Ruimtegroepen[#All],4,FALSE)</f>
        <v>S  (Sanitair)</v>
      </c>
      <c r="P551" s="214"/>
      <c r="Q551" s="215">
        <v>40</v>
      </c>
      <c r="R551" s="215" t="s">
        <v>2</v>
      </c>
      <c r="S551" s="215">
        <f>IF(R551&gt;0,IF(RIGHT(Ruimtestaat[[#This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1" s="215">
        <f>IF(S551&gt;0,VLOOKUP($J551,Ruimtegroepen[],3,FALSE)*VLOOKUP($K551,Vloersoorten[],3,FALSE)*VLOOKUP($R551,Frequenties[],3,FALSE)*VLOOKUP($A551,Locaties[],3,FALSE),0)</f>
        <v>0</v>
      </c>
      <c r="U551" s="215">
        <f>Ruimtestaat[[#This Row],[Uitvoeringen werkdagen]]*Ruimtestaat[[#This Row],[Oppervlak (netto)]]</f>
        <v>1889.9999999999998</v>
      </c>
      <c r="V551" s="259">
        <f>IF(T551&gt;0,Ruimtestaat[[#This Row],[Prest. (m2 /jaar) werkdagen]]/Ruimtestaat[[#This Row],[Norm (m2/uur) werkdagen]],0)</f>
        <v>0</v>
      </c>
      <c r="W551" s="260">
        <f>Ruimtestaat[[#This Row],[uren / jaar werkdagen]]*Tariefsopbouw!$D$38</f>
        <v>0</v>
      </c>
      <c r="X551" s="33"/>
      <c r="Y551" s="33">
        <f>IF(Ruimtestaat[[#This Row],[Frequentie weekend]]&gt;0,VALUE(LEFT(X551,1))*Q551,0)</f>
        <v>0</v>
      </c>
      <c r="Z551" s="33">
        <f>IF($Y551&gt;0,VLOOKUP($J551,Ruimtegroepen[],3,FALSE)*VLOOKUP($K551,Vloersoorten[],3,FALSE)*VLOOKUP($X551,Frequenties[],3,FALSE)*VLOOKUP(#REF!,Locaties[],3,FALSE),0)</f>
        <v>0</v>
      </c>
      <c r="AA551" s="33"/>
      <c r="AB551" s="33"/>
      <c r="AC551" s="33">
        <f>Ruimtestaat[[#This Row],[uren / jaar weekend]]*Tariefsopbouw!$D$40</f>
        <v>0</v>
      </c>
      <c r="AD551" s="88">
        <f>Ruimtestaat[[#This Row],[Prest. (m2 /jaar) weekend]]+Ruimtestaat[[#This Row],[Prest. (m2 /jaar) werkdagen]]</f>
        <v>1889.9999999999998</v>
      </c>
      <c r="AE551" s="88">
        <f>Ruimtestaat[[#This Row],[uren / jaar weekend]]+Ruimtestaat[[#This Row],[uren / jaar werkdagen]]</f>
        <v>0</v>
      </c>
      <c r="AF551" s="89">
        <f>Ruimtestaat[[#This Row],[kosten / jaar weekend]]+Ruimtestaat[[#This Row],[kosten / jaar werkdagen]]</f>
        <v>0</v>
      </c>
    </row>
    <row r="552" spans="1:32" ht="15" customHeight="1">
      <c r="A552" s="280">
        <v>5</v>
      </c>
      <c r="B552" s="21" t="str">
        <f>VLOOKUP(Ruimtestaat[[#This Row],[Code]],Locaties[#All],2,FALSE)</f>
        <v>SGC Almelo</v>
      </c>
      <c r="C552" s="281" t="str">
        <f>VLOOKUP(Ruimtestaat[[#This Row],[Code]],Locaties[#All],4,FALSE)</f>
        <v>Slot 31</v>
      </c>
      <c r="D552" s="281" t="str">
        <f>VLOOKUP(Ruimtestaat[[#This Row],[Code]],Locaties[#All],5,FALSE)</f>
        <v>7608 ND</v>
      </c>
      <c r="E552" s="281" t="str">
        <f>VLOOKUP(Ruimtestaat[[#This Row],[Code]],Locaties[#All],6,FALSE)</f>
        <v>Almelo</v>
      </c>
      <c r="F552" s="282"/>
      <c r="G552" s="283" t="s">
        <v>444</v>
      </c>
      <c r="H552" s="200" t="s">
        <v>893</v>
      </c>
      <c r="I552" s="282" t="s">
        <v>697</v>
      </c>
      <c r="J552" s="200">
        <v>5</v>
      </c>
      <c r="K552" s="243" t="s">
        <v>111</v>
      </c>
      <c r="L552" s="291" t="s">
        <v>913</v>
      </c>
      <c r="M552" s="213">
        <v>9.4499999999999993</v>
      </c>
      <c r="N552" s="202"/>
      <c r="O552" s="243" t="str">
        <f>VLOOKUP(Ruimtestaat[[#This Row],[Ruimte code]],Ruimtegroepen[#All],4,FALSE)</f>
        <v>S  (Sanitair)</v>
      </c>
      <c r="P552" s="214"/>
      <c r="Q552" s="215">
        <v>40</v>
      </c>
      <c r="R552" s="215" t="s">
        <v>2</v>
      </c>
      <c r="S552" s="215">
        <f>IF(R552&gt;0,IF(RIGHT(Ruimtestaat[[#This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2" s="215">
        <f>IF(S552&gt;0,VLOOKUP($J552,Ruimtegroepen[],3,FALSE)*VLOOKUP($K552,Vloersoorten[],3,FALSE)*VLOOKUP($R552,Frequenties[],3,FALSE)*VLOOKUP($A552,Locaties[],3,FALSE),0)</f>
        <v>0</v>
      </c>
      <c r="U552" s="215">
        <f>Ruimtestaat[[#This Row],[Uitvoeringen werkdagen]]*Ruimtestaat[[#This Row],[Oppervlak (netto)]]</f>
        <v>1889.9999999999998</v>
      </c>
      <c r="V552" s="259">
        <f>IF(T552&gt;0,Ruimtestaat[[#This Row],[Prest. (m2 /jaar) werkdagen]]/Ruimtestaat[[#This Row],[Norm (m2/uur) werkdagen]],0)</f>
        <v>0</v>
      </c>
      <c r="W552" s="260">
        <f>Ruimtestaat[[#This Row],[uren / jaar werkdagen]]*Tariefsopbouw!$D$38</f>
        <v>0</v>
      </c>
      <c r="X552" s="33"/>
      <c r="Y552" s="33">
        <f>IF(Ruimtestaat[[#This Row],[Frequentie weekend]]&gt;0,VALUE(LEFT(X552,1))*Q552,0)</f>
        <v>0</v>
      </c>
      <c r="Z552" s="33">
        <f>IF($Y552&gt;0,VLOOKUP($J552,Ruimtegroepen[],3,FALSE)*VLOOKUP($K552,Vloersoorten[],3,FALSE)*VLOOKUP($X552,Frequenties[],3,FALSE)*VLOOKUP(#REF!,Locaties[],3,FALSE),0)</f>
        <v>0</v>
      </c>
      <c r="AA552" s="33"/>
      <c r="AB552" s="33"/>
      <c r="AC552" s="33">
        <f>Ruimtestaat[[#This Row],[uren / jaar weekend]]*Tariefsopbouw!$D$40</f>
        <v>0</v>
      </c>
      <c r="AD552" s="88">
        <f>Ruimtestaat[[#This Row],[Prest. (m2 /jaar) weekend]]+Ruimtestaat[[#This Row],[Prest. (m2 /jaar) werkdagen]]</f>
        <v>1889.9999999999998</v>
      </c>
      <c r="AE552" s="88">
        <f>Ruimtestaat[[#This Row],[uren / jaar weekend]]+Ruimtestaat[[#This Row],[uren / jaar werkdagen]]</f>
        <v>0</v>
      </c>
      <c r="AF552" s="89">
        <f>Ruimtestaat[[#This Row],[kosten / jaar weekend]]+Ruimtestaat[[#This Row],[kosten / jaar werkdagen]]</f>
        <v>0</v>
      </c>
    </row>
    <row r="553" spans="1:32" ht="15" customHeight="1">
      <c r="A553" s="280">
        <v>5</v>
      </c>
      <c r="B553" s="21" t="str">
        <f>VLOOKUP(Ruimtestaat[[#This Row],[Code]],Locaties[#All],2,FALSE)</f>
        <v>SGC Almelo</v>
      </c>
      <c r="C553" s="281" t="str">
        <f>VLOOKUP(Ruimtestaat[[#This Row],[Code]],Locaties[#All],4,FALSE)</f>
        <v>Slot 31</v>
      </c>
      <c r="D553" s="281" t="str">
        <f>VLOOKUP(Ruimtestaat[[#This Row],[Code]],Locaties[#All],5,FALSE)</f>
        <v>7608 ND</v>
      </c>
      <c r="E553" s="281" t="str">
        <f>VLOOKUP(Ruimtestaat[[#This Row],[Code]],Locaties[#All],6,FALSE)</f>
        <v>Almelo</v>
      </c>
      <c r="F553" s="282"/>
      <c r="G553" s="283" t="s">
        <v>444</v>
      </c>
      <c r="H553" s="280">
        <v>8</v>
      </c>
      <c r="I553" s="282" t="s">
        <v>447</v>
      </c>
      <c r="J553" s="200">
        <v>21</v>
      </c>
      <c r="K553" s="243" t="s">
        <v>109</v>
      </c>
      <c r="L553" s="291" t="s">
        <v>1046</v>
      </c>
      <c r="M553" s="213"/>
      <c r="N553" s="202">
        <v>9.7799999999999994</v>
      </c>
      <c r="O553" s="243" t="str">
        <f>VLOOKUP(Ruimtestaat[[#This Row],[Ruimte code]],Ruimtegroepen[#All],4,FALSE)</f>
        <v>Niet in onderhoud</v>
      </c>
      <c r="P553" s="214"/>
      <c r="Q553" s="215"/>
      <c r="R553" s="215"/>
      <c r="S553" s="215">
        <f>IF(R553&gt;0,IF(RIGHT(Ruimtestaat[[#This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3" s="215">
        <f>IF(S553&gt;0,VLOOKUP($J553,Ruimtegroepen[],3,FALSE)*VLOOKUP($K553,Vloersoorten[],3,FALSE)*VLOOKUP($R553,Frequenties[],3,FALSE)*VLOOKUP($A553,Locaties[],3,FALSE),0)</f>
        <v>0</v>
      </c>
      <c r="U553" s="215">
        <f>Ruimtestaat[[#This Row],[Uitvoeringen werkdagen]]*Ruimtestaat[[#This Row],[Oppervlak (netto)]]</f>
        <v>0</v>
      </c>
      <c r="V553" s="259">
        <f>IF(T553&gt;0,Ruimtestaat[[#This Row],[Prest. (m2 /jaar) werkdagen]]/Ruimtestaat[[#This Row],[Norm (m2/uur) werkdagen]],0)</f>
        <v>0</v>
      </c>
      <c r="W553" s="260">
        <f>Ruimtestaat[[#This Row],[uren / jaar werkdagen]]*Tariefsopbouw!$D$38</f>
        <v>0</v>
      </c>
      <c r="X553" s="33"/>
      <c r="Y553" s="33">
        <f>IF(Ruimtestaat[[#This Row],[Frequentie weekend]]&gt;0,VALUE(LEFT(X553,1))*Q553,0)</f>
        <v>0</v>
      </c>
      <c r="Z553" s="33">
        <f>IF($Y553&gt;0,VLOOKUP($J553,Ruimtegroepen[],3,FALSE)*VLOOKUP($K553,Vloersoorten[],3,FALSE)*VLOOKUP($X553,Frequenties[],3,FALSE)*VLOOKUP(#REF!,Locaties[],3,FALSE),0)</f>
        <v>0</v>
      </c>
      <c r="AA553" s="33"/>
      <c r="AB553" s="33"/>
      <c r="AC553" s="33">
        <f>Ruimtestaat[[#This Row],[uren / jaar weekend]]*Tariefsopbouw!$D$40</f>
        <v>0</v>
      </c>
      <c r="AD553" s="88">
        <f>Ruimtestaat[[#This Row],[Prest. (m2 /jaar) weekend]]+Ruimtestaat[[#This Row],[Prest. (m2 /jaar) werkdagen]]</f>
        <v>0</v>
      </c>
      <c r="AE553" s="88">
        <f>Ruimtestaat[[#This Row],[uren / jaar weekend]]+Ruimtestaat[[#This Row],[uren / jaar werkdagen]]</f>
        <v>0</v>
      </c>
      <c r="AF553" s="89">
        <f>Ruimtestaat[[#This Row],[kosten / jaar weekend]]+Ruimtestaat[[#This Row],[kosten / jaar werkdagen]]</f>
        <v>0</v>
      </c>
    </row>
    <row r="554" spans="1:32" ht="15" customHeight="1">
      <c r="A554" s="280">
        <v>5</v>
      </c>
      <c r="B554" s="21" t="str">
        <f>VLOOKUP(Ruimtestaat[[#This Row],[Code]],Locaties[#All],2,FALSE)</f>
        <v>SGC Almelo</v>
      </c>
      <c r="C554" s="281" t="str">
        <f>VLOOKUP(Ruimtestaat[[#This Row],[Code]],Locaties[#All],4,FALSE)</f>
        <v>Slot 31</v>
      </c>
      <c r="D554" s="281" t="str">
        <f>VLOOKUP(Ruimtestaat[[#This Row],[Code]],Locaties[#All],5,FALSE)</f>
        <v>7608 ND</v>
      </c>
      <c r="E554" s="281" t="str">
        <f>VLOOKUP(Ruimtestaat[[#This Row],[Code]],Locaties[#All],6,FALSE)</f>
        <v>Almelo</v>
      </c>
      <c r="F554" s="282"/>
      <c r="G554" s="283" t="s">
        <v>444</v>
      </c>
      <c r="H554" s="200" t="s">
        <v>891</v>
      </c>
      <c r="I554" s="282" t="s">
        <v>447</v>
      </c>
      <c r="J554" s="200">
        <v>21</v>
      </c>
      <c r="K554" s="243" t="s">
        <v>110</v>
      </c>
      <c r="L554" s="291" t="s">
        <v>132</v>
      </c>
      <c r="M554" s="213"/>
      <c r="N554" s="202">
        <v>9.7799999999999994</v>
      </c>
      <c r="O554" s="243" t="str">
        <f>VLOOKUP(Ruimtestaat[[#This Row],[Ruimte code]],Ruimtegroepen[#All],4,FALSE)</f>
        <v>Niet in onderhoud</v>
      </c>
      <c r="P554" s="214"/>
      <c r="Q554" s="215"/>
      <c r="R554" s="215"/>
      <c r="S554" s="215">
        <f>IF(R554&gt;0,IF(RIGHT(Ruimtestaat[[#This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4" s="215">
        <f>IF(S554&gt;0,VLOOKUP($J554,Ruimtegroepen[],3,FALSE)*VLOOKUP($K554,Vloersoorten[],3,FALSE)*VLOOKUP($R554,Frequenties[],3,FALSE)*VLOOKUP($A554,Locaties[],3,FALSE),0)</f>
        <v>0</v>
      </c>
      <c r="U554" s="215">
        <f>Ruimtestaat[[#This Row],[Uitvoeringen werkdagen]]*Ruimtestaat[[#This Row],[Oppervlak (netto)]]</f>
        <v>0</v>
      </c>
      <c r="V554" s="259">
        <f>IF(T554&gt;0,Ruimtestaat[[#This Row],[Prest. (m2 /jaar) werkdagen]]/Ruimtestaat[[#This Row],[Norm (m2/uur) werkdagen]],0)</f>
        <v>0</v>
      </c>
      <c r="W554" s="260">
        <f>Ruimtestaat[[#This Row],[uren / jaar werkdagen]]*Tariefsopbouw!$D$38</f>
        <v>0</v>
      </c>
      <c r="X554" s="33"/>
      <c r="Y554" s="33">
        <f>IF(Ruimtestaat[[#This Row],[Frequentie weekend]]&gt;0,VALUE(LEFT(X554,1))*Q554,0)</f>
        <v>0</v>
      </c>
      <c r="Z554" s="33">
        <f>IF($Y554&gt;0,VLOOKUP($J554,Ruimtegroepen[],3,FALSE)*VLOOKUP($K554,Vloersoorten[],3,FALSE)*VLOOKUP($X554,Frequenties[],3,FALSE)*VLOOKUP(#REF!,Locaties[],3,FALSE),0)</f>
        <v>0</v>
      </c>
      <c r="AA554" s="33"/>
      <c r="AB554" s="33"/>
      <c r="AC554" s="33">
        <f>Ruimtestaat[[#This Row],[uren / jaar weekend]]*Tariefsopbouw!$D$40</f>
        <v>0</v>
      </c>
      <c r="AD554" s="88">
        <f>Ruimtestaat[[#This Row],[Prest. (m2 /jaar) weekend]]+Ruimtestaat[[#This Row],[Prest. (m2 /jaar) werkdagen]]</f>
        <v>0</v>
      </c>
      <c r="AE554" s="88">
        <f>Ruimtestaat[[#This Row],[uren / jaar weekend]]+Ruimtestaat[[#This Row],[uren / jaar werkdagen]]</f>
        <v>0</v>
      </c>
      <c r="AF554" s="89">
        <f>Ruimtestaat[[#This Row],[kosten / jaar weekend]]+Ruimtestaat[[#This Row],[kosten / jaar werkdagen]]</f>
        <v>0</v>
      </c>
    </row>
    <row r="555" spans="1:32" ht="15" customHeight="1">
      <c r="A555" s="280">
        <v>5</v>
      </c>
      <c r="B555" s="21" t="str">
        <f>VLOOKUP(Ruimtestaat[[#This Row],[Code]],Locaties[#All],2,FALSE)</f>
        <v>SGC Almelo</v>
      </c>
      <c r="C555" s="281" t="str">
        <f>VLOOKUP(Ruimtestaat[[#This Row],[Code]],Locaties[#All],4,FALSE)</f>
        <v>Slot 31</v>
      </c>
      <c r="D555" s="281" t="str">
        <f>VLOOKUP(Ruimtestaat[[#This Row],[Code]],Locaties[#All],5,FALSE)</f>
        <v>7608 ND</v>
      </c>
      <c r="E555" s="281" t="str">
        <f>VLOOKUP(Ruimtestaat[[#This Row],[Code]],Locaties[#All],6,FALSE)</f>
        <v>Almelo</v>
      </c>
      <c r="F555" s="282"/>
      <c r="G555" s="283" t="s">
        <v>444</v>
      </c>
      <c r="H555" s="200" t="s">
        <v>906</v>
      </c>
      <c r="I555" s="282" t="s">
        <v>698</v>
      </c>
      <c r="J555" s="200">
        <v>6</v>
      </c>
      <c r="K555" s="243" t="s">
        <v>111</v>
      </c>
      <c r="L555" s="291" t="s">
        <v>890</v>
      </c>
      <c r="M555" s="213">
        <v>1.62</v>
      </c>
      <c r="N555" s="202"/>
      <c r="O555" s="243" t="str">
        <f>VLOOKUP(Ruimtestaat[[#This Row],[Ruimte code]],Ruimtegroepen[#All],4,FALSE)</f>
        <v>V  (Verkeersruimte)</v>
      </c>
      <c r="P555" s="214"/>
      <c r="Q555" s="215">
        <v>40</v>
      </c>
      <c r="R555" s="215" t="s">
        <v>2</v>
      </c>
      <c r="S555" s="215">
        <f>IF(R555&gt;0,IF(RIGHT(Ruimtestaat[[#This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5" s="215">
        <f>IF(S555&gt;0,VLOOKUP($J555,Ruimtegroepen[],3,FALSE)*VLOOKUP($K555,Vloersoorten[],3,FALSE)*VLOOKUP($R555,Frequenties[],3,FALSE)*VLOOKUP($A555,Locaties[],3,FALSE),0)</f>
        <v>0</v>
      </c>
      <c r="U555" s="215">
        <f>Ruimtestaat[[#This Row],[Uitvoeringen werkdagen]]*Ruimtestaat[[#This Row],[Oppervlak (netto)]]</f>
        <v>324</v>
      </c>
      <c r="V555" s="259">
        <f>IF(T555&gt;0,Ruimtestaat[[#This Row],[Prest. (m2 /jaar) werkdagen]]/Ruimtestaat[[#This Row],[Norm (m2/uur) werkdagen]],0)</f>
        <v>0</v>
      </c>
      <c r="W555" s="260">
        <f>Ruimtestaat[[#This Row],[uren / jaar werkdagen]]*Tariefsopbouw!$D$38</f>
        <v>0</v>
      </c>
      <c r="X555" s="33"/>
      <c r="Y555" s="33">
        <f>IF(Ruimtestaat[[#This Row],[Frequentie weekend]]&gt;0,VALUE(LEFT(X555,1))*Q555,0)</f>
        <v>0</v>
      </c>
      <c r="Z555" s="33">
        <f>IF($Y555&gt;0,VLOOKUP($J555,Ruimtegroepen[],3,FALSE)*VLOOKUP($K555,Vloersoorten[],3,FALSE)*VLOOKUP($X555,Frequenties[],3,FALSE)*VLOOKUP(#REF!,Locaties[],3,FALSE),0)</f>
        <v>0</v>
      </c>
      <c r="AA555" s="33"/>
      <c r="AB555" s="33"/>
      <c r="AC555" s="33">
        <f>Ruimtestaat[[#This Row],[uren / jaar weekend]]*Tariefsopbouw!$D$40</f>
        <v>0</v>
      </c>
      <c r="AD555" s="88">
        <f>Ruimtestaat[[#This Row],[Prest. (m2 /jaar) weekend]]+Ruimtestaat[[#This Row],[Prest. (m2 /jaar) werkdagen]]</f>
        <v>324</v>
      </c>
      <c r="AE555" s="88">
        <f>Ruimtestaat[[#This Row],[uren / jaar weekend]]+Ruimtestaat[[#This Row],[uren / jaar werkdagen]]</f>
        <v>0</v>
      </c>
      <c r="AF555" s="89">
        <f>Ruimtestaat[[#This Row],[kosten / jaar weekend]]+Ruimtestaat[[#This Row],[kosten / jaar werkdagen]]</f>
        <v>0</v>
      </c>
    </row>
    <row r="556" spans="1:32" ht="15" customHeight="1">
      <c r="A556" s="280">
        <v>5</v>
      </c>
      <c r="B556" s="21" t="str">
        <f>VLOOKUP(Ruimtestaat[[#This Row],[Code]],Locaties[#All],2,FALSE)</f>
        <v>SGC Almelo</v>
      </c>
      <c r="C556" s="281" t="str">
        <f>VLOOKUP(Ruimtestaat[[#This Row],[Code]],Locaties[#All],4,FALSE)</f>
        <v>Slot 31</v>
      </c>
      <c r="D556" s="281" t="str">
        <f>VLOOKUP(Ruimtestaat[[#This Row],[Code]],Locaties[#All],5,FALSE)</f>
        <v>7608 ND</v>
      </c>
      <c r="E556" s="281" t="str">
        <f>VLOOKUP(Ruimtestaat[[#This Row],[Code]],Locaties[#All],6,FALSE)</f>
        <v>Almelo</v>
      </c>
      <c r="F556" s="282"/>
      <c r="G556" s="283" t="s">
        <v>444</v>
      </c>
      <c r="H556" s="200" t="s">
        <v>907</v>
      </c>
      <c r="I556" s="282" t="s">
        <v>721</v>
      </c>
      <c r="J556" s="200">
        <v>5</v>
      </c>
      <c r="K556" s="243" t="s">
        <v>111</v>
      </c>
      <c r="L556" s="291" t="s">
        <v>913</v>
      </c>
      <c r="M556" s="213">
        <v>2.2999999999999998</v>
      </c>
      <c r="N556" s="202"/>
      <c r="O556" s="243" t="str">
        <f>VLOOKUP(Ruimtestaat[[#This Row],[Ruimte code]],Ruimtegroepen[#All],4,FALSE)</f>
        <v>S  (Sanitair)</v>
      </c>
      <c r="P556" s="214"/>
      <c r="Q556" s="215">
        <v>40</v>
      </c>
      <c r="R556" s="215" t="s">
        <v>2</v>
      </c>
      <c r="S556" s="215">
        <f>IF(R556&gt;0,IF(RIGHT(Ruimtestaat[[#This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6" s="215">
        <f>IF(S556&gt;0,VLOOKUP($J556,Ruimtegroepen[],3,FALSE)*VLOOKUP($K556,Vloersoorten[],3,FALSE)*VLOOKUP($R556,Frequenties[],3,FALSE)*VLOOKUP($A556,Locaties[],3,FALSE),0)</f>
        <v>0</v>
      </c>
      <c r="U556" s="215">
        <f>Ruimtestaat[[#This Row],[Uitvoeringen werkdagen]]*Ruimtestaat[[#This Row],[Oppervlak (netto)]]</f>
        <v>459.99999999999994</v>
      </c>
      <c r="V556" s="259">
        <f>IF(T556&gt;0,Ruimtestaat[[#This Row],[Prest. (m2 /jaar) werkdagen]]/Ruimtestaat[[#This Row],[Norm (m2/uur) werkdagen]],0)</f>
        <v>0</v>
      </c>
      <c r="W556" s="260">
        <f>Ruimtestaat[[#This Row],[uren / jaar werkdagen]]*Tariefsopbouw!$D$38</f>
        <v>0</v>
      </c>
      <c r="X556" s="33"/>
      <c r="Y556" s="33">
        <f>IF(Ruimtestaat[[#This Row],[Frequentie weekend]]&gt;0,VALUE(LEFT(X556,1))*Q556,0)</f>
        <v>0</v>
      </c>
      <c r="Z556" s="33">
        <f>IF($Y556&gt;0,VLOOKUP($J556,Ruimtegroepen[],3,FALSE)*VLOOKUP($K556,Vloersoorten[],3,FALSE)*VLOOKUP($X556,Frequenties[],3,FALSE)*VLOOKUP(#REF!,Locaties[],3,FALSE),0)</f>
        <v>0</v>
      </c>
      <c r="AA556" s="33"/>
      <c r="AB556" s="33"/>
      <c r="AC556" s="33">
        <f>Ruimtestaat[[#This Row],[uren / jaar weekend]]*Tariefsopbouw!$D$40</f>
        <v>0</v>
      </c>
      <c r="AD556" s="88">
        <f>Ruimtestaat[[#This Row],[Prest. (m2 /jaar) weekend]]+Ruimtestaat[[#This Row],[Prest. (m2 /jaar) werkdagen]]</f>
        <v>459.99999999999994</v>
      </c>
      <c r="AE556" s="88">
        <f>Ruimtestaat[[#This Row],[uren / jaar weekend]]+Ruimtestaat[[#This Row],[uren / jaar werkdagen]]</f>
        <v>0</v>
      </c>
      <c r="AF556" s="89">
        <f>Ruimtestaat[[#This Row],[kosten / jaar weekend]]+Ruimtestaat[[#This Row],[kosten / jaar werkdagen]]</f>
        <v>0</v>
      </c>
    </row>
    <row r="557" spans="1:32" ht="15" customHeight="1">
      <c r="A557" s="280">
        <v>5</v>
      </c>
      <c r="B557" s="21" t="str">
        <f>VLOOKUP(Ruimtestaat[[#This Row],[Code]],Locaties[#All],2,FALSE)</f>
        <v>SGC Almelo</v>
      </c>
      <c r="C557" s="281" t="str">
        <f>VLOOKUP(Ruimtestaat[[#This Row],[Code]],Locaties[#All],4,FALSE)</f>
        <v>Slot 31</v>
      </c>
      <c r="D557" s="281" t="str">
        <f>VLOOKUP(Ruimtestaat[[#This Row],[Code]],Locaties[#All],5,FALSE)</f>
        <v>7608 ND</v>
      </c>
      <c r="E557" s="281" t="str">
        <f>VLOOKUP(Ruimtestaat[[#This Row],[Code]],Locaties[#All],6,FALSE)</f>
        <v>Almelo</v>
      </c>
      <c r="F557" s="282"/>
      <c r="G557" s="283" t="s">
        <v>444</v>
      </c>
      <c r="H557" s="280">
        <v>9</v>
      </c>
      <c r="I557" s="282" t="s">
        <v>750</v>
      </c>
      <c r="J557" s="200">
        <v>16</v>
      </c>
      <c r="K557" s="243" t="s">
        <v>110</v>
      </c>
      <c r="L557" s="291" t="s">
        <v>132</v>
      </c>
      <c r="M557" s="213">
        <v>143.69999999999999</v>
      </c>
      <c r="N557" s="202"/>
      <c r="O557" s="243" t="str">
        <f>VLOOKUP(Ruimtestaat[[#This Row],[Ruimte code]],Ruimtegroepen[#All],4,FALSE)</f>
        <v>L  (Lesruimte)</v>
      </c>
      <c r="P557" s="214"/>
      <c r="Q557" s="215">
        <v>40</v>
      </c>
      <c r="R557" s="215" t="s">
        <v>2</v>
      </c>
      <c r="S557" s="215">
        <f>IF(R557&gt;0,IF(RIGHT(Ruimtestaat[[#This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57" s="215">
        <f>IF(S557&gt;0,VLOOKUP($J557,Ruimtegroepen[],3,FALSE)*VLOOKUP($K557,Vloersoorten[],3,FALSE)*VLOOKUP($R557,Frequenties[],3,FALSE)*VLOOKUP($A557,Locaties[],3,FALSE),0)</f>
        <v>0</v>
      </c>
      <c r="U557" s="215">
        <f>Ruimtestaat[[#This Row],[Uitvoeringen werkdagen]]*Ruimtestaat[[#This Row],[Oppervlak (netto)]]</f>
        <v>28739.999999999996</v>
      </c>
      <c r="V557" s="259">
        <f>IF(T557&gt;0,Ruimtestaat[[#This Row],[Prest. (m2 /jaar) werkdagen]]/Ruimtestaat[[#This Row],[Norm (m2/uur) werkdagen]],0)</f>
        <v>0</v>
      </c>
      <c r="W557" s="260">
        <f>Ruimtestaat[[#This Row],[uren / jaar werkdagen]]*Tariefsopbouw!$D$38</f>
        <v>0</v>
      </c>
      <c r="X557" s="33"/>
      <c r="Y557" s="33">
        <f>IF(Ruimtestaat[[#This Row],[Frequentie weekend]]&gt;0,VALUE(LEFT(X557,1))*Q557,0)</f>
        <v>0</v>
      </c>
      <c r="Z557" s="33">
        <f>IF($Y557&gt;0,VLOOKUP($J557,Ruimtegroepen[],3,FALSE)*VLOOKUP($K557,Vloersoorten[],3,FALSE)*VLOOKUP($X557,Frequenties[],3,FALSE)*VLOOKUP(#REF!,Locaties[],3,FALSE),0)</f>
        <v>0</v>
      </c>
      <c r="AA557" s="33"/>
      <c r="AB557" s="33"/>
      <c r="AC557" s="33">
        <f>Ruimtestaat[[#This Row],[uren / jaar weekend]]*Tariefsopbouw!$D$40</f>
        <v>0</v>
      </c>
      <c r="AD557" s="88">
        <f>Ruimtestaat[[#This Row],[Prest. (m2 /jaar) weekend]]+Ruimtestaat[[#This Row],[Prest. (m2 /jaar) werkdagen]]</f>
        <v>28739.999999999996</v>
      </c>
      <c r="AE557" s="88">
        <f>Ruimtestaat[[#This Row],[uren / jaar weekend]]+Ruimtestaat[[#This Row],[uren / jaar werkdagen]]</f>
        <v>0</v>
      </c>
      <c r="AF557" s="89">
        <f>Ruimtestaat[[#This Row],[kosten / jaar weekend]]+Ruimtestaat[[#This Row],[kosten / jaar werkdagen]]</f>
        <v>0</v>
      </c>
    </row>
    <row r="558" spans="1:32" ht="15" customHeight="1">
      <c r="A558" s="280">
        <v>5</v>
      </c>
      <c r="B558" s="21" t="str">
        <f>VLOOKUP(Ruimtestaat[[#This Row],[Code]],Locaties[#All],2,FALSE)</f>
        <v>SGC Almelo</v>
      </c>
      <c r="C558" s="281" t="str">
        <f>VLOOKUP(Ruimtestaat[[#This Row],[Code]],Locaties[#All],4,FALSE)</f>
        <v>Slot 31</v>
      </c>
      <c r="D558" s="281" t="str">
        <f>VLOOKUP(Ruimtestaat[[#This Row],[Code]],Locaties[#All],5,FALSE)</f>
        <v>7608 ND</v>
      </c>
      <c r="E558" s="281" t="str">
        <f>VLOOKUP(Ruimtestaat[[#This Row],[Code]],Locaties[#All],6,FALSE)</f>
        <v>Almelo</v>
      </c>
      <c r="F558" s="282"/>
      <c r="G558" s="283" t="s">
        <v>444</v>
      </c>
      <c r="H558" s="200" t="s">
        <v>892</v>
      </c>
      <c r="I558" s="282" t="s">
        <v>447</v>
      </c>
      <c r="J558" s="200">
        <v>21</v>
      </c>
      <c r="K558" s="243" t="s">
        <v>110</v>
      </c>
      <c r="L558" s="291" t="s">
        <v>132</v>
      </c>
      <c r="M558" s="213"/>
      <c r="N558" s="202">
        <v>24.28</v>
      </c>
      <c r="O558" s="243" t="str">
        <f>VLOOKUP(Ruimtestaat[[#This Row],[Ruimte code]],Ruimtegroepen[#All],4,FALSE)</f>
        <v>Niet in onderhoud</v>
      </c>
      <c r="P558" s="214"/>
      <c r="Q558" s="215"/>
      <c r="R558" s="215"/>
      <c r="S558" s="215">
        <f>IF(R558&gt;0,IF(RIGHT(Ruimtestaat[[#This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58" s="215">
        <f>IF(S558&gt;0,VLOOKUP($J558,Ruimtegroepen[],3,FALSE)*VLOOKUP($K558,Vloersoorten[],3,FALSE)*VLOOKUP($R558,Frequenties[],3,FALSE)*VLOOKUP($A558,Locaties[],3,FALSE),0)</f>
        <v>0</v>
      </c>
      <c r="U558" s="215">
        <f>Ruimtestaat[[#This Row],[Uitvoeringen werkdagen]]*Ruimtestaat[[#This Row],[Oppervlak (netto)]]</f>
        <v>0</v>
      </c>
      <c r="V558" s="259">
        <f>IF(T558&gt;0,Ruimtestaat[[#This Row],[Prest. (m2 /jaar) werkdagen]]/Ruimtestaat[[#This Row],[Norm (m2/uur) werkdagen]],0)</f>
        <v>0</v>
      </c>
      <c r="W558" s="260">
        <f>Ruimtestaat[[#This Row],[uren / jaar werkdagen]]*Tariefsopbouw!$D$38</f>
        <v>0</v>
      </c>
      <c r="X558" s="33"/>
      <c r="Y558" s="33">
        <f>IF(Ruimtestaat[[#This Row],[Frequentie weekend]]&gt;0,VALUE(LEFT(X558,1))*Q558,0)</f>
        <v>0</v>
      </c>
      <c r="Z558" s="33">
        <f>IF($Y558&gt;0,VLOOKUP($J558,Ruimtegroepen[],3,FALSE)*VLOOKUP($K558,Vloersoorten[],3,FALSE)*VLOOKUP($X558,Frequenties[],3,FALSE)*VLOOKUP(#REF!,Locaties[],3,FALSE),0)</f>
        <v>0</v>
      </c>
      <c r="AA558" s="33"/>
      <c r="AB558" s="33"/>
      <c r="AC558" s="33">
        <f>Ruimtestaat[[#This Row],[uren / jaar weekend]]*Tariefsopbouw!$D$40</f>
        <v>0</v>
      </c>
      <c r="AD558" s="88">
        <f>Ruimtestaat[[#This Row],[Prest. (m2 /jaar) weekend]]+Ruimtestaat[[#This Row],[Prest. (m2 /jaar) werkdagen]]</f>
        <v>0</v>
      </c>
      <c r="AE558" s="88">
        <f>Ruimtestaat[[#This Row],[uren / jaar weekend]]+Ruimtestaat[[#This Row],[uren / jaar werkdagen]]</f>
        <v>0</v>
      </c>
      <c r="AF558" s="89">
        <f>Ruimtestaat[[#This Row],[kosten / jaar weekend]]+Ruimtestaat[[#This Row],[kosten / jaar werkdagen]]</f>
        <v>0</v>
      </c>
    </row>
    <row r="559" spans="1:32" ht="15" customHeight="1">
      <c r="A559" s="280">
        <v>5</v>
      </c>
      <c r="B559" s="21" t="str">
        <f>VLOOKUP(Ruimtestaat[[#This Row],[Code]],Locaties[#All],2,FALSE)</f>
        <v>SGC Almelo</v>
      </c>
      <c r="C559" s="281" t="str">
        <f>VLOOKUP(Ruimtestaat[[#This Row],[Code]],Locaties[#All],4,FALSE)</f>
        <v>Slot 31</v>
      </c>
      <c r="D559" s="281" t="str">
        <f>VLOOKUP(Ruimtestaat[[#This Row],[Code]],Locaties[#All],5,FALSE)</f>
        <v>7608 ND</v>
      </c>
      <c r="E559" s="281" t="str">
        <f>VLOOKUP(Ruimtestaat[[#This Row],[Code]],Locaties[#All],6,FALSE)</f>
        <v>Almelo</v>
      </c>
      <c r="F559" s="282"/>
      <c r="G559" s="283" t="s">
        <v>444</v>
      </c>
      <c r="H559" s="200" t="s">
        <v>908</v>
      </c>
      <c r="I559" s="282" t="s">
        <v>447</v>
      </c>
      <c r="J559" s="200">
        <v>18</v>
      </c>
      <c r="K559" s="243" t="s">
        <v>1042</v>
      </c>
      <c r="L559" s="291" t="s">
        <v>911</v>
      </c>
      <c r="M559" s="213">
        <v>43.72</v>
      </c>
      <c r="N559" s="202"/>
      <c r="O559" s="243" t="str">
        <f>VLOOKUP(Ruimtestaat[[#This Row],[Ruimte code]],Ruimtegroepen[#All],4,FALSE)</f>
        <v>Sp  (Sportruimte)</v>
      </c>
      <c r="P559" s="214"/>
      <c r="Q559" s="215">
        <v>40</v>
      </c>
      <c r="R559" s="215" t="s">
        <v>16</v>
      </c>
      <c r="S559" s="215">
        <f>IF(R559&gt;0,IF(RIGHT(Ruimtestaat[[#This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559" s="215">
        <f>IF(S559&gt;0,VLOOKUP($J559,Ruimtegroepen[],3,FALSE)*VLOOKUP($K559,Vloersoorten[],3,FALSE)*VLOOKUP($R559,Frequenties[],3,FALSE)*VLOOKUP($A559,Locaties[],3,FALSE),0)</f>
        <v>0</v>
      </c>
      <c r="U559" s="215">
        <f>Ruimtestaat[[#This Row],[Uitvoeringen werkdagen]]*Ruimtestaat[[#This Row],[Oppervlak (netto)]]</f>
        <v>524.64</v>
      </c>
      <c r="V559" s="259">
        <f>IF(T559&gt;0,Ruimtestaat[[#This Row],[Prest. (m2 /jaar) werkdagen]]/Ruimtestaat[[#This Row],[Norm (m2/uur) werkdagen]],0)</f>
        <v>0</v>
      </c>
      <c r="W559" s="260">
        <f>Ruimtestaat[[#This Row],[uren / jaar werkdagen]]*Tariefsopbouw!$D$38</f>
        <v>0</v>
      </c>
      <c r="X559" s="33"/>
      <c r="Y559" s="33">
        <f>IF(Ruimtestaat[[#This Row],[Frequentie weekend]]&gt;0,VALUE(LEFT(X559,1))*Q559,0)</f>
        <v>0</v>
      </c>
      <c r="Z559" s="33">
        <f>IF($Y559&gt;0,VLOOKUP($J559,Ruimtegroepen[],3,FALSE)*VLOOKUP($K559,Vloersoorten[],3,FALSE)*VLOOKUP($X559,Frequenties[],3,FALSE)*VLOOKUP(#REF!,Locaties[],3,FALSE),0)</f>
        <v>0</v>
      </c>
      <c r="AA559" s="33"/>
      <c r="AB559" s="33"/>
      <c r="AC559" s="33">
        <f>Ruimtestaat[[#This Row],[uren / jaar weekend]]*Tariefsopbouw!$D$40</f>
        <v>0</v>
      </c>
      <c r="AD559" s="88">
        <f>Ruimtestaat[[#This Row],[Prest. (m2 /jaar) weekend]]+Ruimtestaat[[#This Row],[Prest. (m2 /jaar) werkdagen]]</f>
        <v>524.64</v>
      </c>
      <c r="AE559" s="88">
        <f>Ruimtestaat[[#This Row],[uren / jaar weekend]]+Ruimtestaat[[#This Row],[uren / jaar werkdagen]]</f>
        <v>0</v>
      </c>
      <c r="AF559" s="89">
        <f>Ruimtestaat[[#This Row],[kosten / jaar weekend]]+Ruimtestaat[[#This Row],[kosten / jaar werkdagen]]</f>
        <v>0</v>
      </c>
    </row>
    <row r="560" spans="1:32" ht="15" customHeight="1">
      <c r="A560" s="280">
        <v>5</v>
      </c>
      <c r="B560" s="21" t="str">
        <f>VLOOKUP(Ruimtestaat[[#This Row],[Code]],Locaties[#All],2,FALSE)</f>
        <v>SGC Almelo</v>
      </c>
      <c r="C560" s="281" t="str">
        <f>VLOOKUP(Ruimtestaat[[#This Row],[Code]],Locaties[#All],4,FALSE)</f>
        <v>Slot 31</v>
      </c>
      <c r="D560" s="281" t="str">
        <f>VLOOKUP(Ruimtestaat[[#This Row],[Code]],Locaties[#All],5,FALSE)</f>
        <v>7608 ND</v>
      </c>
      <c r="E560" s="281" t="str">
        <f>VLOOKUP(Ruimtestaat[[#This Row],[Code]],Locaties[#All],6,FALSE)</f>
        <v>Almelo</v>
      </c>
      <c r="F560" s="282"/>
      <c r="G560" s="283" t="s">
        <v>444</v>
      </c>
      <c r="H560" s="200" t="s">
        <v>910</v>
      </c>
      <c r="I560" s="282" t="s">
        <v>447</v>
      </c>
      <c r="J560" s="200">
        <v>21</v>
      </c>
      <c r="K560" s="243" t="s">
        <v>111</v>
      </c>
      <c r="L560" s="291" t="s">
        <v>909</v>
      </c>
      <c r="M560" s="213"/>
      <c r="N560" s="202">
        <v>30.63</v>
      </c>
      <c r="O560" s="243" t="str">
        <f>VLOOKUP(Ruimtestaat[[#This Row],[Ruimte code]],Ruimtegroepen[#All],4,FALSE)</f>
        <v>Niet in onderhoud</v>
      </c>
      <c r="P560" s="214"/>
      <c r="Q560" s="215"/>
      <c r="R560" s="215"/>
      <c r="S560" s="215">
        <f>IF(R560&gt;0,IF(RIGHT(Ruimtestaat[[#This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60" s="215">
        <f>IF(S560&gt;0,VLOOKUP($J560,Ruimtegroepen[],3,FALSE)*VLOOKUP($K560,Vloersoorten[],3,FALSE)*VLOOKUP($R560,Frequenties[],3,FALSE)*VLOOKUP($A560,Locaties[],3,FALSE),0)</f>
        <v>0</v>
      </c>
      <c r="U560" s="215">
        <f>Ruimtestaat[[#This Row],[Uitvoeringen werkdagen]]*Ruimtestaat[[#This Row],[Oppervlak (netto)]]</f>
        <v>0</v>
      </c>
      <c r="V560" s="259">
        <f>IF(T560&gt;0,Ruimtestaat[[#This Row],[Prest. (m2 /jaar) werkdagen]]/Ruimtestaat[[#This Row],[Norm (m2/uur) werkdagen]],0)</f>
        <v>0</v>
      </c>
      <c r="W560" s="260">
        <f>Ruimtestaat[[#This Row],[uren / jaar werkdagen]]*Tariefsopbouw!$D$38</f>
        <v>0</v>
      </c>
      <c r="X560" s="33"/>
      <c r="Y560" s="33">
        <f>IF(Ruimtestaat[[#This Row],[Frequentie weekend]]&gt;0,VALUE(LEFT(X560,1))*Q560,0)</f>
        <v>0</v>
      </c>
      <c r="Z560" s="33">
        <f>IF($Y560&gt;0,VLOOKUP($J560,Ruimtegroepen[],3,FALSE)*VLOOKUP($K560,Vloersoorten[],3,FALSE)*VLOOKUP($X560,Frequenties[],3,FALSE)*VLOOKUP(#REF!,Locaties[],3,FALSE),0)</f>
        <v>0</v>
      </c>
      <c r="AA560" s="33"/>
      <c r="AB560" s="33"/>
      <c r="AC560" s="33">
        <f>Ruimtestaat[[#This Row],[uren / jaar weekend]]*Tariefsopbouw!$D$40</f>
        <v>0</v>
      </c>
      <c r="AD560" s="88">
        <f>Ruimtestaat[[#This Row],[Prest. (m2 /jaar) weekend]]+Ruimtestaat[[#This Row],[Prest. (m2 /jaar) werkdagen]]</f>
        <v>0</v>
      </c>
      <c r="AE560" s="88">
        <f>Ruimtestaat[[#This Row],[uren / jaar weekend]]+Ruimtestaat[[#This Row],[uren / jaar werkdagen]]</f>
        <v>0</v>
      </c>
      <c r="AF560" s="89">
        <f>Ruimtestaat[[#This Row],[kosten / jaar weekend]]+Ruimtestaat[[#This Row],[kosten / jaar werkdagen]]</f>
        <v>0</v>
      </c>
    </row>
    <row r="561" spans="1:32" ht="15" customHeight="1">
      <c r="A561" s="280">
        <v>5</v>
      </c>
      <c r="B561" s="21" t="str">
        <f>VLOOKUP(Ruimtestaat[[#This Row],[Code]],Locaties[#All],2,FALSE)</f>
        <v>SGC Almelo</v>
      </c>
      <c r="C561" s="281" t="str">
        <f>VLOOKUP(Ruimtestaat[[#This Row],[Code]],Locaties[#All],4,FALSE)</f>
        <v>Slot 31</v>
      </c>
      <c r="D561" s="281" t="str">
        <f>VLOOKUP(Ruimtestaat[[#This Row],[Code]],Locaties[#All],5,FALSE)</f>
        <v>7608 ND</v>
      </c>
      <c r="E561" s="281" t="str">
        <f>VLOOKUP(Ruimtestaat[[#This Row],[Code]],Locaties[#All],6,FALSE)</f>
        <v>Almelo</v>
      </c>
      <c r="F561" s="282"/>
      <c r="G561" s="283" t="s">
        <v>444</v>
      </c>
      <c r="H561" s="280" t="s">
        <v>446</v>
      </c>
      <c r="I561" s="282" t="s">
        <v>695</v>
      </c>
      <c r="J561" s="200">
        <v>18</v>
      </c>
      <c r="K561" s="243" t="s">
        <v>1042</v>
      </c>
      <c r="L561" s="291" t="s">
        <v>911</v>
      </c>
      <c r="M561" s="213">
        <v>248.27</v>
      </c>
      <c r="N561" s="202"/>
      <c r="O561" s="243" t="str">
        <f>VLOOKUP(Ruimtestaat[[#This Row],[Ruimte code]],Ruimtegroepen[#All],4,FALSE)</f>
        <v>Sp  (Sportruimte)</v>
      </c>
      <c r="P561" s="214"/>
      <c r="Q561" s="215">
        <v>40</v>
      </c>
      <c r="R561" s="215" t="s">
        <v>2</v>
      </c>
      <c r="S561" s="215">
        <f>IF(R561&gt;0,IF(RIGHT(Ruimtestaat[[#This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1" s="215">
        <f>IF(S561&gt;0,VLOOKUP($J561,Ruimtegroepen[],3,FALSE)*VLOOKUP($K561,Vloersoorten[],3,FALSE)*VLOOKUP($R561,Frequenties[],3,FALSE)*VLOOKUP($A561,Locaties[],3,FALSE),0)</f>
        <v>0</v>
      </c>
      <c r="U561" s="215">
        <f>Ruimtestaat[[#This Row],[Uitvoeringen werkdagen]]*Ruimtestaat[[#This Row],[Oppervlak (netto)]]</f>
        <v>49654</v>
      </c>
      <c r="V561" s="259">
        <f>IF(T561&gt;0,Ruimtestaat[[#This Row],[Prest. (m2 /jaar) werkdagen]]/Ruimtestaat[[#This Row],[Norm (m2/uur) werkdagen]],0)</f>
        <v>0</v>
      </c>
      <c r="W561" s="260">
        <f>Ruimtestaat[[#This Row],[uren / jaar werkdagen]]*Tariefsopbouw!$D$38</f>
        <v>0</v>
      </c>
      <c r="X561" s="33"/>
      <c r="Y561" s="33">
        <f>IF(Ruimtestaat[[#This Row],[Frequentie weekend]]&gt;0,VALUE(LEFT(X561,1))*Q561,0)</f>
        <v>0</v>
      </c>
      <c r="Z561" s="33">
        <f>IF($Y561&gt;0,VLOOKUP($J561,Ruimtegroepen[],3,FALSE)*VLOOKUP($K561,Vloersoorten[],3,FALSE)*VLOOKUP($X561,Frequenties[],3,FALSE)*VLOOKUP(#REF!,Locaties[],3,FALSE),0)</f>
        <v>0</v>
      </c>
      <c r="AA561" s="33"/>
      <c r="AB561" s="33"/>
      <c r="AC561" s="33">
        <f>Ruimtestaat[[#This Row],[uren / jaar weekend]]*Tariefsopbouw!$D$40</f>
        <v>0</v>
      </c>
      <c r="AD561" s="88">
        <f>Ruimtestaat[[#This Row],[Prest. (m2 /jaar) weekend]]+Ruimtestaat[[#This Row],[Prest. (m2 /jaar) werkdagen]]</f>
        <v>49654</v>
      </c>
      <c r="AE561" s="88">
        <f>Ruimtestaat[[#This Row],[uren / jaar weekend]]+Ruimtestaat[[#This Row],[uren / jaar werkdagen]]</f>
        <v>0</v>
      </c>
      <c r="AF561" s="89">
        <f>Ruimtestaat[[#This Row],[kosten / jaar weekend]]+Ruimtestaat[[#This Row],[kosten / jaar werkdagen]]</f>
        <v>0</v>
      </c>
    </row>
    <row r="562" spans="1:32" ht="15" customHeight="1">
      <c r="A562" s="280">
        <v>5</v>
      </c>
      <c r="B562" s="21" t="str">
        <f>VLOOKUP(Ruimtestaat[[#This Row],[Code]],Locaties[#All],2,FALSE)</f>
        <v>SGC Almelo</v>
      </c>
      <c r="C562" s="281" t="str">
        <f>VLOOKUP(Ruimtestaat[[#This Row],[Code]],Locaties[#All],4,FALSE)</f>
        <v>Slot 31</v>
      </c>
      <c r="D562" s="281" t="str">
        <f>VLOOKUP(Ruimtestaat[[#This Row],[Code]],Locaties[#All],5,FALSE)</f>
        <v>7608 ND</v>
      </c>
      <c r="E562" s="281" t="str">
        <f>VLOOKUP(Ruimtestaat[[#This Row],[Code]],Locaties[#All],6,FALSE)</f>
        <v>Almelo</v>
      </c>
      <c r="F562" s="282"/>
      <c r="G562" s="283" t="s">
        <v>444</v>
      </c>
      <c r="H562" s="200" t="s">
        <v>753</v>
      </c>
      <c r="I562" s="282" t="s">
        <v>752</v>
      </c>
      <c r="J562" s="200">
        <v>19</v>
      </c>
      <c r="K562" s="243" t="s">
        <v>111</v>
      </c>
      <c r="L562" s="291" t="s">
        <v>913</v>
      </c>
      <c r="M562" s="213">
        <v>21.54</v>
      </c>
      <c r="N562" s="202"/>
      <c r="O562" s="243" t="str">
        <f>VLOOKUP(Ruimtestaat[[#This Row],[Ruimte code]],Ruimtegroepen[#All],4,FALSE)</f>
        <v>V  (Verkeersruimte)</v>
      </c>
      <c r="P562" s="214"/>
      <c r="Q562" s="215">
        <v>40</v>
      </c>
      <c r="R562" s="215" t="s">
        <v>2</v>
      </c>
      <c r="S562" s="215">
        <f>IF(R562&gt;0,IF(RIGHT(Ruimtestaat[[#This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2" s="215">
        <f>IF(S562&gt;0,VLOOKUP($J562,Ruimtegroepen[],3,FALSE)*VLOOKUP($K562,Vloersoorten[],3,FALSE)*VLOOKUP($R562,Frequenties[],3,FALSE)*VLOOKUP($A562,Locaties[],3,FALSE),0)</f>
        <v>0</v>
      </c>
      <c r="U562" s="215">
        <f>Ruimtestaat[[#This Row],[Uitvoeringen werkdagen]]*Ruimtestaat[[#This Row],[Oppervlak (netto)]]</f>
        <v>4308</v>
      </c>
      <c r="V562" s="259">
        <f>IF(T562&gt;0,Ruimtestaat[[#This Row],[Prest. (m2 /jaar) werkdagen]]/Ruimtestaat[[#This Row],[Norm (m2/uur) werkdagen]],0)</f>
        <v>0</v>
      </c>
      <c r="W562" s="260">
        <f>Ruimtestaat[[#This Row],[uren / jaar werkdagen]]*Tariefsopbouw!$D$38</f>
        <v>0</v>
      </c>
      <c r="X562" s="33"/>
      <c r="Y562" s="33">
        <f>IF(Ruimtestaat[[#This Row],[Frequentie weekend]]&gt;0,VALUE(LEFT(X562,1))*Q562,0)</f>
        <v>0</v>
      </c>
      <c r="Z562" s="33">
        <f>IF($Y562&gt;0,VLOOKUP($J562,Ruimtegroepen[],3,FALSE)*VLOOKUP($K562,Vloersoorten[],3,FALSE)*VLOOKUP($X562,Frequenties[],3,FALSE)*VLOOKUP(#REF!,Locaties[],3,FALSE),0)</f>
        <v>0</v>
      </c>
      <c r="AA562" s="33"/>
      <c r="AB562" s="33"/>
      <c r="AC562" s="33">
        <f>Ruimtestaat[[#This Row],[uren / jaar weekend]]*Tariefsopbouw!$D$40</f>
        <v>0</v>
      </c>
      <c r="AD562" s="88">
        <f>Ruimtestaat[[#This Row],[Prest. (m2 /jaar) weekend]]+Ruimtestaat[[#This Row],[Prest. (m2 /jaar) werkdagen]]</f>
        <v>4308</v>
      </c>
      <c r="AE562" s="88">
        <f>Ruimtestaat[[#This Row],[uren / jaar weekend]]+Ruimtestaat[[#This Row],[uren / jaar werkdagen]]</f>
        <v>0</v>
      </c>
      <c r="AF562" s="89">
        <f>Ruimtestaat[[#This Row],[kosten / jaar weekend]]+Ruimtestaat[[#This Row],[kosten / jaar werkdagen]]</f>
        <v>0</v>
      </c>
    </row>
    <row r="563" spans="1:32" ht="15" customHeight="1">
      <c r="A563" s="280">
        <v>5</v>
      </c>
      <c r="B563" s="21" t="str">
        <f>VLOOKUP(Ruimtestaat[[#This Row],[Code]],Locaties[#All],2,FALSE)</f>
        <v>SGC Almelo</v>
      </c>
      <c r="C563" s="281" t="str">
        <f>VLOOKUP(Ruimtestaat[[#This Row],[Code]],Locaties[#All],4,FALSE)</f>
        <v>Slot 31</v>
      </c>
      <c r="D563" s="281" t="str">
        <f>VLOOKUP(Ruimtestaat[[#This Row],[Code]],Locaties[#All],5,FALSE)</f>
        <v>7608 ND</v>
      </c>
      <c r="E563" s="281" t="str">
        <f>VLOOKUP(Ruimtestaat[[#This Row],[Code]],Locaties[#All],6,FALSE)</f>
        <v>Almelo</v>
      </c>
      <c r="F563" s="282"/>
      <c r="G563" s="283" t="s">
        <v>444</v>
      </c>
      <c r="H563" s="200" t="s">
        <v>912</v>
      </c>
      <c r="I563" s="282" t="s">
        <v>696</v>
      </c>
      <c r="J563" s="200">
        <v>5</v>
      </c>
      <c r="K563" s="243" t="s">
        <v>111</v>
      </c>
      <c r="L563" s="291" t="s">
        <v>913</v>
      </c>
      <c r="M563" s="213">
        <v>18.43</v>
      </c>
      <c r="N563" s="202"/>
      <c r="O563" s="243" t="str">
        <f>VLOOKUP(Ruimtestaat[[#This Row],[Ruimte code]],Ruimtegroepen[#All],4,FALSE)</f>
        <v>S  (Sanitair)</v>
      </c>
      <c r="P563" s="214"/>
      <c r="Q563" s="215">
        <v>40</v>
      </c>
      <c r="R563" s="215" t="s">
        <v>2</v>
      </c>
      <c r="S563" s="215">
        <f>IF(R563&gt;0,IF(RIGHT(Ruimtestaat[[#This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3" s="215">
        <f>IF(S563&gt;0,VLOOKUP($J563,Ruimtegroepen[],3,FALSE)*VLOOKUP($K563,Vloersoorten[],3,FALSE)*VLOOKUP($R563,Frequenties[],3,FALSE)*VLOOKUP($A563,Locaties[],3,FALSE),0)</f>
        <v>0</v>
      </c>
      <c r="U563" s="215">
        <f>Ruimtestaat[[#This Row],[Uitvoeringen werkdagen]]*Ruimtestaat[[#This Row],[Oppervlak (netto)]]</f>
        <v>3686</v>
      </c>
      <c r="V563" s="259">
        <f>IF(T563&gt;0,Ruimtestaat[[#This Row],[Prest. (m2 /jaar) werkdagen]]/Ruimtestaat[[#This Row],[Norm (m2/uur) werkdagen]],0)</f>
        <v>0</v>
      </c>
      <c r="W563" s="260">
        <f>Ruimtestaat[[#This Row],[uren / jaar werkdagen]]*Tariefsopbouw!$D$38</f>
        <v>0</v>
      </c>
      <c r="X563" s="33"/>
      <c r="Y563" s="33">
        <f>IF(Ruimtestaat[[#This Row],[Frequentie weekend]]&gt;0,VALUE(LEFT(X563,1))*Q563,0)</f>
        <v>0</v>
      </c>
      <c r="Z563" s="33">
        <f>IF($Y563&gt;0,VLOOKUP($J563,Ruimtegroepen[],3,FALSE)*VLOOKUP($K563,Vloersoorten[],3,FALSE)*VLOOKUP($X563,Frequenties[],3,FALSE)*VLOOKUP(#REF!,Locaties[],3,FALSE),0)</f>
        <v>0</v>
      </c>
      <c r="AA563" s="33"/>
      <c r="AB563" s="33"/>
      <c r="AC563" s="33">
        <f>Ruimtestaat[[#This Row],[uren / jaar weekend]]*Tariefsopbouw!$D$40</f>
        <v>0</v>
      </c>
      <c r="AD563" s="88">
        <f>Ruimtestaat[[#This Row],[Prest. (m2 /jaar) weekend]]+Ruimtestaat[[#This Row],[Prest. (m2 /jaar) werkdagen]]</f>
        <v>3686</v>
      </c>
      <c r="AE563" s="88">
        <f>Ruimtestaat[[#This Row],[uren / jaar weekend]]+Ruimtestaat[[#This Row],[uren / jaar werkdagen]]</f>
        <v>0</v>
      </c>
      <c r="AF563" s="89">
        <f>Ruimtestaat[[#This Row],[kosten / jaar weekend]]+Ruimtestaat[[#This Row],[kosten / jaar werkdagen]]</f>
        <v>0</v>
      </c>
    </row>
    <row r="564" spans="1:32" ht="15" customHeight="1">
      <c r="A564" s="280">
        <v>5</v>
      </c>
      <c r="B564" s="21" t="str">
        <f>VLOOKUP(Ruimtestaat[[#This Row],[Code]],Locaties[#All],2,FALSE)</f>
        <v>SGC Almelo</v>
      </c>
      <c r="C564" s="281" t="str">
        <f>VLOOKUP(Ruimtestaat[[#This Row],[Code]],Locaties[#All],4,FALSE)</f>
        <v>Slot 31</v>
      </c>
      <c r="D564" s="281" t="str">
        <f>VLOOKUP(Ruimtestaat[[#This Row],[Code]],Locaties[#All],5,FALSE)</f>
        <v>7608 ND</v>
      </c>
      <c r="E564" s="281" t="str">
        <f>VLOOKUP(Ruimtestaat[[#This Row],[Code]],Locaties[#All],6,FALSE)</f>
        <v>Almelo</v>
      </c>
      <c r="F564" s="282"/>
      <c r="G564" s="283" t="s">
        <v>444</v>
      </c>
      <c r="H564" s="280" t="s">
        <v>754</v>
      </c>
      <c r="I564" s="282" t="s">
        <v>721</v>
      </c>
      <c r="J564" s="200">
        <v>5</v>
      </c>
      <c r="K564" s="243" t="s">
        <v>111</v>
      </c>
      <c r="L564" s="291" t="s">
        <v>913</v>
      </c>
      <c r="M564" s="213">
        <v>1.01</v>
      </c>
      <c r="N564" s="202"/>
      <c r="O564" s="243" t="str">
        <f>VLOOKUP(Ruimtestaat[[#This Row],[Ruimte code]],Ruimtegroepen[#All],4,FALSE)</f>
        <v>S  (Sanitair)</v>
      </c>
      <c r="P564" s="214"/>
      <c r="Q564" s="215">
        <v>40</v>
      </c>
      <c r="R564" s="215" t="s">
        <v>2</v>
      </c>
      <c r="S564" s="215">
        <f>IF(R564&gt;0,IF(RIGHT(Ruimtestaat[[#This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4" s="215">
        <f>IF(S564&gt;0,VLOOKUP($J564,Ruimtegroepen[],3,FALSE)*VLOOKUP($K564,Vloersoorten[],3,FALSE)*VLOOKUP($R564,Frequenties[],3,FALSE)*VLOOKUP($A564,Locaties[],3,FALSE),0)</f>
        <v>0</v>
      </c>
      <c r="U564" s="215">
        <f>Ruimtestaat[[#This Row],[Uitvoeringen werkdagen]]*Ruimtestaat[[#This Row],[Oppervlak (netto)]]</f>
        <v>202</v>
      </c>
      <c r="V564" s="259">
        <f>IF(T564&gt;0,Ruimtestaat[[#This Row],[Prest. (m2 /jaar) werkdagen]]/Ruimtestaat[[#This Row],[Norm (m2/uur) werkdagen]],0)</f>
        <v>0</v>
      </c>
      <c r="W564" s="260">
        <f>Ruimtestaat[[#This Row],[uren / jaar werkdagen]]*Tariefsopbouw!$D$38</f>
        <v>0</v>
      </c>
      <c r="X564" s="33"/>
      <c r="Y564" s="33">
        <f>IF(Ruimtestaat[[#This Row],[Frequentie weekend]]&gt;0,VALUE(LEFT(X564,1))*Q564,0)</f>
        <v>0</v>
      </c>
      <c r="Z564" s="33">
        <f>IF($Y564&gt;0,VLOOKUP($J564,Ruimtegroepen[],3,FALSE)*VLOOKUP($K564,Vloersoorten[],3,FALSE)*VLOOKUP($X564,Frequenties[],3,FALSE)*VLOOKUP(#REF!,Locaties[],3,FALSE),0)</f>
        <v>0</v>
      </c>
      <c r="AA564" s="33"/>
      <c r="AB564" s="33"/>
      <c r="AC564" s="33">
        <f>Ruimtestaat[[#This Row],[uren / jaar weekend]]*Tariefsopbouw!$D$40</f>
        <v>0</v>
      </c>
      <c r="AD564" s="88">
        <f>Ruimtestaat[[#This Row],[Prest. (m2 /jaar) weekend]]+Ruimtestaat[[#This Row],[Prest. (m2 /jaar) werkdagen]]</f>
        <v>202</v>
      </c>
      <c r="AE564" s="88">
        <f>Ruimtestaat[[#This Row],[uren / jaar weekend]]+Ruimtestaat[[#This Row],[uren / jaar werkdagen]]</f>
        <v>0</v>
      </c>
      <c r="AF564" s="89">
        <f>Ruimtestaat[[#This Row],[kosten / jaar weekend]]+Ruimtestaat[[#This Row],[kosten / jaar werkdagen]]</f>
        <v>0</v>
      </c>
    </row>
    <row r="565" spans="1:32" ht="15" customHeight="1">
      <c r="A565" s="280">
        <v>5</v>
      </c>
      <c r="B565" s="21" t="str">
        <f>VLOOKUP(Ruimtestaat[[#This Row],[Code]],Locaties[#All],2,FALSE)</f>
        <v>SGC Almelo</v>
      </c>
      <c r="C565" s="281" t="str">
        <f>VLOOKUP(Ruimtestaat[[#This Row],[Code]],Locaties[#All],4,FALSE)</f>
        <v>Slot 31</v>
      </c>
      <c r="D565" s="281" t="str">
        <f>VLOOKUP(Ruimtestaat[[#This Row],[Code]],Locaties[#All],5,FALSE)</f>
        <v>7608 ND</v>
      </c>
      <c r="E565" s="281" t="str">
        <f>VLOOKUP(Ruimtestaat[[#This Row],[Code]],Locaties[#All],6,FALSE)</f>
        <v>Almelo</v>
      </c>
      <c r="F565" s="282"/>
      <c r="G565" s="283" t="s">
        <v>444</v>
      </c>
      <c r="H565" s="280" t="s">
        <v>755</v>
      </c>
      <c r="I565" s="282" t="s">
        <v>696</v>
      </c>
      <c r="J565" s="200">
        <v>5</v>
      </c>
      <c r="K565" s="243" t="s">
        <v>111</v>
      </c>
      <c r="L565" s="291" t="s">
        <v>913</v>
      </c>
      <c r="M565" s="213">
        <v>11.23</v>
      </c>
      <c r="N565" s="202"/>
      <c r="O565" s="243" t="str">
        <f>VLOOKUP(Ruimtestaat[[#This Row],[Ruimte code]],Ruimtegroepen[#All],4,FALSE)</f>
        <v>S  (Sanitair)</v>
      </c>
      <c r="P565" s="214"/>
      <c r="Q565" s="215">
        <v>40</v>
      </c>
      <c r="R565" s="215" t="s">
        <v>2</v>
      </c>
      <c r="S565" s="215">
        <f>IF(R565&gt;0,IF(RIGHT(Ruimtestaat[[#This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5" s="215">
        <f>IF(S565&gt;0,VLOOKUP($J565,Ruimtegroepen[],3,FALSE)*VLOOKUP($K565,Vloersoorten[],3,FALSE)*VLOOKUP($R565,Frequenties[],3,FALSE)*VLOOKUP($A565,Locaties[],3,FALSE),0)</f>
        <v>0</v>
      </c>
      <c r="U565" s="215">
        <f>Ruimtestaat[[#This Row],[Uitvoeringen werkdagen]]*Ruimtestaat[[#This Row],[Oppervlak (netto)]]</f>
        <v>2246</v>
      </c>
      <c r="V565" s="259">
        <f>IF(T565&gt;0,Ruimtestaat[[#This Row],[Prest. (m2 /jaar) werkdagen]]/Ruimtestaat[[#This Row],[Norm (m2/uur) werkdagen]],0)</f>
        <v>0</v>
      </c>
      <c r="W565" s="260">
        <f>Ruimtestaat[[#This Row],[uren / jaar werkdagen]]*Tariefsopbouw!$D$38</f>
        <v>0</v>
      </c>
      <c r="X565" s="33"/>
      <c r="Y565" s="33">
        <f>IF(Ruimtestaat[[#This Row],[Frequentie weekend]]&gt;0,VALUE(LEFT(X565,1))*Q565,0)</f>
        <v>0</v>
      </c>
      <c r="Z565" s="33">
        <f>IF($Y565&gt;0,VLOOKUP($J565,Ruimtegroepen[],3,FALSE)*VLOOKUP($K565,Vloersoorten[],3,FALSE)*VLOOKUP($X565,Frequenties[],3,FALSE)*VLOOKUP(#REF!,Locaties[],3,FALSE),0)</f>
        <v>0</v>
      </c>
      <c r="AA565" s="33"/>
      <c r="AB565" s="33"/>
      <c r="AC565" s="33">
        <f>Ruimtestaat[[#This Row],[uren / jaar weekend]]*Tariefsopbouw!$D$40</f>
        <v>0</v>
      </c>
      <c r="AD565" s="88">
        <f>Ruimtestaat[[#This Row],[Prest. (m2 /jaar) weekend]]+Ruimtestaat[[#This Row],[Prest. (m2 /jaar) werkdagen]]</f>
        <v>2246</v>
      </c>
      <c r="AE565" s="88">
        <f>Ruimtestaat[[#This Row],[uren / jaar weekend]]+Ruimtestaat[[#This Row],[uren / jaar werkdagen]]</f>
        <v>0</v>
      </c>
      <c r="AF565" s="89">
        <f>Ruimtestaat[[#This Row],[kosten / jaar weekend]]+Ruimtestaat[[#This Row],[kosten / jaar werkdagen]]</f>
        <v>0</v>
      </c>
    </row>
    <row r="566" spans="1:32" ht="15" customHeight="1">
      <c r="A566" s="280">
        <v>5</v>
      </c>
      <c r="B566" s="21" t="str">
        <f>VLOOKUP(Ruimtestaat[[#This Row],[Code]],Locaties[#All],2,FALSE)</f>
        <v>SGC Almelo</v>
      </c>
      <c r="C566" s="281" t="str">
        <f>VLOOKUP(Ruimtestaat[[#This Row],[Code]],Locaties[#All],4,FALSE)</f>
        <v>Slot 31</v>
      </c>
      <c r="D566" s="281" t="str">
        <f>VLOOKUP(Ruimtestaat[[#This Row],[Code]],Locaties[#All],5,FALSE)</f>
        <v>7608 ND</v>
      </c>
      <c r="E566" s="281" t="str">
        <f>VLOOKUP(Ruimtestaat[[#This Row],[Code]],Locaties[#All],6,FALSE)</f>
        <v>Almelo</v>
      </c>
      <c r="F566" s="282"/>
      <c r="G566" s="283" t="s">
        <v>444</v>
      </c>
      <c r="H566" s="280" t="s">
        <v>756</v>
      </c>
      <c r="I566" s="282" t="s">
        <v>721</v>
      </c>
      <c r="J566" s="200">
        <v>5</v>
      </c>
      <c r="K566" s="243" t="s">
        <v>111</v>
      </c>
      <c r="L566" s="291" t="s">
        <v>913</v>
      </c>
      <c r="M566" s="213">
        <v>1.01</v>
      </c>
      <c r="N566" s="202"/>
      <c r="O566" s="243" t="str">
        <f>VLOOKUP(Ruimtestaat[[#This Row],[Ruimte code]],Ruimtegroepen[#All],4,FALSE)</f>
        <v>S  (Sanitair)</v>
      </c>
      <c r="P566" s="214"/>
      <c r="Q566" s="215">
        <v>40</v>
      </c>
      <c r="R566" s="215" t="s">
        <v>2</v>
      </c>
      <c r="S566" s="215">
        <f>IF(R566&gt;0,IF(RIGHT(Ruimtestaat[[#This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6" s="215">
        <f>IF(S566&gt;0,VLOOKUP($J566,Ruimtegroepen[],3,FALSE)*VLOOKUP($K566,Vloersoorten[],3,FALSE)*VLOOKUP($R566,Frequenties[],3,FALSE)*VLOOKUP($A566,Locaties[],3,FALSE),0)</f>
        <v>0</v>
      </c>
      <c r="U566" s="215">
        <f>Ruimtestaat[[#This Row],[Uitvoeringen werkdagen]]*Ruimtestaat[[#This Row],[Oppervlak (netto)]]</f>
        <v>202</v>
      </c>
      <c r="V566" s="259">
        <f>IF(T566&gt;0,Ruimtestaat[[#This Row],[Prest. (m2 /jaar) werkdagen]]/Ruimtestaat[[#This Row],[Norm (m2/uur) werkdagen]],0)</f>
        <v>0</v>
      </c>
      <c r="W566" s="260">
        <f>Ruimtestaat[[#This Row],[uren / jaar werkdagen]]*Tariefsopbouw!$D$38</f>
        <v>0</v>
      </c>
      <c r="X566" s="33"/>
      <c r="Y566" s="33">
        <f>IF(Ruimtestaat[[#This Row],[Frequentie weekend]]&gt;0,VALUE(LEFT(X566,1))*Q566,0)</f>
        <v>0</v>
      </c>
      <c r="Z566" s="33">
        <f>IF($Y566&gt;0,VLOOKUP($J566,Ruimtegroepen[],3,FALSE)*VLOOKUP($K566,Vloersoorten[],3,FALSE)*VLOOKUP($X566,Frequenties[],3,FALSE)*VLOOKUP(#REF!,Locaties[],3,FALSE),0)</f>
        <v>0</v>
      </c>
      <c r="AA566" s="33"/>
      <c r="AB566" s="33"/>
      <c r="AC566" s="33">
        <f>Ruimtestaat[[#This Row],[uren / jaar weekend]]*Tariefsopbouw!$D$40</f>
        <v>0</v>
      </c>
      <c r="AD566" s="88">
        <f>Ruimtestaat[[#This Row],[Prest. (m2 /jaar) weekend]]+Ruimtestaat[[#This Row],[Prest. (m2 /jaar) werkdagen]]</f>
        <v>202</v>
      </c>
      <c r="AE566" s="88">
        <f>Ruimtestaat[[#This Row],[uren / jaar weekend]]+Ruimtestaat[[#This Row],[uren / jaar werkdagen]]</f>
        <v>0</v>
      </c>
      <c r="AF566" s="89">
        <f>Ruimtestaat[[#This Row],[kosten / jaar weekend]]+Ruimtestaat[[#This Row],[kosten / jaar werkdagen]]</f>
        <v>0</v>
      </c>
    </row>
    <row r="567" spans="1:32" ht="15" customHeight="1">
      <c r="A567" s="280">
        <v>5</v>
      </c>
      <c r="B567" s="21" t="str">
        <f>VLOOKUP(Ruimtestaat[[#This Row],[Code]],Locaties[#All],2,FALSE)</f>
        <v>SGC Almelo</v>
      </c>
      <c r="C567" s="281" t="str">
        <f>VLOOKUP(Ruimtestaat[[#This Row],[Code]],Locaties[#All],4,FALSE)</f>
        <v>Slot 31</v>
      </c>
      <c r="D567" s="281" t="str">
        <f>VLOOKUP(Ruimtestaat[[#This Row],[Code]],Locaties[#All],5,FALSE)</f>
        <v>7608 ND</v>
      </c>
      <c r="E567" s="281" t="str">
        <f>VLOOKUP(Ruimtestaat[[#This Row],[Code]],Locaties[#All],6,FALSE)</f>
        <v>Almelo</v>
      </c>
      <c r="F567" s="282"/>
      <c r="G567" s="283" t="s">
        <v>444</v>
      </c>
      <c r="H567" s="200" t="s">
        <v>751</v>
      </c>
      <c r="I567" s="282" t="s">
        <v>752</v>
      </c>
      <c r="J567" s="200">
        <v>19</v>
      </c>
      <c r="K567" s="243" t="s">
        <v>111</v>
      </c>
      <c r="L567" s="291" t="s">
        <v>913</v>
      </c>
      <c r="M567" s="213">
        <v>22.21</v>
      </c>
      <c r="N567" s="202"/>
      <c r="O567" s="243" t="str">
        <f>VLOOKUP(Ruimtestaat[[#This Row],[Ruimte code]],Ruimtegroepen[#All],4,FALSE)</f>
        <v>V  (Verkeersruimte)</v>
      </c>
      <c r="P567" s="214"/>
      <c r="Q567" s="215">
        <v>40</v>
      </c>
      <c r="R567" s="215" t="s">
        <v>2</v>
      </c>
      <c r="S567" s="215">
        <f>IF(R567&gt;0,IF(RIGHT(Ruimtestaat[[#This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7" s="215">
        <f>IF(S567&gt;0,VLOOKUP($J567,Ruimtegroepen[],3,FALSE)*VLOOKUP($K567,Vloersoorten[],3,FALSE)*VLOOKUP($R567,Frequenties[],3,FALSE)*VLOOKUP($A567,Locaties[],3,FALSE),0)</f>
        <v>0</v>
      </c>
      <c r="U567" s="215">
        <f>Ruimtestaat[[#This Row],[Uitvoeringen werkdagen]]*Ruimtestaat[[#This Row],[Oppervlak (netto)]]</f>
        <v>4442</v>
      </c>
      <c r="V567" s="259">
        <f>IF(T567&gt;0,Ruimtestaat[[#This Row],[Prest. (m2 /jaar) werkdagen]]/Ruimtestaat[[#This Row],[Norm (m2/uur) werkdagen]],0)</f>
        <v>0</v>
      </c>
      <c r="W567" s="260">
        <f>Ruimtestaat[[#This Row],[uren / jaar werkdagen]]*Tariefsopbouw!$D$38</f>
        <v>0</v>
      </c>
      <c r="X567" s="33"/>
      <c r="Y567" s="33">
        <f>IF(Ruimtestaat[[#This Row],[Frequentie weekend]]&gt;0,VALUE(LEFT(X567,1))*Q567,0)</f>
        <v>0</v>
      </c>
      <c r="Z567" s="33">
        <f>IF($Y567&gt;0,VLOOKUP($J567,Ruimtegroepen[],3,FALSE)*VLOOKUP($K567,Vloersoorten[],3,FALSE)*VLOOKUP($X567,Frequenties[],3,FALSE)*VLOOKUP(#REF!,Locaties[],3,FALSE),0)</f>
        <v>0</v>
      </c>
      <c r="AA567" s="33"/>
      <c r="AB567" s="33"/>
      <c r="AC567" s="33">
        <f>Ruimtestaat[[#This Row],[uren / jaar weekend]]*Tariefsopbouw!$D$40</f>
        <v>0</v>
      </c>
      <c r="AD567" s="88">
        <f>Ruimtestaat[[#This Row],[Prest. (m2 /jaar) weekend]]+Ruimtestaat[[#This Row],[Prest. (m2 /jaar) werkdagen]]</f>
        <v>4442</v>
      </c>
      <c r="AE567" s="88">
        <f>Ruimtestaat[[#This Row],[uren / jaar weekend]]+Ruimtestaat[[#This Row],[uren / jaar werkdagen]]</f>
        <v>0</v>
      </c>
      <c r="AF567" s="89">
        <f>Ruimtestaat[[#This Row],[kosten / jaar weekend]]+Ruimtestaat[[#This Row],[kosten / jaar werkdagen]]</f>
        <v>0</v>
      </c>
    </row>
    <row r="568" spans="1:32" ht="15" customHeight="1">
      <c r="A568" s="280">
        <v>5</v>
      </c>
      <c r="B568" s="21" t="str">
        <f>VLOOKUP(Ruimtestaat[[#This Row],[Code]],Locaties[#All],2,FALSE)</f>
        <v>SGC Almelo</v>
      </c>
      <c r="C568" s="281" t="str">
        <f>VLOOKUP(Ruimtestaat[[#This Row],[Code]],Locaties[#All],4,FALSE)</f>
        <v>Slot 31</v>
      </c>
      <c r="D568" s="281" t="str">
        <f>VLOOKUP(Ruimtestaat[[#This Row],[Code]],Locaties[#All],5,FALSE)</f>
        <v>7608 ND</v>
      </c>
      <c r="E568" s="281" t="str">
        <f>VLOOKUP(Ruimtestaat[[#This Row],[Code]],Locaties[#All],6,FALSE)</f>
        <v>Almelo</v>
      </c>
      <c r="F568" s="282"/>
      <c r="G568" s="283" t="s">
        <v>444</v>
      </c>
      <c r="H568" s="280" t="s">
        <v>739</v>
      </c>
      <c r="I568" s="282" t="s">
        <v>698</v>
      </c>
      <c r="J568" s="200">
        <v>6</v>
      </c>
      <c r="K568" s="243" t="s">
        <v>111</v>
      </c>
      <c r="L568" s="291" t="s">
        <v>913</v>
      </c>
      <c r="M568" s="213">
        <v>5.62</v>
      </c>
      <c r="N568" s="202"/>
      <c r="O568" s="243" t="str">
        <f>VLOOKUP(Ruimtestaat[[#This Row],[Ruimte code]],Ruimtegroepen[#All],4,FALSE)</f>
        <v>V  (Verkeersruimte)</v>
      </c>
      <c r="P568" s="214"/>
      <c r="Q568" s="215">
        <v>40</v>
      </c>
      <c r="R568" s="215" t="s">
        <v>2</v>
      </c>
      <c r="S568" s="215">
        <f>IF(R568&gt;0,IF(RIGHT(Ruimtestaat[[#This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68" s="215">
        <f>IF(S568&gt;0,VLOOKUP($J568,Ruimtegroepen[],3,FALSE)*VLOOKUP($K568,Vloersoorten[],3,FALSE)*VLOOKUP($R568,Frequenties[],3,FALSE)*VLOOKUP($A568,Locaties[],3,FALSE),0)</f>
        <v>0</v>
      </c>
      <c r="U568" s="215">
        <f>Ruimtestaat[[#This Row],[Uitvoeringen werkdagen]]*Ruimtestaat[[#This Row],[Oppervlak (netto)]]</f>
        <v>1124</v>
      </c>
      <c r="V568" s="259">
        <f>IF(T568&gt;0,Ruimtestaat[[#This Row],[Prest. (m2 /jaar) werkdagen]]/Ruimtestaat[[#This Row],[Norm (m2/uur) werkdagen]],0)</f>
        <v>0</v>
      </c>
      <c r="W568" s="260">
        <f>Ruimtestaat[[#This Row],[uren / jaar werkdagen]]*Tariefsopbouw!$D$38</f>
        <v>0</v>
      </c>
      <c r="X568" s="33"/>
      <c r="Y568" s="33">
        <f>IF(Ruimtestaat[[#This Row],[Frequentie weekend]]&gt;0,VALUE(LEFT(X568,1))*Q568,0)</f>
        <v>0</v>
      </c>
      <c r="Z568" s="33">
        <f>IF($Y568&gt;0,VLOOKUP($J568,Ruimtegroepen[],3,FALSE)*VLOOKUP($K568,Vloersoorten[],3,FALSE)*VLOOKUP($X568,Frequenties[],3,FALSE)*VLOOKUP(#REF!,Locaties[],3,FALSE),0)</f>
        <v>0</v>
      </c>
      <c r="AA568" s="33"/>
      <c r="AB568" s="33"/>
      <c r="AC568" s="33">
        <f>Ruimtestaat[[#This Row],[uren / jaar weekend]]*Tariefsopbouw!$D$40</f>
        <v>0</v>
      </c>
      <c r="AD568" s="88">
        <f>Ruimtestaat[[#This Row],[Prest. (m2 /jaar) weekend]]+Ruimtestaat[[#This Row],[Prest. (m2 /jaar) werkdagen]]</f>
        <v>1124</v>
      </c>
      <c r="AE568" s="88">
        <f>Ruimtestaat[[#This Row],[uren / jaar weekend]]+Ruimtestaat[[#This Row],[uren / jaar werkdagen]]</f>
        <v>0</v>
      </c>
      <c r="AF568" s="89">
        <f>Ruimtestaat[[#This Row],[kosten / jaar weekend]]+Ruimtestaat[[#This Row],[kosten / jaar werkdagen]]</f>
        <v>0</v>
      </c>
    </row>
    <row r="569" spans="1:32" ht="15" customHeight="1">
      <c r="A569" s="280">
        <v>5</v>
      </c>
      <c r="B569" s="21" t="str">
        <f>VLOOKUP(Ruimtestaat[[#This Row],[Code]],Locaties[#All],2,FALSE)</f>
        <v>SGC Almelo</v>
      </c>
      <c r="C569" s="281" t="str">
        <f>VLOOKUP(Ruimtestaat[[#This Row],[Code]],Locaties[#All],4,FALSE)</f>
        <v>Slot 31</v>
      </c>
      <c r="D569" s="281" t="str">
        <f>VLOOKUP(Ruimtestaat[[#This Row],[Code]],Locaties[#All],5,FALSE)</f>
        <v>7608 ND</v>
      </c>
      <c r="E569" s="281" t="str">
        <f>VLOOKUP(Ruimtestaat[[#This Row],[Code]],Locaties[#All],6,FALSE)</f>
        <v>Almelo</v>
      </c>
      <c r="F569" s="282"/>
      <c r="G569" s="283" t="s">
        <v>444</v>
      </c>
      <c r="H569" s="280" t="s">
        <v>745</v>
      </c>
      <c r="I569" s="282" t="s">
        <v>693</v>
      </c>
      <c r="J569" s="200">
        <v>2</v>
      </c>
      <c r="K569" s="243" t="s">
        <v>111</v>
      </c>
      <c r="L569" s="291" t="s">
        <v>913</v>
      </c>
      <c r="M569" s="213">
        <v>6.58</v>
      </c>
      <c r="N569" s="202"/>
      <c r="O569" s="243" t="str">
        <f>VLOOKUP(Ruimtestaat[[#This Row],[Ruimte code]],Ruimtegroepen[#All],4,FALSE)</f>
        <v>B  (Bureauruimte)</v>
      </c>
      <c r="P569" s="214"/>
      <c r="Q569" s="215">
        <v>40</v>
      </c>
      <c r="R569" s="215" t="s">
        <v>17</v>
      </c>
      <c r="S569" s="215">
        <f>IF(R569&gt;0,IF(RIGHT(Ruimtestaat[[#This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69" s="215">
        <f>IF(S569&gt;0,VLOOKUP($J569,Ruimtegroepen[],3,FALSE)*VLOOKUP($K569,Vloersoorten[],3,FALSE)*VLOOKUP($R569,Frequenties[],3,FALSE)*VLOOKUP($A569,Locaties[],3,FALSE),0)</f>
        <v>0</v>
      </c>
      <c r="U569" s="215">
        <f>Ruimtestaat[[#This Row],[Uitvoeringen werkdagen]]*Ruimtestaat[[#This Row],[Oppervlak (netto)]]</f>
        <v>526.4</v>
      </c>
      <c r="V569" s="259">
        <f>IF(T569&gt;0,Ruimtestaat[[#This Row],[Prest. (m2 /jaar) werkdagen]]/Ruimtestaat[[#This Row],[Norm (m2/uur) werkdagen]],0)</f>
        <v>0</v>
      </c>
      <c r="W569" s="260">
        <f>Ruimtestaat[[#This Row],[uren / jaar werkdagen]]*Tariefsopbouw!$D$38</f>
        <v>0</v>
      </c>
      <c r="X569" s="33"/>
      <c r="Y569" s="33">
        <f>IF(Ruimtestaat[[#This Row],[Frequentie weekend]]&gt;0,VALUE(LEFT(X569,1))*Q569,0)</f>
        <v>0</v>
      </c>
      <c r="Z569" s="33">
        <f>IF($Y569&gt;0,VLOOKUP($J569,Ruimtegroepen[],3,FALSE)*VLOOKUP($K569,Vloersoorten[],3,FALSE)*VLOOKUP($X569,Frequenties[],3,FALSE)*VLOOKUP(#REF!,Locaties[],3,FALSE),0)</f>
        <v>0</v>
      </c>
      <c r="AA569" s="33"/>
      <c r="AB569" s="33"/>
      <c r="AC569" s="33">
        <f>Ruimtestaat[[#This Row],[uren / jaar weekend]]*Tariefsopbouw!$D$40</f>
        <v>0</v>
      </c>
      <c r="AD569" s="88">
        <f>Ruimtestaat[[#This Row],[Prest. (m2 /jaar) weekend]]+Ruimtestaat[[#This Row],[Prest. (m2 /jaar) werkdagen]]</f>
        <v>526.4</v>
      </c>
      <c r="AE569" s="88">
        <f>Ruimtestaat[[#This Row],[uren / jaar weekend]]+Ruimtestaat[[#This Row],[uren / jaar werkdagen]]</f>
        <v>0</v>
      </c>
      <c r="AF569" s="89">
        <f>Ruimtestaat[[#This Row],[kosten / jaar weekend]]+Ruimtestaat[[#This Row],[kosten / jaar werkdagen]]</f>
        <v>0</v>
      </c>
    </row>
    <row r="570" spans="1:32" ht="15" customHeight="1">
      <c r="A570" s="280">
        <v>5</v>
      </c>
      <c r="B570" s="21" t="str">
        <f>VLOOKUP(Ruimtestaat[[#This Row],[Code]],Locaties[#All],2,FALSE)</f>
        <v>SGC Almelo</v>
      </c>
      <c r="C570" s="281" t="str">
        <f>VLOOKUP(Ruimtestaat[[#This Row],[Code]],Locaties[#All],4,FALSE)</f>
        <v>Slot 31</v>
      </c>
      <c r="D570" s="281" t="str">
        <f>VLOOKUP(Ruimtestaat[[#This Row],[Code]],Locaties[#All],5,FALSE)</f>
        <v>7608 ND</v>
      </c>
      <c r="E570" s="281" t="str">
        <f>VLOOKUP(Ruimtestaat[[#This Row],[Code]],Locaties[#All],6,FALSE)</f>
        <v>Almelo</v>
      </c>
      <c r="F570" s="282"/>
      <c r="G570" s="283" t="s">
        <v>444</v>
      </c>
      <c r="H570" s="280" t="s">
        <v>757</v>
      </c>
      <c r="I570" s="282" t="s">
        <v>758</v>
      </c>
      <c r="J570" s="200">
        <v>5</v>
      </c>
      <c r="K570" s="243" t="s">
        <v>111</v>
      </c>
      <c r="L570" s="291" t="s">
        <v>913</v>
      </c>
      <c r="M570" s="213">
        <v>2.64</v>
      </c>
      <c r="N570" s="202"/>
      <c r="O570" s="243" t="str">
        <f>VLOOKUP(Ruimtestaat[[#This Row],[Ruimte code]],Ruimtegroepen[#All],4,FALSE)</f>
        <v>S  (Sanitair)</v>
      </c>
      <c r="P570" s="214"/>
      <c r="Q570" s="215">
        <v>40</v>
      </c>
      <c r="R570" s="215" t="s">
        <v>2</v>
      </c>
      <c r="S570" s="215">
        <f>IF(R570&gt;0,IF(RIGHT(Ruimtestaat[[#This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0" s="215">
        <f>IF(S570&gt;0,VLOOKUP($J570,Ruimtegroepen[],3,FALSE)*VLOOKUP($K570,Vloersoorten[],3,FALSE)*VLOOKUP($R570,Frequenties[],3,FALSE)*VLOOKUP($A570,Locaties[],3,FALSE),0)</f>
        <v>0</v>
      </c>
      <c r="U570" s="215">
        <f>Ruimtestaat[[#This Row],[Uitvoeringen werkdagen]]*Ruimtestaat[[#This Row],[Oppervlak (netto)]]</f>
        <v>528</v>
      </c>
      <c r="V570" s="259">
        <f>IF(T570&gt;0,Ruimtestaat[[#This Row],[Prest. (m2 /jaar) werkdagen]]/Ruimtestaat[[#This Row],[Norm (m2/uur) werkdagen]],0)</f>
        <v>0</v>
      </c>
      <c r="W570" s="260">
        <f>Ruimtestaat[[#This Row],[uren / jaar werkdagen]]*Tariefsopbouw!$D$38</f>
        <v>0</v>
      </c>
      <c r="X570" s="33"/>
      <c r="Y570" s="33">
        <f>IF(Ruimtestaat[[#This Row],[Frequentie weekend]]&gt;0,VALUE(LEFT(X570,1))*Q570,0)</f>
        <v>0</v>
      </c>
      <c r="Z570" s="33">
        <f>IF($Y570&gt;0,VLOOKUP($J570,Ruimtegroepen[],3,FALSE)*VLOOKUP($K570,Vloersoorten[],3,FALSE)*VLOOKUP($X570,Frequenties[],3,FALSE)*VLOOKUP(#REF!,Locaties[],3,FALSE),0)</f>
        <v>0</v>
      </c>
      <c r="AA570" s="33"/>
      <c r="AB570" s="33"/>
      <c r="AC570" s="33">
        <f>Ruimtestaat[[#This Row],[uren / jaar weekend]]*Tariefsopbouw!$D$40</f>
        <v>0</v>
      </c>
      <c r="AD570" s="88">
        <f>Ruimtestaat[[#This Row],[Prest. (m2 /jaar) weekend]]+Ruimtestaat[[#This Row],[Prest. (m2 /jaar) werkdagen]]</f>
        <v>528</v>
      </c>
      <c r="AE570" s="88">
        <f>Ruimtestaat[[#This Row],[uren / jaar weekend]]+Ruimtestaat[[#This Row],[uren / jaar werkdagen]]</f>
        <v>0</v>
      </c>
      <c r="AF570" s="89">
        <f>Ruimtestaat[[#This Row],[kosten / jaar weekend]]+Ruimtestaat[[#This Row],[kosten / jaar werkdagen]]</f>
        <v>0</v>
      </c>
    </row>
    <row r="571" spans="1:32" ht="15" customHeight="1">
      <c r="A571" s="280">
        <v>5</v>
      </c>
      <c r="B571" s="21" t="str">
        <f>VLOOKUP(Ruimtestaat[[#This Row],[Code]],Locaties[#All],2,FALSE)</f>
        <v>SGC Almelo</v>
      </c>
      <c r="C571" s="281" t="str">
        <f>VLOOKUP(Ruimtestaat[[#This Row],[Code]],Locaties[#All],4,FALSE)</f>
        <v>Slot 31</v>
      </c>
      <c r="D571" s="281" t="str">
        <f>VLOOKUP(Ruimtestaat[[#This Row],[Code]],Locaties[#All],5,FALSE)</f>
        <v>7608 ND</v>
      </c>
      <c r="E571" s="281" t="str">
        <f>VLOOKUP(Ruimtestaat[[#This Row],[Code]],Locaties[#All],6,FALSE)</f>
        <v>Almelo</v>
      </c>
      <c r="F571" s="282"/>
      <c r="G571" s="283" t="s">
        <v>444</v>
      </c>
      <c r="H571" s="280" t="s">
        <v>759</v>
      </c>
      <c r="I571" s="282" t="s">
        <v>469</v>
      </c>
      <c r="J571" s="200">
        <v>6</v>
      </c>
      <c r="K571" s="243" t="s">
        <v>110</v>
      </c>
      <c r="L571" s="291" t="s">
        <v>132</v>
      </c>
      <c r="M571" s="213">
        <v>35.5</v>
      </c>
      <c r="N571" s="202"/>
      <c r="O571" s="243" t="str">
        <f>VLOOKUP(Ruimtestaat[[#This Row],[Ruimte code]],Ruimtegroepen[#All],4,FALSE)</f>
        <v>V  (Verkeersruimte)</v>
      </c>
      <c r="P571" s="214"/>
      <c r="Q571" s="215">
        <v>40</v>
      </c>
      <c r="R571" s="215" t="s">
        <v>2</v>
      </c>
      <c r="S571" s="215">
        <f>IF(R571&gt;0,IF(RIGHT(Ruimtestaat[[#This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1" s="215">
        <f>IF(S571&gt;0,VLOOKUP($J571,Ruimtegroepen[],3,FALSE)*VLOOKUP($K571,Vloersoorten[],3,FALSE)*VLOOKUP($R571,Frequenties[],3,FALSE)*VLOOKUP($A571,Locaties[],3,FALSE),0)</f>
        <v>0</v>
      </c>
      <c r="U571" s="215">
        <f>Ruimtestaat[[#This Row],[Uitvoeringen werkdagen]]*Ruimtestaat[[#This Row],[Oppervlak (netto)]]</f>
        <v>7100</v>
      </c>
      <c r="V571" s="259">
        <f>IF(T571&gt;0,Ruimtestaat[[#This Row],[Prest. (m2 /jaar) werkdagen]]/Ruimtestaat[[#This Row],[Norm (m2/uur) werkdagen]],0)</f>
        <v>0</v>
      </c>
      <c r="W571" s="260">
        <f>Ruimtestaat[[#This Row],[uren / jaar werkdagen]]*Tariefsopbouw!$D$38</f>
        <v>0</v>
      </c>
      <c r="X571" s="33"/>
      <c r="Y571" s="33">
        <f>IF(Ruimtestaat[[#This Row],[Frequentie weekend]]&gt;0,VALUE(LEFT(X571,1))*Q571,0)</f>
        <v>0</v>
      </c>
      <c r="Z571" s="33">
        <f>IF($Y571&gt;0,VLOOKUP($J571,Ruimtegroepen[],3,FALSE)*VLOOKUP($K571,Vloersoorten[],3,FALSE)*VLOOKUP($X571,Frequenties[],3,FALSE)*VLOOKUP(#REF!,Locaties[],3,FALSE),0)</f>
        <v>0</v>
      </c>
      <c r="AA571" s="33"/>
      <c r="AB571" s="33"/>
      <c r="AC571" s="33">
        <f>Ruimtestaat[[#This Row],[uren / jaar weekend]]*Tariefsopbouw!$D$40</f>
        <v>0</v>
      </c>
      <c r="AD571" s="88">
        <f>Ruimtestaat[[#This Row],[Prest. (m2 /jaar) weekend]]+Ruimtestaat[[#This Row],[Prest. (m2 /jaar) werkdagen]]</f>
        <v>7100</v>
      </c>
      <c r="AE571" s="88">
        <f>Ruimtestaat[[#This Row],[uren / jaar weekend]]+Ruimtestaat[[#This Row],[uren / jaar werkdagen]]</f>
        <v>0</v>
      </c>
      <c r="AF571" s="89">
        <f>Ruimtestaat[[#This Row],[kosten / jaar weekend]]+Ruimtestaat[[#This Row],[kosten / jaar werkdagen]]</f>
        <v>0</v>
      </c>
    </row>
    <row r="572" spans="1:32" ht="15" customHeight="1">
      <c r="A572" s="280">
        <v>5</v>
      </c>
      <c r="B572" s="21" t="str">
        <f>VLOOKUP(Ruimtestaat[[#This Row],[Code]],Locaties[#All],2,FALSE)</f>
        <v>SGC Almelo</v>
      </c>
      <c r="C572" s="281" t="str">
        <f>VLOOKUP(Ruimtestaat[[#This Row],[Code]],Locaties[#All],4,FALSE)</f>
        <v>Slot 31</v>
      </c>
      <c r="D572" s="281" t="str">
        <f>VLOOKUP(Ruimtestaat[[#This Row],[Code]],Locaties[#All],5,FALSE)</f>
        <v>7608 ND</v>
      </c>
      <c r="E572" s="281" t="str">
        <f>VLOOKUP(Ruimtestaat[[#This Row],[Code]],Locaties[#All],6,FALSE)</f>
        <v>Almelo</v>
      </c>
      <c r="F572" s="282"/>
      <c r="G572" s="283" t="s">
        <v>444</v>
      </c>
      <c r="H572" s="280" t="s">
        <v>760</v>
      </c>
      <c r="I572" s="282" t="s">
        <v>469</v>
      </c>
      <c r="J572" s="200">
        <v>6</v>
      </c>
      <c r="K572" s="243" t="s">
        <v>110</v>
      </c>
      <c r="L572" s="291" t="s">
        <v>132</v>
      </c>
      <c r="M572" s="213">
        <v>43.02</v>
      </c>
      <c r="N572" s="202"/>
      <c r="O572" s="243" t="str">
        <f>VLOOKUP(Ruimtestaat[[#This Row],[Ruimte code]],Ruimtegroepen[#All],4,FALSE)</f>
        <v>V  (Verkeersruimte)</v>
      </c>
      <c r="P572" s="214"/>
      <c r="Q572" s="215">
        <v>40</v>
      </c>
      <c r="R572" s="215" t="s">
        <v>2</v>
      </c>
      <c r="S572" s="215">
        <f>IF(R572&gt;0,IF(RIGHT(Ruimtestaat[[#This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2" s="215">
        <f>IF(S572&gt;0,VLOOKUP($J572,Ruimtegroepen[],3,FALSE)*VLOOKUP($K572,Vloersoorten[],3,FALSE)*VLOOKUP($R572,Frequenties[],3,FALSE)*VLOOKUP($A572,Locaties[],3,FALSE),0)</f>
        <v>0</v>
      </c>
      <c r="U572" s="215">
        <f>Ruimtestaat[[#This Row],[Uitvoeringen werkdagen]]*Ruimtestaat[[#This Row],[Oppervlak (netto)]]</f>
        <v>8604</v>
      </c>
      <c r="V572" s="259">
        <f>IF(T572&gt;0,Ruimtestaat[[#This Row],[Prest. (m2 /jaar) werkdagen]]/Ruimtestaat[[#This Row],[Norm (m2/uur) werkdagen]],0)</f>
        <v>0</v>
      </c>
      <c r="W572" s="260">
        <f>Ruimtestaat[[#This Row],[uren / jaar werkdagen]]*Tariefsopbouw!$D$38</f>
        <v>0</v>
      </c>
      <c r="X572" s="33"/>
      <c r="Y572" s="33">
        <f>IF(Ruimtestaat[[#This Row],[Frequentie weekend]]&gt;0,VALUE(LEFT(X572,1))*Q572,0)</f>
        <v>0</v>
      </c>
      <c r="Z572" s="33">
        <f>IF($Y572&gt;0,VLOOKUP($J572,Ruimtegroepen[],3,FALSE)*VLOOKUP($K572,Vloersoorten[],3,FALSE)*VLOOKUP($X572,Frequenties[],3,FALSE)*VLOOKUP(#REF!,Locaties[],3,FALSE),0)</f>
        <v>0</v>
      </c>
      <c r="AA572" s="33"/>
      <c r="AB572" s="33"/>
      <c r="AC572" s="33">
        <f>Ruimtestaat[[#This Row],[uren / jaar weekend]]*Tariefsopbouw!$D$40</f>
        <v>0</v>
      </c>
      <c r="AD572" s="88">
        <f>Ruimtestaat[[#This Row],[Prest. (m2 /jaar) weekend]]+Ruimtestaat[[#This Row],[Prest. (m2 /jaar) werkdagen]]</f>
        <v>8604</v>
      </c>
      <c r="AE572" s="88">
        <f>Ruimtestaat[[#This Row],[uren / jaar weekend]]+Ruimtestaat[[#This Row],[uren / jaar werkdagen]]</f>
        <v>0</v>
      </c>
      <c r="AF572" s="89">
        <f>Ruimtestaat[[#This Row],[kosten / jaar weekend]]+Ruimtestaat[[#This Row],[kosten / jaar werkdagen]]</f>
        <v>0</v>
      </c>
    </row>
    <row r="573" spans="1:32" ht="15" customHeight="1">
      <c r="A573" s="280">
        <v>5</v>
      </c>
      <c r="B573" s="21" t="str">
        <f>VLOOKUP(Ruimtestaat[[#This Row],[Code]],Locaties[#All],2,FALSE)</f>
        <v>SGC Almelo</v>
      </c>
      <c r="C573" s="281" t="str">
        <f>VLOOKUP(Ruimtestaat[[#This Row],[Code]],Locaties[#All],4,FALSE)</f>
        <v>Slot 31</v>
      </c>
      <c r="D573" s="281" t="str">
        <f>VLOOKUP(Ruimtestaat[[#This Row],[Code]],Locaties[#All],5,FALSE)</f>
        <v>7608 ND</v>
      </c>
      <c r="E573" s="281" t="str">
        <f>VLOOKUP(Ruimtestaat[[#This Row],[Code]],Locaties[#All],6,FALSE)</f>
        <v>Almelo</v>
      </c>
      <c r="F573" s="282"/>
      <c r="G573" s="283" t="s">
        <v>444</v>
      </c>
      <c r="H573" s="280" t="s">
        <v>448</v>
      </c>
      <c r="I573" s="282" t="s">
        <v>695</v>
      </c>
      <c r="J573" s="200">
        <v>18</v>
      </c>
      <c r="K573" s="243" t="s">
        <v>1042</v>
      </c>
      <c r="L573" s="291" t="s">
        <v>911</v>
      </c>
      <c r="M573" s="213">
        <v>249.85</v>
      </c>
      <c r="N573" s="202"/>
      <c r="O573" s="243" t="str">
        <f>VLOOKUP(Ruimtestaat[[#This Row],[Ruimte code]],Ruimtegroepen[#All],4,FALSE)</f>
        <v>Sp  (Sportruimte)</v>
      </c>
      <c r="P573" s="214"/>
      <c r="Q573" s="215">
        <v>40</v>
      </c>
      <c r="R573" s="215" t="s">
        <v>2</v>
      </c>
      <c r="S573" s="215">
        <f>IF(R573&gt;0,IF(RIGHT(Ruimtestaat[[#This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3" s="215">
        <f>IF(S573&gt;0,VLOOKUP($J573,Ruimtegroepen[],3,FALSE)*VLOOKUP($K573,Vloersoorten[],3,FALSE)*VLOOKUP($R573,Frequenties[],3,FALSE)*VLOOKUP($A573,Locaties[],3,FALSE),0)</f>
        <v>0</v>
      </c>
      <c r="U573" s="215">
        <f>Ruimtestaat[[#This Row],[Uitvoeringen werkdagen]]*Ruimtestaat[[#This Row],[Oppervlak (netto)]]</f>
        <v>49970</v>
      </c>
      <c r="V573" s="259">
        <f>IF(T573&gt;0,Ruimtestaat[[#This Row],[Prest. (m2 /jaar) werkdagen]]/Ruimtestaat[[#This Row],[Norm (m2/uur) werkdagen]],0)</f>
        <v>0</v>
      </c>
      <c r="W573" s="260">
        <f>Ruimtestaat[[#This Row],[uren / jaar werkdagen]]*Tariefsopbouw!$D$38</f>
        <v>0</v>
      </c>
      <c r="X573" s="33"/>
      <c r="Y573" s="33">
        <f>IF(Ruimtestaat[[#This Row],[Frequentie weekend]]&gt;0,VALUE(LEFT(X573,1))*Q573,0)</f>
        <v>0</v>
      </c>
      <c r="Z573" s="33">
        <f>IF($Y573&gt;0,VLOOKUP($J573,Ruimtegroepen[],3,FALSE)*VLOOKUP($K573,Vloersoorten[],3,FALSE)*VLOOKUP($X573,Frequenties[],3,FALSE)*VLOOKUP(#REF!,Locaties[],3,FALSE),0)</f>
        <v>0</v>
      </c>
      <c r="AA573" s="33"/>
      <c r="AB573" s="33"/>
      <c r="AC573" s="33">
        <f>Ruimtestaat[[#This Row],[uren / jaar weekend]]*Tariefsopbouw!$D$40</f>
        <v>0</v>
      </c>
      <c r="AD573" s="88">
        <f>Ruimtestaat[[#This Row],[Prest. (m2 /jaar) weekend]]+Ruimtestaat[[#This Row],[Prest. (m2 /jaar) werkdagen]]</f>
        <v>49970</v>
      </c>
      <c r="AE573" s="88">
        <f>Ruimtestaat[[#This Row],[uren / jaar weekend]]+Ruimtestaat[[#This Row],[uren / jaar werkdagen]]</f>
        <v>0</v>
      </c>
      <c r="AF573" s="89">
        <f>Ruimtestaat[[#This Row],[kosten / jaar weekend]]+Ruimtestaat[[#This Row],[kosten / jaar werkdagen]]</f>
        <v>0</v>
      </c>
    </row>
    <row r="574" spans="1:32" ht="15" customHeight="1">
      <c r="A574" s="280">
        <v>5</v>
      </c>
      <c r="B574" s="21" t="str">
        <f>VLOOKUP(Ruimtestaat[[#This Row],[Code]],Locaties[#All],2,FALSE)</f>
        <v>SGC Almelo</v>
      </c>
      <c r="C574" s="281" t="str">
        <f>VLOOKUP(Ruimtestaat[[#This Row],[Code]],Locaties[#All],4,FALSE)</f>
        <v>Slot 31</v>
      </c>
      <c r="D574" s="281" t="str">
        <f>VLOOKUP(Ruimtestaat[[#This Row],[Code]],Locaties[#All],5,FALSE)</f>
        <v>7608 ND</v>
      </c>
      <c r="E574" s="281" t="str">
        <f>VLOOKUP(Ruimtestaat[[#This Row],[Code]],Locaties[#All],6,FALSE)</f>
        <v>Almelo</v>
      </c>
      <c r="F574" s="282"/>
      <c r="G574" s="283" t="s">
        <v>444</v>
      </c>
      <c r="H574" s="200" t="s">
        <v>761</v>
      </c>
      <c r="I574" s="282" t="s">
        <v>752</v>
      </c>
      <c r="J574" s="200">
        <v>19</v>
      </c>
      <c r="K574" s="243" t="s">
        <v>111</v>
      </c>
      <c r="L574" s="291" t="s">
        <v>913</v>
      </c>
      <c r="M574" s="213">
        <v>23.09</v>
      </c>
      <c r="N574" s="202"/>
      <c r="O574" s="243" t="str">
        <f>VLOOKUP(Ruimtestaat[[#This Row],[Ruimte code]],Ruimtegroepen[#All],4,FALSE)</f>
        <v>V  (Verkeersruimte)</v>
      </c>
      <c r="P574" s="214"/>
      <c r="Q574" s="215">
        <v>40</v>
      </c>
      <c r="R574" s="215" t="s">
        <v>2</v>
      </c>
      <c r="S574" s="215">
        <f>IF(R574&gt;0,IF(RIGHT(Ruimtestaat[[#This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4" s="215">
        <f>IF(S574&gt;0,VLOOKUP($J574,Ruimtegroepen[],3,FALSE)*VLOOKUP($K574,Vloersoorten[],3,FALSE)*VLOOKUP($R574,Frequenties[],3,FALSE)*VLOOKUP($A574,Locaties[],3,FALSE),0)</f>
        <v>0</v>
      </c>
      <c r="U574" s="215">
        <f>Ruimtestaat[[#This Row],[Uitvoeringen werkdagen]]*Ruimtestaat[[#This Row],[Oppervlak (netto)]]</f>
        <v>4618</v>
      </c>
      <c r="V574" s="259">
        <f>IF(T574&gt;0,Ruimtestaat[[#This Row],[Prest. (m2 /jaar) werkdagen]]/Ruimtestaat[[#This Row],[Norm (m2/uur) werkdagen]],0)</f>
        <v>0</v>
      </c>
      <c r="W574" s="260">
        <f>Ruimtestaat[[#This Row],[uren / jaar werkdagen]]*Tariefsopbouw!$D$38</f>
        <v>0</v>
      </c>
      <c r="X574" s="33"/>
      <c r="Y574" s="33">
        <f>IF(Ruimtestaat[[#This Row],[Frequentie weekend]]&gt;0,VALUE(LEFT(X574,1))*Q574,0)</f>
        <v>0</v>
      </c>
      <c r="Z574" s="33">
        <f>IF($Y574&gt;0,VLOOKUP($J574,Ruimtegroepen[],3,FALSE)*VLOOKUP($K574,Vloersoorten[],3,FALSE)*VLOOKUP($X574,Frequenties[],3,FALSE)*VLOOKUP(#REF!,Locaties[],3,FALSE),0)</f>
        <v>0</v>
      </c>
      <c r="AA574" s="33"/>
      <c r="AB574" s="33"/>
      <c r="AC574" s="33">
        <f>Ruimtestaat[[#This Row],[uren / jaar weekend]]*Tariefsopbouw!$D$40</f>
        <v>0</v>
      </c>
      <c r="AD574" s="88">
        <f>Ruimtestaat[[#This Row],[Prest. (m2 /jaar) weekend]]+Ruimtestaat[[#This Row],[Prest. (m2 /jaar) werkdagen]]</f>
        <v>4618</v>
      </c>
      <c r="AE574" s="88">
        <f>Ruimtestaat[[#This Row],[uren / jaar weekend]]+Ruimtestaat[[#This Row],[uren / jaar werkdagen]]</f>
        <v>0</v>
      </c>
      <c r="AF574" s="89">
        <f>Ruimtestaat[[#This Row],[kosten / jaar weekend]]+Ruimtestaat[[#This Row],[kosten / jaar werkdagen]]</f>
        <v>0</v>
      </c>
    </row>
    <row r="575" spans="1:32" ht="15" customHeight="1">
      <c r="A575" s="280">
        <v>5</v>
      </c>
      <c r="B575" s="21" t="str">
        <f>VLOOKUP(Ruimtestaat[[#This Row],[Code]],Locaties[#All],2,FALSE)</f>
        <v>SGC Almelo</v>
      </c>
      <c r="C575" s="281" t="str">
        <f>VLOOKUP(Ruimtestaat[[#This Row],[Code]],Locaties[#All],4,FALSE)</f>
        <v>Slot 31</v>
      </c>
      <c r="D575" s="281" t="str">
        <f>VLOOKUP(Ruimtestaat[[#This Row],[Code]],Locaties[#All],5,FALSE)</f>
        <v>7608 ND</v>
      </c>
      <c r="E575" s="281" t="str">
        <f>VLOOKUP(Ruimtestaat[[#This Row],[Code]],Locaties[#All],6,FALSE)</f>
        <v>Almelo</v>
      </c>
      <c r="F575" s="282"/>
      <c r="G575" s="283" t="s">
        <v>444</v>
      </c>
      <c r="H575" s="280" t="s">
        <v>761</v>
      </c>
      <c r="I575" s="282" t="s">
        <v>696</v>
      </c>
      <c r="J575" s="200">
        <v>5</v>
      </c>
      <c r="K575" s="243" t="s">
        <v>111</v>
      </c>
      <c r="L575" s="291" t="s">
        <v>913</v>
      </c>
      <c r="M575" s="213">
        <v>17.45</v>
      </c>
      <c r="N575" s="202"/>
      <c r="O575" s="243" t="str">
        <f>VLOOKUP(Ruimtestaat[[#This Row],[Ruimte code]],Ruimtegroepen[#All],4,FALSE)</f>
        <v>S  (Sanitair)</v>
      </c>
      <c r="P575" s="214"/>
      <c r="Q575" s="215">
        <v>40</v>
      </c>
      <c r="R575" s="215" t="s">
        <v>2</v>
      </c>
      <c r="S575" s="215">
        <f>IF(R575&gt;0,IF(RIGHT(Ruimtestaat[[#This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5" s="215">
        <f>IF(S575&gt;0,VLOOKUP($J575,Ruimtegroepen[],3,FALSE)*VLOOKUP($K575,Vloersoorten[],3,FALSE)*VLOOKUP($R575,Frequenties[],3,FALSE)*VLOOKUP($A575,Locaties[],3,FALSE),0)</f>
        <v>0</v>
      </c>
      <c r="U575" s="215">
        <f>Ruimtestaat[[#This Row],[Uitvoeringen werkdagen]]*Ruimtestaat[[#This Row],[Oppervlak (netto)]]</f>
        <v>3490</v>
      </c>
      <c r="V575" s="259">
        <f>IF(T575&gt;0,Ruimtestaat[[#This Row],[Prest. (m2 /jaar) werkdagen]]/Ruimtestaat[[#This Row],[Norm (m2/uur) werkdagen]],0)</f>
        <v>0</v>
      </c>
      <c r="W575" s="260">
        <f>Ruimtestaat[[#This Row],[uren / jaar werkdagen]]*Tariefsopbouw!$D$38</f>
        <v>0</v>
      </c>
      <c r="X575" s="33"/>
      <c r="Y575" s="33">
        <f>IF(Ruimtestaat[[#This Row],[Frequentie weekend]]&gt;0,VALUE(LEFT(X575,1))*Q575,0)</f>
        <v>0</v>
      </c>
      <c r="Z575" s="33">
        <f>IF($Y575&gt;0,VLOOKUP($J575,Ruimtegroepen[],3,FALSE)*VLOOKUP($K575,Vloersoorten[],3,FALSE)*VLOOKUP($X575,Frequenties[],3,FALSE)*VLOOKUP(#REF!,Locaties[],3,FALSE),0)</f>
        <v>0</v>
      </c>
      <c r="AA575" s="33"/>
      <c r="AB575" s="33"/>
      <c r="AC575" s="33">
        <f>Ruimtestaat[[#This Row],[uren / jaar weekend]]*Tariefsopbouw!$D$40</f>
        <v>0</v>
      </c>
      <c r="AD575" s="88">
        <f>Ruimtestaat[[#This Row],[Prest. (m2 /jaar) weekend]]+Ruimtestaat[[#This Row],[Prest. (m2 /jaar) werkdagen]]</f>
        <v>3490</v>
      </c>
      <c r="AE575" s="88">
        <f>Ruimtestaat[[#This Row],[uren / jaar weekend]]+Ruimtestaat[[#This Row],[uren / jaar werkdagen]]</f>
        <v>0</v>
      </c>
      <c r="AF575" s="89">
        <f>Ruimtestaat[[#This Row],[kosten / jaar weekend]]+Ruimtestaat[[#This Row],[kosten / jaar werkdagen]]</f>
        <v>0</v>
      </c>
    </row>
    <row r="576" spans="1:32" ht="15" customHeight="1">
      <c r="A576" s="280">
        <v>5</v>
      </c>
      <c r="B576" s="21" t="str">
        <f>VLOOKUP(Ruimtestaat[[#This Row],[Code]],Locaties[#All],2,FALSE)</f>
        <v>SGC Almelo</v>
      </c>
      <c r="C576" s="281" t="str">
        <f>VLOOKUP(Ruimtestaat[[#This Row],[Code]],Locaties[#All],4,FALSE)</f>
        <v>Slot 31</v>
      </c>
      <c r="D576" s="281" t="str">
        <f>VLOOKUP(Ruimtestaat[[#This Row],[Code]],Locaties[#All],5,FALSE)</f>
        <v>7608 ND</v>
      </c>
      <c r="E576" s="281" t="str">
        <f>VLOOKUP(Ruimtestaat[[#This Row],[Code]],Locaties[#All],6,FALSE)</f>
        <v>Almelo</v>
      </c>
      <c r="F576" s="282"/>
      <c r="G576" s="283" t="s">
        <v>444</v>
      </c>
      <c r="H576" s="280" t="s">
        <v>762</v>
      </c>
      <c r="I576" s="282" t="s">
        <v>721</v>
      </c>
      <c r="J576" s="200">
        <v>5</v>
      </c>
      <c r="K576" s="243" t="s">
        <v>111</v>
      </c>
      <c r="L576" s="291" t="s">
        <v>913</v>
      </c>
      <c r="M576" s="213">
        <v>1.01</v>
      </c>
      <c r="N576" s="202"/>
      <c r="O576" s="243" t="str">
        <f>VLOOKUP(Ruimtestaat[[#This Row],[Ruimte code]],Ruimtegroepen[#All],4,FALSE)</f>
        <v>S  (Sanitair)</v>
      </c>
      <c r="P576" s="214"/>
      <c r="Q576" s="215">
        <v>40</v>
      </c>
      <c r="R576" s="215" t="s">
        <v>2</v>
      </c>
      <c r="S576" s="215">
        <f>IF(R576&gt;0,IF(RIGHT(Ruimtestaat[[#This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6" s="215">
        <f>IF(S576&gt;0,VLOOKUP($J576,Ruimtegroepen[],3,FALSE)*VLOOKUP($K576,Vloersoorten[],3,FALSE)*VLOOKUP($R576,Frequenties[],3,FALSE)*VLOOKUP($A576,Locaties[],3,FALSE),0)</f>
        <v>0</v>
      </c>
      <c r="U576" s="215">
        <f>Ruimtestaat[[#This Row],[Uitvoeringen werkdagen]]*Ruimtestaat[[#This Row],[Oppervlak (netto)]]</f>
        <v>202</v>
      </c>
      <c r="V576" s="259">
        <f>IF(T576&gt;0,Ruimtestaat[[#This Row],[Prest. (m2 /jaar) werkdagen]]/Ruimtestaat[[#This Row],[Norm (m2/uur) werkdagen]],0)</f>
        <v>0</v>
      </c>
      <c r="W576" s="260">
        <f>Ruimtestaat[[#This Row],[uren / jaar werkdagen]]*Tariefsopbouw!$D$38</f>
        <v>0</v>
      </c>
      <c r="X576" s="33"/>
      <c r="Y576" s="33">
        <f>IF(Ruimtestaat[[#This Row],[Frequentie weekend]]&gt;0,VALUE(LEFT(X576,1))*Q576,0)</f>
        <v>0</v>
      </c>
      <c r="Z576" s="33">
        <f>IF($Y576&gt;0,VLOOKUP($J576,Ruimtegroepen[],3,FALSE)*VLOOKUP($K576,Vloersoorten[],3,FALSE)*VLOOKUP($X576,Frequenties[],3,FALSE)*VLOOKUP(#REF!,Locaties[],3,FALSE),0)</f>
        <v>0</v>
      </c>
      <c r="AA576" s="33"/>
      <c r="AB576" s="33"/>
      <c r="AC576" s="33">
        <f>Ruimtestaat[[#This Row],[uren / jaar weekend]]*Tariefsopbouw!$D$40</f>
        <v>0</v>
      </c>
      <c r="AD576" s="88">
        <f>Ruimtestaat[[#This Row],[Prest. (m2 /jaar) weekend]]+Ruimtestaat[[#This Row],[Prest. (m2 /jaar) werkdagen]]</f>
        <v>202</v>
      </c>
      <c r="AE576" s="88">
        <f>Ruimtestaat[[#This Row],[uren / jaar weekend]]+Ruimtestaat[[#This Row],[uren / jaar werkdagen]]</f>
        <v>0</v>
      </c>
      <c r="AF576" s="89">
        <f>Ruimtestaat[[#This Row],[kosten / jaar weekend]]+Ruimtestaat[[#This Row],[kosten / jaar werkdagen]]</f>
        <v>0</v>
      </c>
    </row>
    <row r="577" spans="1:32" ht="15" customHeight="1">
      <c r="A577" s="280">
        <v>5</v>
      </c>
      <c r="B577" s="21" t="str">
        <f>VLOOKUP(Ruimtestaat[[#This Row],[Code]],Locaties[#All],2,FALSE)</f>
        <v>SGC Almelo</v>
      </c>
      <c r="C577" s="281" t="str">
        <f>VLOOKUP(Ruimtestaat[[#This Row],[Code]],Locaties[#All],4,FALSE)</f>
        <v>Slot 31</v>
      </c>
      <c r="D577" s="281" t="str">
        <f>VLOOKUP(Ruimtestaat[[#This Row],[Code]],Locaties[#All],5,FALSE)</f>
        <v>7608 ND</v>
      </c>
      <c r="E577" s="281" t="str">
        <f>VLOOKUP(Ruimtestaat[[#This Row],[Code]],Locaties[#All],6,FALSE)</f>
        <v>Almelo</v>
      </c>
      <c r="F577" s="282"/>
      <c r="G577" s="283" t="s">
        <v>444</v>
      </c>
      <c r="H577" s="280" t="s">
        <v>763</v>
      </c>
      <c r="I577" s="282" t="s">
        <v>696</v>
      </c>
      <c r="J577" s="200">
        <v>5</v>
      </c>
      <c r="K577" s="243" t="s">
        <v>111</v>
      </c>
      <c r="L577" s="291" t="s">
        <v>913</v>
      </c>
      <c r="M577" s="213">
        <v>10.59</v>
      </c>
      <c r="N577" s="202"/>
      <c r="O577" s="243" t="str">
        <f>VLOOKUP(Ruimtestaat[[#This Row],[Ruimte code]],Ruimtegroepen[#All],4,FALSE)</f>
        <v>S  (Sanitair)</v>
      </c>
      <c r="P577" s="214"/>
      <c r="Q577" s="215">
        <v>40</v>
      </c>
      <c r="R577" s="215" t="s">
        <v>2</v>
      </c>
      <c r="S577" s="215">
        <f>IF(R577&gt;0,IF(RIGHT(Ruimtestaat[[#This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7" s="215">
        <f>IF(S577&gt;0,VLOOKUP($J577,Ruimtegroepen[],3,FALSE)*VLOOKUP($K577,Vloersoorten[],3,FALSE)*VLOOKUP($R577,Frequenties[],3,FALSE)*VLOOKUP($A577,Locaties[],3,FALSE),0)</f>
        <v>0</v>
      </c>
      <c r="U577" s="215">
        <f>Ruimtestaat[[#This Row],[Uitvoeringen werkdagen]]*Ruimtestaat[[#This Row],[Oppervlak (netto)]]</f>
        <v>2118</v>
      </c>
      <c r="V577" s="259">
        <f>IF(T577&gt;0,Ruimtestaat[[#This Row],[Prest. (m2 /jaar) werkdagen]]/Ruimtestaat[[#This Row],[Norm (m2/uur) werkdagen]],0)</f>
        <v>0</v>
      </c>
      <c r="W577" s="260">
        <f>Ruimtestaat[[#This Row],[uren / jaar werkdagen]]*Tariefsopbouw!$D$38</f>
        <v>0</v>
      </c>
      <c r="X577" s="33"/>
      <c r="Y577" s="33">
        <f>IF(Ruimtestaat[[#This Row],[Frequentie weekend]]&gt;0,VALUE(LEFT(X577,1))*Q577,0)</f>
        <v>0</v>
      </c>
      <c r="Z577" s="33">
        <f>IF($Y577&gt;0,VLOOKUP($J577,Ruimtegroepen[],3,FALSE)*VLOOKUP($K577,Vloersoorten[],3,FALSE)*VLOOKUP($X577,Frequenties[],3,FALSE)*VLOOKUP(#REF!,Locaties[],3,FALSE),0)</f>
        <v>0</v>
      </c>
      <c r="AA577" s="33"/>
      <c r="AB577" s="33"/>
      <c r="AC577" s="33">
        <f>Ruimtestaat[[#This Row],[uren / jaar weekend]]*Tariefsopbouw!$D$40</f>
        <v>0</v>
      </c>
      <c r="AD577" s="88">
        <f>Ruimtestaat[[#This Row],[Prest. (m2 /jaar) weekend]]+Ruimtestaat[[#This Row],[Prest. (m2 /jaar) werkdagen]]</f>
        <v>2118</v>
      </c>
      <c r="AE577" s="88">
        <f>Ruimtestaat[[#This Row],[uren / jaar weekend]]+Ruimtestaat[[#This Row],[uren / jaar werkdagen]]</f>
        <v>0</v>
      </c>
      <c r="AF577" s="89">
        <f>Ruimtestaat[[#This Row],[kosten / jaar weekend]]+Ruimtestaat[[#This Row],[kosten / jaar werkdagen]]</f>
        <v>0</v>
      </c>
    </row>
    <row r="578" spans="1:32" ht="15" customHeight="1">
      <c r="A578" s="280">
        <v>5</v>
      </c>
      <c r="B578" s="21" t="str">
        <f>VLOOKUP(Ruimtestaat[[#This Row],[Code]],Locaties[#All],2,FALSE)</f>
        <v>SGC Almelo</v>
      </c>
      <c r="C578" s="281" t="str">
        <f>VLOOKUP(Ruimtestaat[[#This Row],[Code]],Locaties[#All],4,FALSE)</f>
        <v>Slot 31</v>
      </c>
      <c r="D578" s="281" t="str">
        <f>VLOOKUP(Ruimtestaat[[#This Row],[Code]],Locaties[#All],5,FALSE)</f>
        <v>7608 ND</v>
      </c>
      <c r="E578" s="281" t="str">
        <f>VLOOKUP(Ruimtestaat[[#This Row],[Code]],Locaties[#All],6,FALSE)</f>
        <v>Almelo</v>
      </c>
      <c r="F578" s="282"/>
      <c r="G578" s="283" t="s">
        <v>444</v>
      </c>
      <c r="H578" s="280" t="s">
        <v>764</v>
      </c>
      <c r="I578" s="282" t="s">
        <v>721</v>
      </c>
      <c r="J578" s="200">
        <v>5</v>
      </c>
      <c r="K578" s="243" t="s">
        <v>111</v>
      </c>
      <c r="L578" s="291" t="s">
        <v>913</v>
      </c>
      <c r="M578" s="213">
        <v>1.01</v>
      </c>
      <c r="N578" s="202"/>
      <c r="O578" s="243" t="str">
        <f>VLOOKUP(Ruimtestaat[[#This Row],[Ruimte code]],Ruimtegroepen[#All],4,FALSE)</f>
        <v>S  (Sanitair)</v>
      </c>
      <c r="P578" s="214"/>
      <c r="Q578" s="215">
        <v>40</v>
      </c>
      <c r="R578" s="215" t="s">
        <v>2</v>
      </c>
      <c r="S578" s="215">
        <f>IF(R578&gt;0,IF(RIGHT(Ruimtestaat[[#This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8" s="215">
        <f>IF(S578&gt;0,VLOOKUP($J578,Ruimtegroepen[],3,FALSE)*VLOOKUP($K578,Vloersoorten[],3,FALSE)*VLOOKUP($R578,Frequenties[],3,FALSE)*VLOOKUP($A578,Locaties[],3,FALSE),0)</f>
        <v>0</v>
      </c>
      <c r="U578" s="215">
        <f>Ruimtestaat[[#This Row],[Uitvoeringen werkdagen]]*Ruimtestaat[[#This Row],[Oppervlak (netto)]]</f>
        <v>202</v>
      </c>
      <c r="V578" s="259">
        <f>IF(T578&gt;0,Ruimtestaat[[#This Row],[Prest. (m2 /jaar) werkdagen]]/Ruimtestaat[[#This Row],[Norm (m2/uur) werkdagen]],0)</f>
        <v>0</v>
      </c>
      <c r="W578" s="260">
        <f>Ruimtestaat[[#This Row],[uren / jaar werkdagen]]*Tariefsopbouw!$D$38</f>
        <v>0</v>
      </c>
      <c r="X578" s="33"/>
      <c r="Y578" s="33">
        <f>IF(Ruimtestaat[[#This Row],[Frequentie weekend]]&gt;0,VALUE(LEFT(X578,1))*Q578,0)</f>
        <v>0</v>
      </c>
      <c r="Z578" s="33">
        <f>IF($Y578&gt;0,VLOOKUP($J578,Ruimtegroepen[],3,FALSE)*VLOOKUP($K578,Vloersoorten[],3,FALSE)*VLOOKUP($X578,Frequenties[],3,FALSE)*VLOOKUP(#REF!,Locaties[],3,FALSE),0)</f>
        <v>0</v>
      </c>
      <c r="AA578" s="33"/>
      <c r="AB578" s="33"/>
      <c r="AC578" s="33">
        <f>Ruimtestaat[[#This Row],[uren / jaar weekend]]*Tariefsopbouw!$D$40</f>
        <v>0</v>
      </c>
      <c r="AD578" s="88">
        <f>Ruimtestaat[[#This Row],[Prest. (m2 /jaar) weekend]]+Ruimtestaat[[#This Row],[Prest. (m2 /jaar) werkdagen]]</f>
        <v>202</v>
      </c>
      <c r="AE578" s="88">
        <f>Ruimtestaat[[#This Row],[uren / jaar weekend]]+Ruimtestaat[[#This Row],[uren / jaar werkdagen]]</f>
        <v>0</v>
      </c>
      <c r="AF578" s="89">
        <f>Ruimtestaat[[#This Row],[kosten / jaar weekend]]+Ruimtestaat[[#This Row],[kosten / jaar werkdagen]]</f>
        <v>0</v>
      </c>
    </row>
    <row r="579" spans="1:32" ht="15" customHeight="1">
      <c r="A579" s="280">
        <v>5</v>
      </c>
      <c r="B579" s="21" t="str">
        <f>VLOOKUP(Ruimtestaat[[#This Row],[Code]],Locaties[#All],2,FALSE)</f>
        <v>SGC Almelo</v>
      </c>
      <c r="C579" s="281" t="str">
        <f>VLOOKUP(Ruimtestaat[[#This Row],[Code]],Locaties[#All],4,FALSE)</f>
        <v>Slot 31</v>
      </c>
      <c r="D579" s="281" t="str">
        <f>VLOOKUP(Ruimtestaat[[#This Row],[Code]],Locaties[#All],5,FALSE)</f>
        <v>7608 ND</v>
      </c>
      <c r="E579" s="281" t="str">
        <f>VLOOKUP(Ruimtestaat[[#This Row],[Code]],Locaties[#All],6,FALSE)</f>
        <v>Almelo</v>
      </c>
      <c r="F579" s="282"/>
      <c r="G579" s="283" t="s">
        <v>444</v>
      </c>
      <c r="H579" s="200" t="s">
        <v>746</v>
      </c>
      <c r="I579" s="282" t="s">
        <v>752</v>
      </c>
      <c r="J579" s="200">
        <v>19</v>
      </c>
      <c r="K579" s="243" t="s">
        <v>111</v>
      </c>
      <c r="L579" s="291" t="s">
        <v>913</v>
      </c>
      <c r="M579" s="213">
        <v>23.09</v>
      </c>
      <c r="N579" s="202"/>
      <c r="O579" s="243" t="str">
        <f>VLOOKUP(Ruimtestaat[[#This Row],[Ruimte code]],Ruimtegroepen[#All],4,FALSE)</f>
        <v>V  (Verkeersruimte)</v>
      </c>
      <c r="P579" s="214"/>
      <c r="Q579" s="215">
        <v>40</v>
      </c>
      <c r="R579" s="215" t="s">
        <v>2</v>
      </c>
      <c r="S579" s="215">
        <f>IF(R579&gt;0,IF(RIGHT(Ruimtestaat[[#This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79" s="215">
        <f>IF(S579&gt;0,VLOOKUP($J579,Ruimtegroepen[],3,FALSE)*VLOOKUP($K579,Vloersoorten[],3,FALSE)*VLOOKUP($R579,Frequenties[],3,FALSE)*VLOOKUP($A579,Locaties[],3,FALSE),0)</f>
        <v>0</v>
      </c>
      <c r="U579" s="215">
        <f>Ruimtestaat[[#This Row],[Uitvoeringen werkdagen]]*Ruimtestaat[[#This Row],[Oppervlak (netto)]]</f>
        <v>4618</v>
      </c>
      <c r="V579" s="259">
        <f>IF(T579&gt;0,Ruimtestaat[[#This Row],[Prest. (m2 /jaar) werkdagen]]/Ruimtestaat[[#This Row],[Norm (m2/uur) werkdagen]],0)</f>
        <v>0</v>
      </c>
      <c r="W579" s="260">
        <f>Ruimtestaat[[#This Row],[uren / jaar werkdagen]]*Tariefsopbouw!$D$38</f>
        <v>0</v>
      </c>
      <c r="X579" s="33"/>
      <c r="Y579" s="33">
        <f>IF(Ruimtestaat[[#This Row],[Frequentie weekend]]&gt;0,VALUE(LEFT(X579,1))*Q579,0)</f>
        <v>0</v>
      </c>
      <c r="Z579" s="33">
        <f>IF($Y579&gt;0,VLOOKUP($J579,Ruimtegroepen[],3,FALSE)*VLOOKUP($K579,Vloersoorten[],3,FALSE)*VLOOKUP($X579,Frequenties[],3,FALSE)*VLOOKUP(#REF!,Locaties[],3,FALSE),0)</f>
        <v>0</v>
      </c>
      <c r="AA579" s="33"/>
      <c r="AB579" s="33"/>
      <c r="AC579" s="33">
        <f>Ruimtestaat[[#This Row],[uren / jaar weekend]]*Tariefsopbouw!$D$40</f>
        <v>0</v>
      </c>
      <c r="AD579" s="88">
        <f>Ruimtestaat[[#This Row],[Prest. (m2 /jaar) weekend]]+Ruimtestaat[[#This Row],[Prest. (m2 /jaar) werkdagen]]</f>
        <v>4618</v>
      </c>
      <c r="AE579" s="88">
        <f>Ruimtestaat[[#This Row],[uren / jaar weekend]]+Ruimtestaat[[#This Row],[uren / jaar werkdagen]]</f>
        <v>0</v>
      </c>
      <c r="AF579" s="89">
        <f>Ruimtestaat[[#This Row],[kosten / jaar weekend]]+Ruimtestaat[[#This Row],[kosten / jaar werkdagen]]</f>
        <v>0</v>
      </c>
    </row>
    <row r="580" spans="1:32" ht="15" customHeight="1">
      <c r="A580" s="280">
        <v>5</v>
      </c>
      <c r="B580" s="21" t="str">
        <f>VLOOKUP(Ruimtestaat[[#This Row],[Code]],Locaties[#All],2,FALSE)</f>
        <v>SGC Almelo</v>
      </c>
      <c r="C580" s="281" t="str">
        <f>VLOOKUP(Ruimtestaat[[#This Row],[Code]],Locaties[#All],4,FALSE)</f>
        <v>Slot 31</v>
      </c>
      <c r="D580" s="281" t="str">
        <f>VLOOKUP(Ruimtestaat[[#This Row],[Code]],Locaties[#All],5,FALSE)</f>
        <v>7608 ND</v>
      </c>
      <c r="E580" s="281" t="str">
        <f>VLOOKUP(Ruimtestaat[[#This Row],[Code]],Locaties[#All],6,FALSE)</f>
        <v>Almelo</v>
      </c>
      <c r="F580" s="282"/>
      <c r="G580" s="283" t="s">
        <v>444</v>
      </c>
      <c r="H580" s="280" t="s">
        <v>449</v>
      </c>
      <c r="I580" s="282" t="s">
        <v>487</v>
      </c>
      <c r="J580" s="200">
        <v>2</v>
      </c>
      <c r="K580" s="243" t="s">
        <v>111</v>
      </c>
      <c r="L580" s="291" t="s">
        <v>913</v>
      </c>
      <c r="M580" s="213">
        <v>9.76</v>
      </c>
      <c r="N580" s="202"/>
      <c r="O580" s="243" t="str">
        <f>VLOOKUP(Ruimtestaat[[#This Row],[Ruimte code]],Ruimtegroepen[#All],4,FALSE)</f>
        <v>B  (Bureauruimte)</v>
      </c>
      <c r="P580" s="214"/>
      <c r="Q580" s="215">
        <v>40</v>
      </c>
      <c r="R580" s="215" t="s">
        <v>17</v>
      </c>
      <c r="S580" s="215">
        <f>IF(R580&gt;0,IF(RIGHT(Ruimtestaat[[#This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580" s="215">
        <f>IF(S580&gt;0,VLOOKUP($J580,Ruimtegroepen[],3,FALSE)*VLOOKUP($K580,Vloersoorten[],3,FALSE)*VLOOKUP($R580,Frequenties[],3,FALSE)*VLOOKUP($A580,Locaties[],3,FALSE),0)</f>
        <v>0</v>
      </c>
      <c r="U580" s="215">
        <f>Ruimtestaat[[#This Row],[Uitvoeringen werkdagen]]*Ruimtestaat[[#This Row],[Oppervlak (netto)]]</f>
        <v>780.8</v>
      </c>
      <c r="V580" s="259">
        <f>IF(T580&gt;0,Ruimtestaat[[#This Row],[Prest. (m2 /jaar) werkdagen]]/Ruimtestaat[[#This Row],[Norm (m2/uur) werkdagen]],0)</f>
        <v>0</v>
      </c>
      <c r="W580" s="260">
        <f>Ruimtestaat[[#This Row],[uren / jaar werkdagen]]*Tariefsopbouw!$D$38</f>
        <v>0</v>
      </c>
      <c r="X580" s="33"/>
      <c r="Y580" s="33">
        <f>IF(Ruimtestaat[[#This Row],[Frequentie weekend]]&gt;0,VALUE(LEFT(X580,1))*Q580,0)</f>
        <v>0</v>
      </c>
      <c r="Z580" s="33">
        <f>IF($Y580&gt;0,VLOOKUP($J580,Ruimtegroepen[],3,FALSE)*VLOOKUP($K580,Vloersoorten[],3,FALSE)*VLOOKUP($X580,Frequenties[],3,FALSE)*VLOOKUP(#REF!,Locaties[],3,FALSE),0)</f>
        <v>0</v>
      </c>
      <c r="AA580" s="33"/>
      <c r="AB580" s="33"/>
      <c r="AC580" s="33">
        <f>Ruimtestaat[[#This Row],[uren / jaar weekend]]*Tariefsopbouw!$D$40</f>
        <v>0</v>
      </c>
      <c r="AD580" s="88">
        <f>Ruimtestaat[[#This Row],[Prest. (m2 /jaar) weekend]]+Ruimtestaat[[#This Row],[Prest. (m2 /jaar) werkdagen]]</f>
        <v>780.8</v>
      </c>
      <c r="AE580" s="88">
        <f>Ruimtestaat[[#This Row],[uren / jaar weekend]]+Ruimtestaat[[#This Row],[uren / jaar werkdagen]]</f>
        <v>0</v>
      </c>
      <c r="AF580" s="89">
        <f>Ruimtestaat[[#This Row],[kosten / jaar weekend]]+Ruimtestaat[[#This Row],[kosten / jaar werkdagen]]</f>
        <v>0</v>
      </c>
    </row>
    <row r="581" spans="1:32" ht="15" customHeight="1">
      <c r="A581" s="280">
        <v>5</v>
      </c>
      <c r="B581" s="21" t="str">
        <f>VLOOKUP(Ruimtestaat[[#This Row],[Code]],Locaties[#All],2,FALSE)</f>
        <v>SGC Almelo</v>
      </c>
      <c r="C581" s="281" t="str">
        <f>VLOOKUP(Ruimtestaat[[#This Row],[Code]],Locaties[#All],4,FALSE)</f>
        <v>Slot 31</v>
      </c>
      <c r="D581" s="281" t="str">
        <f>VLOOKUP(Ruimtestaat[[#This Row],[Code]],Locaties[#All],5,FALSE)</f>
        <v>7608 ND</v>
      </c>
      <c r="E581" s="281" t="str">
        <f>VLOOKUP(Ruimtestaat[[#This Row],[Code]],Locaties[#All],6,FALSE)</f>
        <v>Almelo</v>
      </c>
      <c r="F581" s="282"/>
      <c r="G581" s="283" t="s">
        <v>444</v>
      </c>
      <c r="H581" s="280" t="s">
        <v>765</v>
      </c>
      <c r="I581" s="282" t="s">
        <v>447</v>
      </c>
      <c r="J581" s="200">
        <v>21</v>
      </c>
      <c r="K581" s="243" t="s">
        <v>111</v>
      </c>
      <c r="L581" s="291" t="s">
        <v>890</v>
      </c>
      <c r="M581" s="213"/>
      <c r="N581" s="202">
        <v>1.5</v>
      </c>
      <c r="O581" s="243" t="str">
        <f>VLOOKUP(Ruimtestaat[[#This Row],[Ruimte code]],Ruimtegroepen[#All],4,FALSE)</f>
        <v>Niet in onderhoud</v>
      </c>
      <c r="P581" s="214"/>
      <c r="Q581" s="215"/>
      <c r="R581" s="215"/>
      <c r="S581" s="215">
        <f>IF(R581&gt;0,IF(RIGHT(Ruimtestaat[[#This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81" s="215">
        <f>IF(S581&gt;0,VLOOKUP($J581,Ruimtegroepen[],3,FALSE)*VLOOKUP($K581,Vloersoorten[],3,FALSE)*VLOOKUP($R581,Frequenties[],3,FALSE)*VLOOKUP($A581,Locaties[],3,FALSE),0)</f>
        <v>0</v>
      </c>
      <c r="U581" s="215">
        <f>Ruimtestaat[[#This Row],[Uitvoeringen werkdagen]]*Ruimtestaat[[#This Row],[Oppervlak (netto)]]</f>
        <v>0</v>
      </c>
      <c r="V581" s="259">
        <f>IF(T581&gt;0,Ruimtestaat[[#This Row],[Prest. (m2 /jaar) werkdagen]]/Ruimtestaat[[#This Row],[Norm (m2/uur) werkdagen]],0)</f>
        <v>0</v>
      </c>
      <c r="W581" s="260">
        <f>Ruimtestaat[[#This Row],[uren / jaar werkdagen]]*Tariefsopbouw!$D$38</f>
        <v>0</v>
      </c>
      <c r="X581" s="33"/>
      <c r="Y581" s="33">
        <f>IF(Ruimtestaat[[#This Row],[Frequentie weekend]]&gt;0,VALUE(LEFT(X581,1))*Q581,0)</f>
        <v>0</v>
      </c>
      <c r="Z581" s="33">
        <f>IF($Y581&gt;0,VLOOKUP($J581,Ruimtegroepen[],3,FALSE)*VLOOKUP($K581,Vloersoorten[],3,FALSE)*VLOOKUP($X581,Frequenties[],3,FALSE)*VLOOKUP(#REF!,Locaties[],3,FALSE),0)</f>
        <v>0</v>
      </c>
      <c r="AA581" s="33"/>
      <c r="AB581" s="33"/>
      <c r="AC581" s="33">
        <f>Ruimtestaat[[#This Row],[uren / jaar weekend]]*Tariefsopbouw!$D$40</f>
        <v>0</v>
      </c>
      <c r="AD581" s="88">
        <f>Ruimtestaat[[#This Row],[Prest. (m2 /jaar) weekend]]+Ruimtestaat[[#This Row],[Prest. (m2 /jaar) werkdagen]]</f>
        <v>0</v>
      </c>
      <c r="AE581" s="88">
        <f>Ruimtestaat[[#This Row],[uren / jaar weekend]]+Ruimtestaat[[#This Row],[uren / jaar werkdagen]]</f>
        <v>0</v>
      </c>
      <c r="AF581" s="89">
        <f>Ruimtestaat[[#This Row],[kosten / jaar weekend]]+Ruimtestaat[[#This Row],[kosten / jaar werkdagen]]</f>
        <v>0</v>
      </c>
    </row>
    <row r="582" spans="1:32" ht="15" customHeight="1">
      <c r="A582" s="280">
        <v>5</v>
      </c>
      <c r="B582" s="21" t="str">
        <f>VLOOKUP(Ruimtestaat[[#This Row],[Code]],Locaties[#All],2,FALSE)</f>
        <v>SGC Almelo</v>
      </c>
      <c r="C582" s="281" t="str">
        <f>VLOOKUP(Ruimtestaat[[#This Row],[Code]],Locaties[#All],4,FALSE)</f>
        <v>Slot 31</v>
      </c>
      <c r="D582" s="281" t="str">
        <f>VLOOKUP(Ruimtestaat[[#This Row],[Code]],Locaties[#All],5,FALSE)</f>
        <v>7608 ND</v>
      </c>
      <c r="E582" s="281" t="str">
        <f>VLOOKUP(Ruimtestaat[[#This Row],[Code]],Locaties[#All],6,FALSE)</f>
        <v>Almelo</v>
      </c>
      <c r="F582" s="282"/>
      <c r="G582" s="283" t="s">
        <v>444</v>
      </c>
      <c r="H582" s="280" t="s">
        <v>766</v>
      </c>
      <c r="I582" s="282" t="s">
        <v>696</v>
      </c>
      <c r="J582" s="200">
        <v>5</v>
      </c>
      <c r="K582" s="243" t="s">
        <v>111</v>
      </c>
      <c r="L582" s="291" t="s">
        <v>913</v>
      </c>
      <c r="M582" s="213">
        <v>2.85</v>
      </c>
      <c r="N582" s="202"/>
      <c r="O582" s="243" t="str">
        <f>VLOOKUP(Ruimtestaat[[#This Row],[Ruimte code]],Ruimtegroepen[#All],4,FALSE)</f>
        <v>S  (Sanitair)</v>
      </c>
      <c r="P582" s="214"/>
      <c r="Q582" s="215">
        <v>40</v>
      </c>
      <c r="R582" s="215" t="s">
        <v>2</v>
      </c>
      <c r="S582" s="215">
        <f>IF(R582&gt;0,IF(RIGHT(Ruimtestaat[[#This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2" s="215">
        <f>IF(S582&gt;0,VLOOKUP($J582,Ruimtegroepen[],3,FALSE)*VLOOKUP($K582,Vloersoorten[],3,FALSE)*VLOOKUP($R582,Frequenties[],3,FALSE)*VLOOKUP($A582,Locaties[],3,FALSE),0)</f>
        <v>0</v>
      </c>
      <c r="U582" s="215">
        <f>Ruimtestaat[[#This Row],[Uitvoeringen werkdagen]]*Ruimtestaat[[#This Row],[Oppervlak (netto)]]</f>
        <v>570</v>
      </c>
      <c r="V582" s="259">
        <f>IF(T582&gt;0,Ruimtestaat[[#This Row],[Prest. (m2 /jaar) werkdagen]]/Ruimtestaat[[#This Row],[Norm (m2/uur) werkdagen]],0)</f>
        <v>0</v>
      </c>
      <c r="W582" s="260">
        <f>Ruimtestaat[[#This Row],[uren / jaar werkdagen]]*Tariefsopbouw!$D$38</f>
        <v>0</v>
      </c>
      <c r="X582" s="33"/>
      <c r="Y582" s="33">
        <f>IF(Ruimtestaat[[#This Row],[Frequentie weekend]]&gt;0,VALUE(LEFT(X582,1))*Q582,0)</f>
        <v>0</v>
      </c>
      <c r="Z582" s="33">
        <f>IF($Y582&gt;0,VLOOKUP($J582,Ruimtegroepen[],3,FALSE)*VLOOKUP($K582,Vloersoorten[],3,FALSE)*VLOOKUP($X582,Frequenties[],3,FALSE)*VLOOKUP(#REF!,Locaties[],3,FALSE),0)</f>
        <v>0</v>
      </c>
      <c r="AA582" s="33"/>
      <c r="AB582" s="33"/>
      <c r="AC582" s="33">
        <f>Ruimtestaat[[#This Row],[uren / jaar weekend]]*Tariefsopbouw!$D$40</f>
        <v>0</v>
      </c>
      <c r="AD582" s="88">
        <f>Ruimtestaat[[#This Row],[Prest. (m2 /jaar) weekend]]+Ruimtestaat[[#This Row],[Prest. (m2 /jaar) werkdagen]]</f>
        <v>570</v>
      </c>
      <c r="AE582" s="88">
        <f>Ruimtestaat[[#This Row],[uren / jaar weekend]]+Ruimtestaat[[#This Row],[uren / jaar werkdagen]]</f>
        <v>0</v>
      </c>
      <c r="AF582" s="89">
        <f>Ruimtestaat[[#This Row],[kosten / jaar weekend]]+Ruimtestaat[[#This Row],[kosten / jaar werkdagen]]</f>
        <v>0</v>
      </c>
    </row>
    <row r="583" spans="1:32" ht="15" customHeight="1">
      <c r="A583" s="280">
        <v>5</v>
      </c>
      <c r="B583" s="21" t="str">
        <f>VLOOKUP(Ruimtestaat[[#This Row],[Code]],Locaties[#All],2,FALSE)</f>
        <v>SGC Almelo</v>
      </c>
      <c r="C583" s="281" t="str">
        <f>VLOOKUP(Ruimtestaat[[#This Row],[Code]],Locaties[#All],4,FALSE)</f>
        <v>Slot 31</v>
      </c>
      <c r="D583" s="281" t="str">
        <f>VLOOKUP(Ruimtestaat[[#This Row],[Code]],Locaties[#All],5,FALSE)</f>
        <v>7608 ND</v>
      </c>
      <c r="E583" s="281" t="str">
        <f>VLOOKUP(Ruimtestaat[[#This Row],[Code]],Locaties[#All],6,FALSE)</f>
        <v>Almelo</v>
      </c>
      <c r="F583" s="282"/>
      <c r="G583" s="283" t="s">
        <v>444</v>
      </c>
      <c r="H583" s="280" t="s">
        <v>767</v>
      </c>
      <c r="I583" s="282" t="s">
        <v>459</v>
      </c>
      <c r="J583" s="200">
        <v>21</v>
      </c>
      <c r="K583" s="243" t="s">
        <v>111</v>
      </c>
      <c r="L583" s="291" t="s">
        <v>890</v>
      </c>
      <c r="M583" s="213"/>
      <c r="N583" s="213">
        <v>2.0099999999999998</v>
      </c>
      <c r="O583" s="243" t="str">
        <f>VLOOKUP(Ruimtestaat[[#This Row],[Ruimte code]],Ruimtegroepen[#All],4,FALSE)</f>
        <v>Niet in onderhoud</v>
      </c>
      <c r="P583" s="214"/>
      <c r="Q583" s="215"/>
      <c r="R583" s="215"/>
      <c r="S583" s="215">
        <f>IF(R583&gt;0,IF(RIGHT(Ruimtestaat[[#This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83" s="215">
        <f>IF(S583&gt;0,VLOOKUP($J583,Ruimtegroepen[],3,FALSE)*VLOOKUP($K583,Vloersoorten[],3,FALSE)*VLOOKUP($R583,Frequenties[],3,FALSE)*VLOOKUP($A583,Locaties[],3,FALSE),0)</f>
        <v>0</v>
      </c>
      <c r="U583" s="215">
        <f>Ruimtestaat[[#This Row],[Uitvoeringen werkdagen]]*Ruimtestaat[[#This Row],[Oppervlak (netto)]]</f>
        <v>0</v>
      </c>
      <c r="V583" s="259">
        <f>IF(T583&gt;0,Ruimtestaat[[#This Row],[Prest. (m2 /jaar) werkdagen]]/Ruimtestaat[[#This Row],[Norm (m2/uur) werkdagen]],0)</f>
        <v>0</v>
      </c>
      <c r="W583" s="260">
        <f>Ruimtestaat[[#This Row],[uren / jaar werkdagen]]*Tariefsopbouw!$D$38</f>
        <v>0</v>
      </c>
      <c r="X583" s="33"/>
      <c r="Y583" s="33">
        <f>IF(Ruimtestaat[[#This Row],[Frequentie weekend]]&gt;0,VALUE(LEFT(X583,1))*Q583,0)</f>
        <v>0</v>
      </c>
      <c r="Z583" s="33">
        <f>IF($Y583&gt;0,VLOOKUP($J583,Ruimtegroepen[],3,FALSE)*VLOOKUP($K583,Vloersoorten[],3,FALSE)*VLOOKUP($X583,Frequenties[],3,FALSE)*VLOOKUP(#REF!,Locaties[],3,FALSE),0)</f>
        <v>0</v>
      </c>
      <c r="AA583" s="33"/>
      <c r="AB583" s="33"/>
      <c r="AC583" s="33">
        <f>Ruimtestaat[[#This Row],[uren / jaar weekend]]*Tariefsopbouw!$D$40</f>
        <v>0</v>
      </c>
      <c r="AD583" s="88">
        <f>Ruimtestaat[[#This Row],[Prest. (m2 /jaar) weekend]]+Ruimtestaat[[#This Row],[Prest. (m2 /jaar) werkdagen]]</f>
        <v>0</v>
      </c>
      <c r="AE583" s="88">
        <f>Ruimtestaat[[#This Row],[uren / jaar weekend]]+Ruimtestaat[[#This Row],[uren / jaar werkdagen]]</f>
        <v>0</v>
      </c>
      <c r="AF583" s="89">
        <f>Ruimtestaat[[#This Row],[kosten / jaar weekend]]+Ruimtestaat[[#This Row],[kosten / jaar werkdagen]]</f>
        <v>0</v>
      </c>
    </row>
    <row r="584" spans="1:32" ht="15" customHeight="1">
      <c r="A584" s="280">
        <v>5</v>
      </c>
      <c r="B584" s="21" t="str">
        <f>VLOOKUP(Ruimtestaat[[#This Row],[Code]],Locaties[#All],2,FALSE)</f>
        <v>SGC Almelo</v>
      </c>
      <c r="C584" s="281" t="str">
        <f>VLOOKUP(Ruimtestaat[[#This Row],[Code]],Locaties[#All],4,FALSE)</f>
        <v>Slot 31</v>
      </c>
      <c r="D584" s="281" t="str">
        <f>VLOOKUP(Ruimtestaat[[#This Row],[Code]],Locaties[#All],5,FALSE)</f>
        <v>7608 ND</v>
      </c>
      <c r="E584" s="281" t="str">
        <f>VLOOKUP(Ruimtestaat[[#This Row],[Code]],Locaties[#All],6,FALSE)</f>
        <v>Almelo</v>
      </c>
      <c r="F584" s="282"/>
      <c r="G584" s="283" t="s">
        <v>444</v>
      </c>
      <c r="H584" s="280" t="s">
        <v>768</v>
      </c>
      <c r="I584" s="282" t="s">
        <v>552</v>
      </c>
      <c r="J584" s="200">
        <v>21</v>
      </c>
      <c r="K584" s="281"/>
      <c r="L584" s="284"/>
      <c r="M584" s="213"/>
      <c r="N584" s="213">
        <v>0.17</v>
      </c>
      <c r="O584" s="243" t="str">
        <f>VLOOKUP(Ruimtestaat[[#This Row],[Ruimte code]],Ruimtegroepen[#All],4,FALSE)</f>
        <v>Niet in onderhoud</v>
      </c>
      <c r="P584" s="214"/>
      <c r="Q584" s="215"/>
      <c r="R584" s="215"/>
      <c r="S584" s="215">
        <f>IF(R584&gt;0,IF(RIGHT(Ruimtestaat[[#This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84" s="215">
        <f>IF(S584&gt;0,VLOOKUP($J584,Ruimtegroepen[],3,FALSE)*VLOOKUP($K584,Vloersoorten[],3,FALSE)*VLOOKUP($R584,Frequenties[],3,FALSE)*VLOOKUP($A584,Locaties[],3,FALSE),0)</f>
        <v>0</v>
      </c>
      <c r="U584" s="215">
        <f>Ruimtestaat[[#This Row],[Uitvoeringen werkdagen]]*Ruimtestaat[[#This Row],[Oppervlak (netto)]]</f>
        <v>0</v>
      </c>
      <c r="V584" s="259">
        <f>IF(T584&gt;0,Ruimtestaat[[#This Row],[Prest. (m2 /jaar) werkdagen]]/Ruimtestaat[[#This Row],[Norm (m2/uur) werkdagen]],0)</f>
        <v>0</v>
      </c>
      <c r="W584" s="260">
        <f>Ruimtestaat[[#This Row],[uren / jaar werkdagen]]*Tariefsopbouw!$D$38</f>
        <v>0</v>
      </c>
      <c r="X584" s="33"/>
      <c r="Y584" s="33">
        <f>IF(Ruimtestaat[[#This Row],[Frequentie weekend]]&gt;0,VALUE(LEFT(X584,1))*Q584,0)</f>
        <v>0</v>
      </c>
      <c r="Z584" s="33">
        <f>IF($Y584&gt;0,VLOOKUP($J584,Ruimtegroepen[],3,FALSE)*VLOOKUP($K584,Vloersoorten[],3,FALSE)*VLOOKUP($X584,Frequenties[],3,FALSE)*VLOOKUP(#REF!,Locaties[],3,FALSE),0)</f>
        <v>0</v>
      </c>
      <c r="AA584" s="33"/>
      <c r="AB584" s="33"/>
      <c r="AC584" s="33">
        <f>Ruimtestaat[[#This Row],[uren / jaar weekend]]*Tariefsopbouw!$D$40</f>
        <v>0</v>
      </c>
      <c r="AD584" s="88">
        <f>Ruimtestaat[[#This Row],[Prest. (m2 /jaar) weekend]]+Ruimtestaat[[#This Row],[Prest. (m2 /jaar) werkdagen]]</f>
        <v>0</v>
      </c>
      <c r="AE584" s="88">
        <f>Ruimtestaat[[#This Row],[uren / jaar weekend]]+Ruimtestaat[[#This Row],[uren / jaar werkdagen]]</f>
        <v>0</v>
      </c>
      <c r="AF584" s="89">
        <f>Ruimtestaat[[#This Row],[kosten / jaar weekend]]+Ruimtestaat[[#This Row],[kosten / jaar werkdagen]]</f>
        <v>0</v>
      </c>
    </row>
    <row r="585" spans="1:32" ht="15" customHeight="1">
      <c r="A585" s="280">
        <v>5</v>
      </c>
      <c r="B585" s="21" t="str">
        <f>VLOOKUP(Ruimtestaat[[#This Row],[Code]],Locaties[#All],2,FALSE)</f>
        <v>SGC Almelo</v>
      </c>
      <c r="C585" s="281" t="str">
        <f>VLOOKUP(Ruimtestaat[[#This Row],[Code]],Locaties[#All],4,FALSE)</f>
        <v>Slot 31</v>
      </c>
      <c r="D585" s="281" t="str">
        <f>VLOOKUP(Ruimtestaat[[#This Row],[Code]],Locaties[#All],5,FALSE)</f>
        <v>7608 ND</v>
      </c>
      <c r="E585" s="281" t="str">
        <f>VLOOKUP(Ruimtestaat[[#This Row],[Code]],Locaties[#All],6,FALSE)</f>
        <v>Almelo</v>
      </c>
      <c r="F585" s="282"/>
      <c r="G585" s="283" t="s">
        <v>444</v>
      </c>
      <c r="H585" s="280" t="s">
        <v>451</v>
      </c>
      <c r="I585" s="282" t="s">
        <v>447</v>
      </c>
      <c r="J585" s="200">
        <v>18</v>
      </c>
      <c r="K585" s="243" t="s">
        <v>1042</v>
      </c>
      <c r="L585" s="291" t="s">
        <v>911</v>
      </c>
      <c r="M585" s="213">
        <v>38.75</v>
      </c>
      <c r="N585" s="202"/>
      <c r="O585" s="243" t="str">
        <f>VLOOKUP(Ruimtestaat[[#This Row],[Ruimte code]],Ruimtegroepen[#All],4,FALSE)</f>
        <v>Sp  (Sportruimte)</v>
      </c>
      <c r="P585" s="214"/>
      <c r="Q585" s="215">
        <v>40</v>
      </c>
      <c r="R585" s="215" t="s">
        <v>15</v>
      </c>
      <c r="S585" s="215">
        <f>IF(R585&gt;0,IF(RIGHT(Ruimtestaat[[#This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585" s="215">
        <f>IF(S585&gt;0,VLOOKUP($J585,Ruimtegroepen[],3,FALSE)*VLOOKUP($K585,Vloersoorten[],3,FALSE)*VLOOKUP($R585,Frequenties[],3,FALSE)*VLOOKUP($A585,Locaties[],3,FALSE),0)</f>
        <v>0</v>
      </c>
      <c r="U585" s="215">
        <f>Ruimtestaat[[#This Row],[Uitvoeringen werkdagen]]*Ruimtestaat[[#This Row],[Oppervlak (netto)]]</f>
        <v>1550</v>
      </c>
      <c r="V585" s="259">
        <f>IF(T585&gt;0,Ruimtestaat[[#This Row],[Prest. (m2 /jaar) werkdagen]]/Ruimtestaat[[#This Row],[Norm (m2/uur) werkdagen]],0)</f>
        <v>0</v>
      </c>
      <c r="W585" s="260">
        <f>Ruimtestaat[[#This Row],[uren / jaar werkdagen]]*Tariefsopbouw!$D$38</f>
        <v>0</v>
      </c>
      <c r="X585" s="33"/>
      <c r="Y585" s="33">
        <f>IF(Ruimtestaat[[#This Row],[Frequentie weekend]]&gt;0,VALUE(LEFT(X585,1))*Q585,0)</f>
        <v>0</v>
      </c>
      <c r="Z585" s="33">
        <f>IF($Y585&gt;0,VLOOKUP($J585,Ruimtegroepen[],3,FALSE)*VLOOKUP($K585,Vloersoorten[],3,FALSE)*VLOOKUP($X585,Frequenties[],3,FALSE)*VLOOKUP(#REF!,Locaties[],3,FALSE),0)</f>
        <v>0</v>
      </c>
      <c r="AA585" s="33"/>
      <c r="AB585" s="33"/>
      <c r="AC585" s="33">
        <f>Ruimtestaat[[#This Row],[uren / jaar weekend]]*Tariefsopbouw!$D$40</f>
        <v>0</v>
      </c>
      <c r="AD585" s="88">
        <f>Ruimtestaat[[#This Row],[Prest. (m2 /jaar) weekend]]+Ruimtestaat[[#This Row],[Prest. (m2 /jaar) werkdagen]]</f>
        <v>1550</v>
      </c>
      <c r="AE585" s="88">
        <f>Ruimtestaat[[#This Row],[uren / jaar weekend]]+Ruimtestaat[[#This Row],[uren / jaar werkdagen]]</f>
        <v>0</v>
      </c>
      <c r="AF585" s="89">
        <f>Ruimtestaat[[#This Row],[kosten / jaar weekend]]+Ruimtestaat[[#This Row],[kosten / jaar werkdagen]]</f>
        <v>0</v>
      </c>
    </row>
    <row r="586" spans="1:32" ht="15" customHeight="1">
      <c r="A586" s="280">
        <v>5</v>
      </c>
      <c r="B586" s="21" t="str">
        <f>VLOOKUP(Ruimtestaat[[#This Row],[Code]],Locaties[#All],2,FALSE)</f>
        <v>SGC Almelo</v>
      </c>
      <c r="C586" s="281" t="str">
        <f>VLOOKUP(Ruimtestaat[[#This Row],[Code]],Locaties[#All],4,FALSE)</f>
        <v>Slot 31</v>
      </c>
      <c r="D586" s="281" t="str">
        <f>VLOOKUP(Ruimtestaat[[#This Row],[Code]],Locaties[#All],5,FALSE)</f>
        <v>7608 ND</v>
      </c>
      <c r="E586" s="281" t="str">
        <f>VLOOKUP(Ruimtestaat[[#This Row],[Code]],Locaties[#All],6,FALSE)</f>
        <v>Almelo</v>
      </c>
      <c r="F586" s="282"/>
      <c r="G586" s="283" t="s">
        <v>444</v>
      </c>
      <c r="H586" s="280" t="s">
        <v>769</v>
      </c>
      <c r="I586" s="282" t="s">
        <v>447</v>
      </c>
      <c r="J586" s="200">
        <v>18</v>
      </c>
      <c r="K586" s="243" t="s">
        <v>1042</v>
      </c>
      <c r="L586" s="291" t="s">
        <v>911</v>
      </c>
      <c r="M586" s="213">
        <v>38.380000000000003</v>
      </c>
      <c r="N586" s="202"/>
      <c r="O586" s="243" t="str">
        <f>VLOOKUP(Ruimtestaat[[#This Row],[Ruimte code]],Ruimtegroepen[#All],4,FALSE)</f>
        <v>Sp  (Sportruimte)</v>
      </c>
      <c r="P586" s="214"/>
      <c r="Q586" s="215">
        <v>40</v>
      </c>
      <c r="R586" s="215" t="s">
        <v>15</v>
      </c>
      <c r="S586" s="215">
        <f>IF(R586&gt;0,IF(RIGHT(Ruimtestaat[[#This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586" s="215">
        <f>IF(S586&gt;0,VLOOKUP($J586,Ruimtegroepen[],3,FALSE)*VLOOKUP($K586,Vloersoorten[],3,FALSE)*VLOOKUP($R586,Frequenties[],3,FALSE)*VLOOKUP($A586,Locaties[],3,FALSE),0)</f>
        <v>0</v>
      </c>
      <c r="U586" s="215">
        <f>Ruimtestaat[[#This Row],[Uitvoeringen werkdagen]]*Ruimtestaat[[#This Row],[Oppervlak (netto)]]</f>
        <v>1535.2</v>
      </c>
      <c r="V586" s="259">
        <f>IF(T586&gt;0,Ruimtestaat[[#This Row],[Prest. (m2 /jaar) werkdagen]]/Ruimtestaat[[#This Row],[Norm (m2/uur) werkdagen]],0)</f>
        <v>0</v>
      </c>
      <c r="W586" s="260">
        <f>Ruimtestaat[[#This Row],[uren / jaar werkdagen]]*Tariefsopbouw!$D$38</f>
        <v>0</v>
      </c>
      <c r="X586" s="33"/>
      <c r="Y586" s="33">
        <f>IF(Ruimtestaat[[#This Row],[Frequentie weekend]]&gt;0,VALUE(LEFT(X586,1))*Q586,0)</f>
        <v>0</v>
      </c>
      <c r="Z586" s="33">
        <f>IF($Y586&gt;0,VLOOKUP($J586,Ruimtegroepen[],3,FALSE)*VLOOKUP($K586,Vloersoorten[],3,FALSE)*VLOOKUP($X586,Frequenties[],3,FALSE)*VLOOKUP(#REF!,Locaties[],3,FALSE),0)</f>
        <v>0</v>
      </c>
      <c r="AA586" s="33"/>
      <c r="AB586" s="33"/>
      <c r="AC586" s="33">
        <f>Ruimtestaat[[#This Row],[uren / jaar weekend]]*Tariefsopbouw!$D$40</f>
        <v>0</v>
      </c>
      <c r="AD586" s="88">
        <f>Ruimtestaat[[#This Row],[Prest. (m2 /jaar) weekend]]+Ruimtestaat[[#This Row],[Prest. (m2 /jaar) werkdagen]]</f>
        <v>1535.2</v>
      </c>
      <c r="AE586" s="88">
        <f>Ruimtestaat[[#This Row],[uren / jaar weekend]]+Ruimtestaat[[#This Row],[uren / jaar werkdagen]]</f>
        <v>0</v>
      </c>
      <c r="AF586" s="89">
        <f>Ruimtestaat[[#This Row],[kosten / jaar weekend]]+Ruimtestaat[[#This Row],[kosten / jaar werkdagen]]</f>
        <v>0</v>
      </c>
    </row>
    <row r="587" spans="1:32" ht="15" customHeight="1">
      <c r="A587" s="280">
        <v>5</v>
      </c>
      <c r="B587" s="21" t="str">
        <f>VLOOKUP(Ruimtestaat[[#This Row],[Code]],Locaties[#All],2,FALSE)</f>
        <v>SGC Almelo</v>
      </c>
      <c r="C587" s="281" t="str">
        <f>VLOOKUP(Ruimtestaat[[#This Row],[Code]],Locaties[#All],4,FALSE)</f>
        <v>Slot 31</v>
      </c>
      <c r="D587" s="281" t="str">
        <f>VLOOKUP(Ruimtestaat[[#This Row],[Code]],Locaties[#All],5,FALSE)</f>
        <v>7608 ND</v>
      </c>
      <c r="E587" s="281" t="str">
        <f>VLOOKUP(Ruimtestaat[[#This Row],[Code]],Locaties[#All],6,FALSE)</f>
        <v>Almelo</v>
      </c>
      <c r="F587" s="282"/>
      <c r="G587" s="283" t="s">
        <v>444</v>
      </c>
      <c r="H587" s="280" t="s">
        <v>770</v>
      </c>
      <c r="I587" s="282" t="s">
        <v>469</v>
      </c>
      <c r="J587" s="200">
        <v>6</v>
      </c>
      <c r="K587" s="243" t="s">
        <v>111</v>
      </c>
      <c r="L587" s="291" t="s">
        <v>913</v>
      </c>
      <c r="M587" s="213">
        <v>16.52</v>
      </c>
      <c r="N587" s="202"/>
      <c r="O587" s="243" t="str">
        <f>VLOOKUP(Ruimtestaat[[#This Row],[Ruimte code]],Ruimtegroepen[#All],4,FALSE)</f>
        <v>V  (Verkeersruimte)</v>
      </c>
      <c r="P587" s="214"/>
      <c r="Q587" s="215">
        <v>40</v>
      </c>
      <c r="R587" s="215" t="s">
        <v>2</v>
      </c>
      <c r="S587" s="215">
        <f>IF(R587&gt;0,IF(RIGHT(Ruimtestaat[[#This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7" s="215">
        <f>IF(S587&gt;0,VLOOKUP($J587,Ruimtegroepen[],3,FALSE)*VLOOKUP($K587,Vloersoorten[],3,FALSE)*VLOOKUP($R587,Frequenties[],3,FALSE)*VLOOKUP($A587,Locaties[],3,FALSE),0)</f>
        <v>0</v>
      </c>
      <c r="U587" s="215">
        <f>Ruimtestaat[[#This Row],[Uitvoeringen werkdagen]]*Ruimtestaat[[#This Row],[Oppervlak (netto)]]</f>
        <v>3304</v>
      </c>
      <c r="V587" s="259">
        <f>IF(T587&gt;0,Ruimtestaat[[#This Row],[Prest. (m2 /jaar) werkdagen]]/Ruimtestaat[[#This Row],[Norm (m2/uur) werkdagen]],0)</f>
        <v>0</v>
      </c>
      <c r="W587" s="260">
        <f>Ruimtestaat[[#This Row],[uren / jaar werkdagen]]*Tariefsopbouw!$D$38</f>
        <v>0</v>
      </c>
      <c r="X587" s="33"/>
      <c r="Y587" s="33">
        <f>IF(Ruimtestaat[[#This Row],[Frequentie weekend]]&gt;0,VALUE(LEFT(X587,1))*Q587,0)</f>
        <v>0</v>
      </c>
      <c r="Z587" s="33">
        <f>IF($Y587&gt;0,VLOOKUP($J587,Ruimtegroepen[],3,FALSE)*VLOOKUP($K587,Vloersoorten[],3,FALSE)*VLOOKUP($X587,Frequenties[],3,FALSE)*VLOOKUP(#REF!,Locaties[],3,FALSE),0)</f>
        <v>0</v>
      </c>
      <c r="AA587" s="33"/>
      <c r="AB587" s="33"/>
      <c r="AC587" s="33">
        <f>Ruimtestaat[[#This Row],[uren / jaar weekend]]*Tariefsopbouw!$D$40</f>
        <v>0</v>
      </c>
      <c r="AD587" s="88">
        <f>Ruimtestaat[[#This Row],[Prest. (m2 /jaar) weekend]]+Ruimtestaat[[#This Row],[Prest. (m2 /jaar) werkdagen]]</f>
        <v>3304</v>
      </c>
      <c r="AE587" s="88">
        <f>Ruimtestaat[[#This Row],[uren / jaar weekend]]+Ruimtestaat[[#This Row],[uren / jaar werkdagen]]</f>
        <v>0</v>
      </c>
      <c r="AF587" s="89">
        <f>Ruimtestaat[[#This Row],[kosten / jaar weekend]]+Ruimtestaat[[#This Row],[kosten / jaar werkdagen]]</f>
        <v>0</v>
      </c>
    </row>
    <row r="588" spans="1:32" ht="15" customHeight="1">
      <c r="A588" s="280">
        <v>5</v>
      </c>
      <c r="B588" s="21" t="str">
        <f>VLOOKUP(Ruimtestaat[[#This Row],[Code]],Locaties[#All],2,FALSE)</f>
        <v>SGC Almelo</v>
      </c>
      <c r="C588" s="281" t="str">
        <f>VLOOKUP(Ruimtestaat[[#This Row],[Code]],Locaties[#All],4,FALSE)</f>
        <v>Slot 31</v>
      </c>
      <c r="D588" s="281" t="str">
        <f>VLOOKUP(Ruimtestaat[[#This Row],[Code]],Locaties[#All],5,FALSE)</f>
        <v>7608 ND</v>
      </c>
      <c r="E588" s="281" t="str">
        <f>VLOOKUP(Ruimtestaat[[#This Row],[Code]],Locaties[#All],6,FALSE)</f>
        <v>Almelo</v>
      </c>
      <c r="F588" s="282"/>
      <c r="G588" s="283" t="s">
        <v>444</v>
      </c>
      <c r="H588" s="280" t="s">
        <v>740</v>
      </c>
      <c r="I588" s="282" t="s">
        <v>695</v>
      </c>
      <c r="J588" s="200">
        <v>18</v>
      </c>
      <c r="K588" s="243" t="s">
        <v>1042</v>
      </c>
      <c r="L588" s="291" t="s">
        <v>911</v>
      </c>
      <c r="M588" s="213">
        <v>253.01</v>
      </c>
      <c r="N588" s="202"/>
      <c r="O588" s="243" t="str">
        <f>VLOOKUP(Ruimtestaat[[#This Row],[Ruimte code]],Ruimtegroepen[#All],4,FALSE)</f>
        <v>Sp  (Sportruimte)</v>
      </c>
      <c r="P588" s="214"/>
      <c r="Q588" s="215">
        <v>40</v>
      </c>
      <c r="R588" s="215" t="s">
        <v>2</v>
      </c>
      <c r="S588" s="215">
        <f>IF(R588&gt;0,IF(RIGHT(Ruimtestaat[[#This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88" s="215">
        <f>IF(S588&gt;0,VLOOKUP($J588,Ruimtegroepen[],3,FALSE)*VLOOKUP($K588,Vloersoorten[],3,FALSE)*VLOOKUP($R588,Frequenties[],3,FALSE)*VLOOKUP($A588,Locaties[],3,FALSE),0)</f>
        <v>0</v>
      </c>
      <c r="U588" s="215">
        <f>Ruimtestaat[[#This Row],[Uitvoeringen werkdagen]]*Ruimtestaat[[#This Row],[Oppervlak (netto)]]</f>
        <v>50602</v>
      </c>
      <c r="V588" s="259">
        <f>IF(T588&gt;0,Ruimtestaat[[#This Row],[Prest. (m2 /jaar) werkdagen]]/Ruimtestaat[[#This Row],[Norm (m2/uur) werkdagen]],0)</f>
        <v>0</v>
      </c>
      <c r="W588" s="260">
        <f>Ruimtestaat[[#This Row],[uren / jaar werkdagen]]*Tariefsopbouw!$D$38</f>
        <v>0</v>
      </c>
      <c r="X588" s="33"/>
      <c r="Y588" s="33">
        <f>IF(Ruimtestaat[[#This Row],[Frequentie weekend]]&gt;0,VALUE(LEFT(X588,1))*Q588,0)</f>
        <v>0</v>
      </c>
      <c r="Z588" s="33">
        <f>IF($Y588&gt;0,VLOOKUP($J588,Ruimtegroepen[],3,FALSE)*VLOOKUP($K588,Vloersoorten[],3,FALSE)*VLOOKUP($X588,Frequenties[],3,FALSE)*VLOOKUP(#REF!,Locaties[],3,FALSE),0)</f>
        <v>0</v>
      </c>
      <c r="AA588" s="33"/>
      <c r="AB588" s="33"/>
      <c r="AC588" s="33">
        <f>Ruimtestaat[[#This Row],[uren / jaar weekend]]*Tariefsopbouw!$D$40</f>
        <v>0</v>
      </c>
      <c r="AD588" s="88">
        <f>Ruimtestaat[[#This Row],[Prest. (m2 /jaar) weekend]]+Ruimtestaat[[#This Row],[Prest. (m2 /jaar) werkdagen]]</f>
        <v>50602</v>
      </c>
      <c r="AE588" s="88">
        <f>Ruimtestaat[[#This Row],[uren / jaar weekend]]+Ruimtestaat[[#This Row],[uren / jaar werkdagen]]</f>
        <v>0</v>
      </c>
      <c r="AF588" s="89">
        <f>Ruimtestaat[[#This Row],[kosten / jaar weekend]]+Ruimtestaat[[#This Row],[kosten / jaar werkdagen]]</f>
        <v>0</v>
      </c>
    </row>
    <row r="589" spans="1:32" ht="15" customHeight="1">
      <c r="A589" s="280">
        <v>5</v>
      </c>
      <c r="B589" s="21" t="str">
        <f>VLOOKUP(Ruimtestaat[[#This Row],[Code]],Locaties[#All],2,FALSE)</f>
        <v>SGC Almelo</v>
      </c>
      <c r="C589" s="281" t="str">
        <f>VLOOKUP(Ruimtestaat[[#This Row],[Code]],Locaties[#All],4,FALSE)</f>
        <v>Slot 31</v>
      </c>
      <c r="D589" s="281" t="str">
        <f>VLOOKUP(Ruimtestaat[[#This Row],[Code]],Locaties[#All],5,FALSE)</f>
        <v>7608 ND</v>
      </c>
      <c r="E589" s="281" t="str">
        <f>VLOOKUP(Ruimtestaat[[#This Row],[Code]],Locaties[#All],6,FALSE)</f>
        <v>Almelo</v>
      </c>
      <c r="F589" s="282"/>
      <c r="G589" s="283" t="s">
        <v>444</v>
      </c>
      <c r="H589" s="280" t="s">
        <v>771</v>
      </c>
      <c r="I589" s="282" t="s">
        <v>487</v>
      </c>
      <c r="J589" s="281">
        <v>2</v>
      </c>
      <c r="K589" s="281" t="s">
        <v>110</v>
      </c>
      <c r="L589" s="284" t="s">
        <v>132</v>
      </c>
      <c r="M589" s="213">
        <v>16.989999999999998</v>
      </c>
      <c r="N589" s="213"/>
      <c r="O589" s="243" t="str">
        <f>VLOOKUP(Ruimtestaat[[#This Row],[Ruimte code]],Ruimtegroepen[#All],4,FALSE)</f>
        <v>B  (Bureauruimte)</v>
      </c>
      <c r="P589" s="214"/>
      <c r="Q589" s="215">
        <v>40</v>
      </c>
      <c r="R589" s="215" t="s">
        <v>15</v>
      </c>
      <c r="S589" s="215">
        <f>IF(R589&gt;0,IF(RIGHT(Ruimtestaat[[#This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40</v>
      </c>
      <c r="T589" s="215">
        <f>IF(S589&gt;0,VLOOKUP($J589,Ruimtegroepen[],3,FALSE)*VLOOKUP($K589,Vloersoorten[],3,FALSE)*VLOOKUP($R589,Frequenties[],3,FALSE)*VLOOKUP($A589,Locaties[],3,FALSE),0)</f>
        <v>0</v>
      </c>
      <c r="U589" s="215">
        <f>Ruimtestaat[[#This Row],[Uitvoeringen werkdagen]]*Ruimtestaat[[#This Row],[Oppervlak (netto)]]</f>
        <v>679.59999999999991</v>
      </c>
      <c r="V589" s="259">
        <f>IF(T589&gt;0,Ruimtestaat[[#This Row],[Prest. (m2 /jaar) werkdagen]]/Ruimtestaat[[#This Row],[Norm (m2/uur) werkdagen]],0)</f>
        <v>0</v>
      </c>
      <c r="W589" s="260">
        <f>Ruimtestaat[[#This Row],[uren / jaar werkdagen]]*Tariefsopbouw!$D$38</f>
        <v>0</v>
      </c>
      <c r="X589" s="33"/>
      <c r="Y589" s="33">
        <f>IF(Ruimtestaat[[#This Row],[Frequentie weekend]]&gt;0,VALUE(LEFT(X589,1))*Q589,0)</f>
        <v>0</v>
      </c>
      <c r="Z589" s="33">
        <f>IF($Y589&gt;0,VLOOKUP($J589,Ruimtegroepen[],3,FALSE)*VLOOKUP($K589,Vloersoorten[],3,FALSE)*VLOOKUP($X589,Frequenties[],3,FALSE)*VLOOKUP(#REF!,Locaties[],3,FALSE),0)</f>
        <v>0</v>
      </c>
      <c r="AA589" s="33"/>
      <c r="AB589" s="33"/>
      <c r="AC589" s="33">
        <f>Ruimtestaat[[#This Row],[uren / jaar weekend]]*Tariefsopbouw!$D$40</f>
        <v>0</v>
      </c>
      <c r="AD589" s="88">
        <f>Ruimtestaat[[#This Row],[Prest. (m2 /jaar) weekend]]+Ruimtestaat[[#This Row],[Prest. (m2 /jaar) werkdagen]]</f>
        <v>679.59999999999991</v>
      </c>
      <c r="AE589" s="88">
        <f>Ruimtestaat[[#This Row],[uren / jaar weekend]]+Ruimtestaat[[#This Row],[uren / jaar werkdagen]]</f>
        <v>0</v>
      </c>
      <c r="AF589" s="89">
        <f>Ruimtestaat[[#This Row],[kosten / jaar weekend]]+Ruimtestaat[[#This Row],[kosten / jaar werkdagen]]</f>
        <v>0</v>
      </c>
    </row>
    <row r="590" spans="1:32" ht="15" customHeight="1">
      <c r="A590" s="280">
        <v>5</v>
      </c>
      <c r="B590" s="21" t="str">
        <f>VLOOKUP(Ruimtestaat[[#This Row],[Code]],Locaties[#All],2,FALSE)</f>
        <v>SGC Almelo</v>
      </c>
      <c r="C590" s="281" t="str">
        <f>VLOOKUP(Ruimtestaat[[#This Row],[Code]],Locaties[#All],4,FALSE)</f>
        <v>Slot 31</v>
      </c>
      <c r="D590" s="281" t="str">
        <f>VLOOKUP(Ruimtestaat[[#This Row],[Code]],Locaties[#All],5,FALSE)</f>
        <v>7608 ND</v>
      </c>
      <c r="E590" s="281" t="str">
        <f>VLOOKUP(Ruimtestaat[[#This Row],[Code]],Locaties[#All],6,FALSE)</f>
        <v>Almelo</v>
      </c>
      <c r="F590" s="282"/>
      <c r="G590" s="283" t="s">
        <v>444</v>
      </c>
      <c r="H590" s="280" t="s">
        <v>772</v>
      </c>
      <c r="I590" s="282" t="s">
        <v>752</v>
      </c>
      <c r="J590" s="200">
        <v>19</v>
      </c>
      <c r="K590" s="243" t="s">
        <v>111</v>
      </c>
      <c r="L590" s="291" t="s">
        <v>913</v>
      </c>
      <c r="M590" s="213">
        <v>27.2</v>
      </c>
      <c r="N590" s="202"/>
      <c r="O590" s="243" t="str">
        <f>VLOOKUP(Ruimtestaat[[#This Row],[Ruimte code]],Ruimtegroepen[#All],4,FALSE)</f>
        <v>V  (Verkeersruimte)</v>
      </c>
      <c r="P590" s="214"/>
      <c r="Q590" s="215">
        <v>40</v>
      </c>
      <c r="R590" s="215" t="s">
        <v>2</v>
      </c>
      <c r="S590" s="215">
        <f>IF(R590&gt;0,IF(RIGHT(Ruimtestaat[[#This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0" s="215">
        <f>IF(S590&gt;0,VLOOKUP($J590,Ruimtegroepen[],3,FALSE)*VLOOKUP($K590,Vloersoorten[],3,FALSE)*VLOOKUP($R590,Frequenties[],3,FALSE)*VLOOKUP($A590,Locaties[],3,FALSE),0)</f>
        <v>0</v>
      </c>
      <c r="U590" s="215">
        <f>Ruimtestaat[[#This Row],[Uitvoeringen werkdagen]]*Ruimtestaat[[#This Row],[Oppervlak (netto)]]</f>
        <v>5440</v>
      </c>
      <c r="V590" s="259">
        <f>IF(T590&gt;0,Ruimtestaat[[#This Row],[Prest. (m2 /jaar) werkdagen]]/Ruimtestaat[[#This Row],[Norm (m2/uur) werkdagen]],0)</f>
        <v>0</v>
      </c>
      <c r="W590" s="260">
        <f>Ruimtestaat[[#This Row],[uren / jaar werkdagen]]*Tariefsopbouw!$D$38</f>
        <v>0</v>
      </c>
      <c r="X590" s="33"/>
      <c r="Y590" s="33">
        <f>IF(Ruimtestaat[[#This Row],[Frequentie weekend]]&gt;0,VALUE(LEFT(X590,1))*Q590,0)</f>
        <v>0</v>
      </c>
      <c r="Z590" s="33">
        <f>IF($Y590&gt;0,VLOOKUP($J590,Ruimtegroepen[],3,FALSE)*VLOOKUP($K590,Vloersoorten[],3,FALSE)*VLOOKUP($X590,Frequenties[],3,FALSE)*VLOOKUP(#REF!,Locaties[],3,FALSE),0)</f>
        <v>0</v>
      </c>
      <c r="AA590" s="33"/>
      <c r="AB590" s="33"/>
      <c r="AC590" s="33">
        <f>Ruimtestaat[[#This Row],[uren / jaar weekend]]*Tariefsopbouw!$D$40</f>
        <v>0</v>
      </c>
      <c r="AD590" s="88">
        <f>Ruimtestaat[[#This Row],[Prest. (m2 /jaar) weekend]]+Ruimtestaat[[#This Row],[Prest. (m2 /jaar) werkdagen]]</f>
        <v>5440</v>
      </c>
      <c r="AE590" s="88">
        <f>Ruimtestaat[[#This Row],[uren / jaar weekend]]+Ruimtestaat[[#This Row],[uren / jaar werkdagen]]</f>
        <v>0</v>
      </c>
      <c r="AF590" s="89">
        <f>Ruimtestaat[[#This Row],[kosten / jaar weekend]]+Ruimtestaat[[#This Row],[kosten / jaar werkdagen]]</f>
        <v>0</v>
      </c>
    </row>
    <row r="591" spans="1:32" ht="15" customHeight="1">
      <c r="A591" s="280">
        <v>5</v>
      </c>
      <c r="B591" s="21" t="str">
        <f>VLOOKUP(Ruimtestaat[[#This Row],[Code]],Locaties[#All],2,FALSE)</f>
        <v>SGC Almelo</v>
      </c>
      <c r="C591" s="281" t="str">
        <f>VLOOKUP(Ruimtestaat[[#This Row],[Code]],Locaties[#All],4,FALSE)</f>
        <v>Slot 31</v>
      </c>
      <c r="D591" s="281" t="str">
        <f>VLOOKUP(Ruimtestaat[[#This Row],[Code]],Locaties[#All],5,FALSE)</f>
        <v>7608 ND</v>
      </c>
      <c r="E591" s="281" t="str">
        <f>VLOOKUP(Ruimtestaat[[#This Row],[Code]],Locaties[#All],6,FALSE)</f>
        <v>Almelo</v>
      </c>
      <c r="F591" s="282"/>
      <c r="G591" s="283" t="s">
        <v>444</v>
      </c>
      <c r="H591" s="280" t="s">
        <v>773</v>
      </c>
      <c r="I591" s="282" t="s">
        <v>721</v>
      </c>
      <c r="J591" s="200">
        <v>5</v>
      </c>
      <c r="K591" s="243" t="s">
        <v>111</v>
      </c>
      <c r="L591" s="291" t="s">
        <v>913</v>
      </c>
      <c r="M591" s="213">
        <v>1.01</v>
      </c>
      <c r="N591" s="202"/>
      <c r="O591" s="243" t="str">
        <f>VLOOKUP(Ruimtestaat[[#This Row],[Ruimte code]],Ruimtegroepen[#All],4,FALSE)</f>
        <v>S  (Sanitair)</v>
      </c>
      <c r="P591" s="214"/>
      <c r="Q591" s="215">
        <v>40</v>
      </c>
      <c r="R591" s="215" t="s">
        <v>2</v>
      </c>
      <c r="S591" s="215">
        <f>IF(R591&gt;0,IF(RIGHT(Ruimtestaat[[#This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1" s="215">
        <f>IF(S591&gt;0,VLOOKUP($J591,Ruimtegroepen[],3,FALSE)*VLOOKUP($K591,Vloersoorten[],3,FALSE)*VLOOKUP($R591,Frequenties[],3,FALSE)*VLOOKUP($A591,Locaties[],3,FALSE),0)</f>
        <v>0</v>
      </c>
      <c r="U591" s="215">
        <f>Ruimtestaat[[#This Row],[Uitvoeringen werkdagen]]*Ruimtestaat[[#This Row],[Oppervlak (netto)]]</f>
        <v>202</v>
      </c>
      <c r="V591" s="259">
        <f>IF(T591&gt;0,Ruimtestaat[[#This Row],[Prest. (m2 /jaar) werkdagen]]/Ruimtestaat[[#This Row],[Norm (m2/uur) werkdagen]],0)</f>
        <v>0</v>
      </c>
      <c r="W591" s="260">
        <f>Ruimtestaat[[#This Row],[uren / jaar werkdagen]]*Tariefsopbouw!$D$38</f>
        <v>0</v>
      </c>
      <c r="X591" s="33"/>
      <c r="Y591" s="33">
        <f>IF(Ruimtestaat[[#This Row],[Frequentie weekend]]&gt;0,VALUE(LEFT(X591,1))*Q591,0)</f>
        <v>0</v>
      </c>
      <c r="Z591" s="33">
        <f>IF($Y591&gt;0,VLOOKUP($J591,Ruimtegroepen[],3,FALSE)*VLOOKUP($K591,Vloersoorten[],3,FALSE)*VLOOKUP($X591,Frequenties[],3,FALSE)*VLOOKUP(#REF!,Locaties[],3,FALSE),0)</f>
        <v>0</v>
      </c>
      <c r="AA591" s="33"/>
      <c r="AB591" s="33"/>
      <c r="AC591" s="33">
        <f>Ruimtestaat[[#This Row],[uren / jaar weekend]]*Tariefsopbouw!$D$40</f>
        <v>0</v>
      </c>
      <c r="AD591" s="88">
        <f>Ruimtestaat[[#This Row],[Prest. (m2 /jaar) weekend]]+Ruimtestaat[[#This Row],[Prest. (m2 /jaar) werkdagen]]</f>
        <v>202</v>
      </c>
      <c r="AE591" s="88">
        <f>Ruimtestaat[[#This Row],[uren / jaar weekend]]+Ruimtestaat[[#This Row],[uren / jaar werkdagen]]</f>
        <v>0</v>
      </c>
      <c r="AF591" s="89">
        <f>Ruimtestaat[[#This Row],[kosten / jaar weekend]]+Ruimtestaat[[#This Row],[kosten / jaar werkdagen]]</f>
        <v>0</v>
      </c>
    </row>
    <row r="592" spans="1:32" ht="15" customHeight="1">
      <c r="A592" s="280">
        <v>5</v>
      </c>
      <c r="B592" s="21" t="str">
        <f>VLOOKUP(Ruimtestaat[[#This Row],[Code]],Locaties[#All],2,FALSE)</f>
        <v>SGC Almelo</v>
      </c>
      <c r="C592" s="281" t="str">
        <f>VLOOKUP(Ruimtestaat[[#This Row],[Code]],Locaties[#All],4,FALSE)</f>
        <v>Slot 31</v>
      </c>
      <c r="D592" s="281" t="str">
        <f>VLOOKUP(Ruimtestaat[[#This Row],[Code]],Locaties[#All],5,FALSE)</f>
        <v>7608 ND</v>
      </c>
      <c r="E592" s="281" t="str">
        <f>VLOOKUP(Ruimtestaat[[#This Row],[Code]],Locaties[#All],6,FALSE)</f>
        <v>Almelo</v>
      </c>
      <c r="F592" s="282"/>
      <c r="G592" s="283" t="s">
        <v>444</v>
      </c>
      <c r="H592" s="280" t="s">
        <v>774</v>
      </c>
      <c r="I592" s="282" t="s">
        <v>696</v>
      </c>
      <c r="J592" s="200">
        <v>5</v>
      </c>
      <c r="K592" s="243" t="s">
        <v>111</v>
      </c>
      <c r="L592" s="291" t="s">
        <v>913</v>
      </c>
      <c r="M592" s="213">
        <v>18.43</v>
      </c>
      <c r="N592" s="202"/>
      <c r="O592" s="243" t="str">
        <f>VLOOKUP(Ruimtestaat[[#This Row],[Ruimte code]],Ruimtegroepen[#All],4,FALSE)</f>
        <v>S  (Sanitair)</v>
      </c>
      <c r="P592" s="214"/>
      <c r="Q592" s="215">
        <v>40</v>
      </c>
      <c r="R592" s="215" t="s">
        <v>2</v>
      </c>
      <c r="S592" s="215">
        <f>IF(R592&gt;0,IF(RIGHT(Ruimtestaat[[#This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2" s="215">
        <f>IF(S592&gt;0,VLOOKUP($J592,Ruimtegroepen[],3,FALSE)*VLOOKUP($K592,Vloersoorten[],3,FALSE)*VLOOKUP($R592,Frequenties[],3,FALSE)*VLOOKUP($A592,Locaties[],3,FALSE),0)</f>
        <v>0</v>
      </c>
      <c r="U592" s="215">
        <f>Ruimtestaat[[#This Row],[Uitvoeringen werkdagen]]*Ruimtestaat[[#This Row],[Oppervlak (netto)]]</f>
        <v>3686</v>
      </c>
      <c r="V592" s="259">
        <f>IF(T592&gt;0,Ruimtestaat[[#This Row],[Prest. (m2 /jaar) werkdagen]]/Ruimtestaat[[#This Row],[Norm (m2/uur) werkdagen]],0)</f>
        <v>0</v>
      </c>
      <c r="W592" s="260">
        <f>Ruimtestaat[[#This Row],[uren / jaar werkdagen]]*Tariefsopbouw!$D$38</f>
        <v>0</v>
      </c>
      <c r="X592" s="33"/>
      <c r="Y592" s="33">
        <f>IF(Ruimtestaat[[#This Row],[Frequentie weekend]]&gt;0,VALUE(LEFT(X592,1))*Q592,0)</f>
        <v>0</v>
      </c>
      <c r="Z592" s="33">
        <f>IF($Y592&gt;0,VLOOKUP($J592,Ruimtegroepen[],3,FALSE)*VLOOKUP($K592,Vloersoorten[],3,FALSE)*VLOOKUP($X592,Frequenties[],3,FALSE)*VLOOKUP(#REF!,Locaties[],3,FALSE),0)</f>
        <v>0</v>
      </c>
      <c r="AA592" s="33"/>
      <c r="AB592" s="33"/>
      <c r="AC592" s="33">
        <f>Ruimtestaat[[#This Row],[uren / jaar weekend]]*Tariefsopbouw!$D$40</f>
        <v>0</v>
      </c>
      <c r="AD592" s="88">
        <f>Ruimtestaat[[#This Row],[Prest. (m2 /jaar) weekend]]+Ruimtestaat[[#This Row],[Prest. (m2 /jaar) werkdagen]]</f>
        <v>3686</v>
      </c>
      <c r="AE592" s="88">
        <f>Ruimtestaat[[#This Row],[uren / jaar weekend]]+Ruimtestaat[[#This Row],[uren / jaar werkdagen]]</f>
        <v>0</v>
      </c>
      <c r="AF592" s="89">
        <f>Ruimtestaat[[#This Row],[kosten / jaar weekend]]+Ruimtestaat[[#This Row],[kosten / jaar werkdagen]]</f>
        <v>0</v>
      </c>
    </row>
    <row r="593" spans="1:32" ht="15" customHeight="1">
      <c r="A593" s="280">
        <v>5</v>
      </c>
      <c r="B593" s="21" t="str">
        <f>VLOOKUP(Ruimtestaat[[#This Row],[Code]],Locaties[#All],2,FALSE)</f>
        <v>SGC Almelo</v>
      </c>
      <c r="C593" s="281" t="str">
        <f>VLOOKUP(Ruimtestaat[[#This Row],[Code]],Locaties[#All],4,FALSE)</f>
        <v>Slot 31</v>
      </c>
      <c r="D593" s="281" t="str">
        <f>VLOOKUP(Ruimtestaat[[#This Row],[Code]],Locaties[#All],5,FALSE)</f>
        <v>7608 ND</v>
      </c>
      <c r="E593" s="281" t="str">
        <f>VLOOKUP(Ruimtestaat[[#This Row],[Code]],Locaties[#All],6,FALSE)</f>
        <v>Almelo</v>
      </c>
      <c r="F593" s="282"/>
      <c r="G593" s="283" t="s">
        <v>444</v>
      </c>
      <c r="H593" s="280" t="s">
        <v>775</v>
      </c>
      <c r="I593" s="282" t="s">
        <v>752</v>
      </c>
      <c r="J593" s="200">
        <v>19</v>
      </c>
      <c r="K593" s="243" t="s">
        <v>111</v>
      </c>
      <c r="L593" s="291" t="s">
        <v>913</v>
      </c>
      <c r="M593" s="213">
        <v>27.2</v>
      </c>
      <c r="N593" s="202"/>
      <c r="O593" s="243" t="str">
        <f>VLOOKUP(Ruimtestaat[[#This Row],[Ruimte code]],Ruimtegroepen[#All],4,FALSE)</f>
        <v>V  (Verkeersruimte)</v>
      </c>
      <c r="P593" s="214"/>
      <c r="Q593" s="215">
        <v>40</v>
      </c>
      <c r="R593" s="215" t="s">
        <v>2</v>
      </c>
      <c r="S593" s="215">
        <f>IF(R593&gt;0,IF(RIGHT(Ruimtestaat[[#This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3" s="215">
        <f>IF(S593&gt;0,VLOOKUP($J593,Ruimtegroepen[],3,FALSE)*VLOOKUP($K593,Vloersoorten[],3,FALSE)*VLOOKUP($R593,Frequenties[],3,FALSE)*VLOOKUP($A593,Locaties[],3,FALSE),0)</f>
        <v>0</v>
      </c>
      <c r="U593" s="215">
        <f>Ruimtestaat[[#This Row],[Uitvoeringen werkdagen]]*Ruimtestaat[[#This Row],[Oppervlak (netto)]]</f>
        <v>5440</v>
      </c>
      <c r="V593" s="259">
        <f>IF(T593&gt;0,Ruimtestaat[[#This Row],[Prest. (m2 /jaar) werkdagen]]/Ruimtestaat[[#This Row],[Norm (m2/uur) werkdagen]],0)</f>
        <v>0</v>
      </c>
      <c r="W593" s="260">
        <f>Ruimtestaat[[#This Row],[uren / jaar werkdagen]]*Tariefsopbouw!$D$38</f>
        <v>0</v>
      </c>
      <c r="X593" s="33"/>
      <c r="Y593" s="33">
        <f>IF(Ruimtestaat[[#This Row],[Frequentie weekend]]&gt;0,VALUE(LEFT(X593,1))*Q593,0)</f>
        <v>0</v>
      </c>
      <c r="Z593" s="33">
        <f>IF($Y593&gt;0,VLOOKUP($J593,Ruimtegroepen[],3,FALSE)*VLOOKUP($K593,Vloersoorten[],3,FALSE)*VLOOKUP($X593,Frequenties[],3,FALSE)*VLOOKUP(#REF!,Locaties[],3,FALSE),0)</f>
        <v>0</v>
      </c>
      <c r="AA593" s="33"/>
      <c r="AB593" s="33"/>
      <c r="AC593" s="33">
        <f>Ruimtestaat[[#This Row],[uren / jaar weekend]]*Tariefsopbouw!$D$40</f>
        <v>0</v>
      </c>
      <c r="AD593" s="88">
        <f>Ruimtestaat[[#This Row],[Prest. (m2 /jaar) weekend]]+Ruimtestaat[[#This Row],[Prest. (m2 /jaar) werkdagen]]</f>
        <v>5440</v>
      </c>
      <c r="AE593" s="88">
        <f>Ruimtestaat[[#This Row],[uren / jaar weekend]]+Ruimtestaat[[#This Row],[uren / jaar werkdagen]]</f>
        <v>0</v>
      </c>
      <c r="AF593" s="89">
        <f>Ruimtestaat[[#This Row],[kosten / jaar weekend]]+Ruimtestaat[[#This Row],[kosten / jaar werkdagen]]</f>
        <v>0</v>
      </c>
    </row>
    <row r="594" spans="1:32" ht="15" customHeight="1">
      <c r="A594" s="280">
        <v>5</v>
      </c>
      <c r="B594" s="21" t="str">
        <f>VLOOKUP(Ruimtestaat[[#This Row],[Code]],Locaties[#All],2,FALSE)</f>
        <v>SGC Almelo</v>
      </c>
      <c r="C594" s="281" t="str">
        <f>VLOOKUP(Ruimtestaat[[#This Row],[Code]],Locaties[#All],4,FALSE)</f>
        <v>Slot 31</v>
      </c>
      <c r="D594" s="281" t="str">
        <f>VLOOKUP(Ruimtestaat[[#This Row],[Code]],Locaties[#All],5,FALSE)</f>
        <v>7608 ND</v>
      </c>
      <c r="E594" s="281" t="str">
        <f>VLOOKUP(Ruimtestaat[[#This Row],[Code]],Locaties[#All],6,FALSE)</f>
        <v>Almelo</v>
      </c>
      <c r="F594" s="282"/>
      <c r="G594" s="283" t="s">
        <v>444</v>
      </c>
      <c r="H594" s="280" t="s">
        <v>776</v>
      </c>
      <c r="I594" s="282" t="s">
        <v>721</v>
      </c>
      <c r="J594" s="200">
        <v>5</v>
      </c>
      <c r="K594" s="243" t="s">
        <v>111</v>
      </c>
      <c r="L594" s="291" t="s">
        <v>913</v>
      </c>
      <c r="M594" s="213">
        <v>1.01</v>
      </c>
      <c r="N594" s="202"/>
      <c r="O594" s="243" t="str">
        <f>VLOOKUP(Ruimtestaat[[#This Row],[Ruimte code]],Ruimtegroepen[#All],4,FALSE)</f>
        <v>S  (Sanitair)</v>
      </c>
      <c r="P594" s="214"/>
      <c r="Q594" s="215">
        <v>40</v>
      </c>
      <c r="R594" s="215" t="s">
        <v>2</v>
      </c>
      <c r="S594" s="215">
        <f>IF(R594&gt;0,IF(RIGHT(Ruimtestaat[[#This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4" s="215">
        <f>IF(S594&gt;0,VLOOKUP($J594,Ruimtegroepen[],3,FALSE)*VLOOKUP($K594,Vloersoorten[],3,FALSE)*VLOOKUP($R594,Frequenties[],3,FALSE)*VLOOKUP($A594,Locaties[],3,FALSE),0)</f>
        <v>0</v>
      </c>
      <c r="U594" s="215">
        <f>Ruimtestaat[[#This Row],[Uitvoeringen werkdagen]]*Ruimtestaat[[#This Row],[Oppervlak (netto)]]</f>
        <v>202</v>
      </c>
      <c r="V594" s="259">
        <f>IF(T594&gt;0,Ruimtestaat[[#This Row],[Prest. (m2 /jaar) werkdagen]]/Ruimtestaat[[#This Row],[Norm (m2/uur) werkdagen]],0)</f>
        <v>0</v>
      </c>
      <c r="W594" s="260">
        <f>Ruimtestaat[[#This Row],[uren / jaar werkdagen]]*Tariefsopbouw!$D$38</f>
        <v>0</v>
      </c>
      <c r="X594" s="33"/>
      <c r="Y594" s="33">
        <f>IF(Ruimtestaat[[#This Row],[Frequentie weekend]]&gt;0,VALUE(LEFT(X594,1))*Q594,0)</f>
        <v>0</v>
      </c>
      <c r="Z594" s="33">
        <f>IF($Y594&gt;0,VLOOKUP($J594,Ruimtegroepen[],3,FALSE)*VLOOKUP($K594,Vloersoorten[],3,FALSE)*VLOOKUP($X594,Frequenties[],3,FALSE)*VLOOKUP(#REF!,Locaties[],3,FALSE),0)</f>
        <v>0</v>
      </c>
      <c r="AA594" s="33"/>
      <c r="AB594" s="33"/>
      <c r="AC594" s="33">
        <f>Ruimtestaat[[#This Row],[uren / jaar weekend]]*Tariefsopbouw!$D$40</f>
        <v>0</v>
      </c>
      <c r="AD594" s="88">
        <f>Ruimtestaat[[#This Row],[Prest. (m2 /jaar) weekend]]+Ruimtestaat[[#This Row],[Prest. (m2 /jaar) werkdagen]]</f>
        <v>202</v>
      </c>
      <c r="AE594" s="88">
        <f>Ruimtestaat[[#This Row],[uren / jaar weekend]]+Ruimtestaat[[#This Row],[uren / jaar werkdagen]]</f>
        <v>0</v>
      </c>
      <c r="AF594" s="89">
        <f>Ruimtestaat[[#This Row],[kosten / jaar weekend]]+Ruimtestaat[[#This Row],[kosten / jaar werkdagen]]</f>
        <v>0</v>
      </c>
    </row>
    <row r="595" spans="1:32" ht="15" customHeight="1">
      <c r="A595" s="280">
        <v>5</v>
      </c>
      <c r="B595" s="21" t="str">
        <f>VLOOKUP(Ruimtestaat[[#This Row],[Code]],Locaties[#All],2,FALSE)</f>
        <v>SGC Almelo</v>
      </c>
      <c r="C595" s="281" t="str">
        <f>VLOOKUP(Ruimtestaat[[#This Row],[Code]],Locaties[#All],4,FALSE)</f>
        <v>Slot 31</v>
      </c>
      <c r="D595" s="281" t="str">
        <f>VLOOKUP(Ruimtestaat[[#This Row],[Code]],Locaties[#All],5,FALSE)</f>
        <v>7608 ND</v>
      </c>
      <c r="E595" s="281" t="str">
        <f>VLOOKUP(Ruimtestaat[[#This Row],[Code]],Locaties[#All],6,FALSE)</f>
        <v>Almelo</v>
      </c>
      <c r="F595" s="282"/>
      <c r="G595" s="283" t="s">
        <v>444</v>
      </c>
      <c r="H595" s="280" t="s">
        <v>777</v>
      </c>
      <c r="I595" s="282" t="s">
        <v>696</v>
      </c>
      <c r="J595" s="200">
        <v>5</v>
      </c>
      <c r="K595" s="243" t="s">
        <v>111</v>
      </c>
      <c r="L595" s="291" t="s">
        <v>913</v>
      </c>
      <c r="M595" s="213">
        <v>11.23</v>
      </c>
      <c r="N595" s="202"/>
      <c r="O595" s="243" t="str">
        <f>VLOOKUP(Ruimtestaat[[#This Row],[Ruimte code]],Ruimtegroepen[#All],4,FALSE)</f>
        <v>S  (Sanitair)</v>
      </c>
      <c r="P595" s="214"/>
      <c r="Q595" s="215">
        <v>40</v>
      </c>
      <c r="R595" s="215" t="s">
        <v>2</v>
      </c>
      <c r="S595" s="215">
        <f>IF(R595&gt;0,IF(RIGHT(Ruimtestaat[[#This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5" s="215">
        <f>IF(S595&gt;0,VLOOKUP($J595,Ruimtegroepen[],3,FALSE)*VLOOKUP($K595,Vloersoorten[],3,FALSE)*VLOOKUP($R595,Frequenties[],3,FALSE)*VLOOKUP($A595,Locaties[],3,FALSE),0)</f>
        <v>0</v>
      </c>
      <c r="U595" s="215">
        <f>Ruimtestaat[[#This Row],[Uitvoeringen werkdagen]]*Ruimtestaat[[#This Row],[Oppervlak (netto)]]</f>
        <v>2246</v>
      </c>
      <c r="V595" s="259">
        <f>IF(T595&gt;0,Ruimtestaat[[#This Row],[Prest. (m2 /jaar) werkdagen]]/Ruimtestaat[[#This Row],[Norm (m2/uur) werkdagen]],0)</f>
        <v>0</v>
      </c>
      <c r="W595" s="260">
        <f>Ruimtestaat[[#This Row],[uren / jaar werkdagen]]*Tariefsopbouw!$D$38</f>
        <v>0</v>
      </c>
      <c r="X595" s="33"/>
      <c r="Y595" s="33">
        <f>IF(Ruimtestaat[[#This Row],[Frequentie weekend]]&gt;0,VALUE(LEFT(X595,1))*Q595,0)</f>
        <v>0</v>
      </c>
      <c r="Z595" s="33">
        <f>IF($Y595&gt;0,VLOOKUP($J595,Ruimtegroepen[],3,FALSE)*VLOOKUP($K595,Vloersoorten[],3,FALSE)*VLOOKUP($X595,Frequenties[],3,FALSE)*VLOOKUP(#REF!,Locaties[],3,FALSE),0)</f>
        <v>0</v>
      </c>
      <c r="AA595" s="33"/>
      <c r="AB595" s="33"/>
      <c r="AC595" s="33">
        <f>Ruimtestaat[[#This Row],[uren / jaar weekend]]*Tariefsopbouw!$D$40</f>
        <v>0</v>
      </c>
      <c r="AD595" s="88">
        <f>Ruimtestaat[[#This Row],[Prest. (m2 /jaar) weekend]]+Ruimtestaat[[#This Row],[Prest. (m2 /jaar) werkdagen]]</f>
        <v>2246</v>
      </c>
      <c r="AE595" s="88">
        <f>Ruimtestaat[[#This Row],[uren / jaar weekend]]+Ruimtestaat[[#This Row],[uren / jaar werkdagen]]</f>
        <v>0</v>
      </c>
      <c r="AF595" s="89">
        <f>Ruimtestaat[[#This Row],[kosten / jaar weekend]]+Ruimtestaat[[#This Row],[kosten / jaar werkdagen]]</f>
        <v>0</v>
      </c>
    </row>
    <row r="596" spans="1:32" ht="15" customHeight="1">
      <c r="A596" s="280">
        <v>5</v>
      </c>
      <c r="B596" s="21" t="str">
        <f>VLOOKUP(Ruimtestaat[[#This Row],[Code]],Locaties[#All],2,FALSE)</f>
        <v>SGC Almelo</v>
      </c>
      <c r="C596" s="281" t="str">
        <f>VLOOKUP(Ruimtestaat[[#This Row],[Code]],Locaties[#All],4,FALSE)</f>
        <v>Slot 31</v>
      </c>
      <c r="D596" s="281" t="str">
        <f>VLOOKUP(Ruimtestaat[[#This Row],[Code]],Locaties[#All],5,FALSE)</f>
        <v>7608 ND</v>
      </c>
      <c r="E596" s="281" t="str">
        <f>VLOOKUP(Ruimtestaat[[#This Row],[Code]],Locaties[#All],6,FALSE)</f>
        <v>Almelo</v>
      </c>
      <c r="F596" s="282"/>
      <c r="G596" s="283" t="s">
        <v>444</v>
      </c>
      <c r="H596" s="280" t="s">
        <v>453</v>
      </c>
      <c r="I596" s="244" t="s">
        <v>917</v>
      </c>
      <c r="J596" s="200">
        <v>11</v>
      </c>
      <c r="K596" s="243" t="s">
        <v>110</v>
      </c>
      <c r="L596" s="291" t="s">
        <v>132</v>
      </c>
      <c r="M596" s="213">
        <v>96.23</v>
      </c>
      <c r="N596" s="202"/>
      <c r="O596" s="243" t="str">
        <f>VLOOKUP(Ruimtestaat[[#This Row],[Ruimte code]],Ruimtegroepen[#All],4,FALSE)</f>
        <v>L  (Lesruimte)</v>
      </c>
      <c r="P596" s="214"/>
      <c r="Q596" s="215">
        <v>40</v>
      </c>
      <c r="R596" s="215" t="s">
        <v>2</v>
      </c>
      <c r="S596" s="215">
        <f>IF(R596&gt;0,IF(RIGHT(Ruimtestaat[[#This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6" s="215">
        <f>IF(S596&gt;0,VLOOKUP($J596,Ruimtegroepen[],3,FALSE)*VLOOKUP($K596,Vloersoorten[],3,FALSE)*VLOOKUP($R596,Frequenties[],3,FALSE)*VLOOKUP($A596,Locaties[],3,FALSE),0)</f>
        <v>0</v>
      </c>
      <c r="U596" s="215">
        <f>Ruimtestaat[[#This Row],[Uitvoeringen werkdagen]]*Ruimtestaat[[#This Row],[Oppervlak (netto)]]</f>
        <v>19246</v>
      </c>
      <c r="V596" s="259">
        <f>IF(T596&gt;0,Ruimtestaat[[#This Row],[Prest. (m2 /jaar) werkdagen]]/Ruimtestaat[[#This Row],[Norm (m2/uur) werkdagen]],0)</f>
        <v>0</v>
      </c>
      <c r="W596" s="260">
        <f>Ruimtestaat[[#This Row],[uren / jaar werkdagen]]*Tariefsopbouw!$D$38</f>
        <v>0</v>
      </c>
      <c r="X596" s="33"/>
      <c r="Y596" s="33">
        <f>IF(Ruimtestaat[[#This Row],[Frequentie weekend]]&gt;0,VALUE(LEFT(X596,1))*Q596,0)</f>
        <v>0</v>
      </c>
      <c r="Z596" s="33">
        <f>IF($Y596&gt;0,VLOOKUP($J596,Ruimtegroepen[],3,FALSE)*VLOOKUP($K596,Vloersoorten[],3,FALSE)*VLOOKUP($X596,Frequenties[],3,FALSE)*VLOOKUP(#REF!,Locaties[],3,FALSE),0)</f>
        <v>0</v>
      </c>
      <c r="AA596" s="33"/>
      <c r="AB596" s="33"/>
      <c r="AC596" s="33">
        <f>Ruimtestaat[[#This Row],[uren / jaar weekend]]*Tariefsopbouw!$D$40</f>
        <v>0</v>
      </c>
      <c r="AD596" s="88">
        <f>Ruimtestaat[[#This Row],[Prest. (m2 /jaar) weekend]]+Ruimtestaat[[#This Row],[Prest. (m2 /jaar) werkdagen]]</f>
        <v>19246</v>
      </c>
      <c r="AE596" s="88">
        <f>Ruimtestaat[[#This Row],[uren / jaar weekend]]+Ruimtestaat[[#This Row],[uren / jaar werkdagen]]</f>
        <v>0</v>
      </c>
      <c r="AF596" s="89">
        <f>Ruimtestaat[[#This Row],[kosten / jaar weekend]]+Ruimtestaat[[#This Row],[kosten / jaar werkdagen]]</f>
        <v>0</v>
      </c>
    </row>
    <row r="597" spans="1:32" ht="15" customHeight="1">
      <c r="A597" s="280">
        <v>5</v>
      </c>
      <c r="B597" s="21" t="str">
        <f>VLOOKUP(Ruimtestaat[[#This Row],[Code]],Locaties[#All],2,FALSE)</f>
        <v>SGC Almelo</v>
      </c>
      <c r="C597" s="281" t="str">
        <f>VLOOKUP(Ruimtestaat[[#This Row],[Code]],Locaties[#All],4,FALSE)</f>
        <v>Slot 31</v>
      </c>
      <c r="D597" s="281" t="str">
        <f>VLOOKUP(Ruimtestaat[[#This Row],[Code]],Locaties[#All],5,FALSE)</f>
        <v>7608 ND</v>
      </c>
      <c r="E597" s="281" t="str">
        <f>VLOOKUP(Ruimtestaat[[#This Row],[Code]],Locaties[#All],6,FALSE)</f>
        <v>Almelo</v>
      </c>
      <c r="F597" s="282"/>
      <c r="G597" s="283" t="s">
        <v>444</v>
      </c>
      <c r="H597" s="280" t="s">
        <v>748</v>
      </c>
      <c r="I597" s="282" t="s">
        <v>447</v>
      </c>
      <c r="J597" s="200">
        <v>21</v>
      </c>
      <c r="K597" s="243" t="s">
        <v>110</v>
      </c>
      <c r="L597" s="291" t="s">
        <v>132</v>
      </c>
      <c r="M597" s="213"/>
      <c r="N597" s="202">
        <v>5.18</v>
      </c>
      <c r="O597" s="243" t="str">
        <f>VLOOKUP(Ruimtestaat[[#This Row],[Ruimte code]],Ruimtegroepen[#All],4,FALSE)</f>
        <v>Niet in onderhoud</v>
      </c>
      <c r="P597" s="214"/>
      <c r="Q597" s="215"/>
      <c r="R597" s="215"/>
      <c r="S597" s="215">
        <f>IF(R597&gt;0,IF(RIGHT(Ruimtestaat[[#This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97" s="215">
        <f>IF(S597&gt;0,VLOOKUP($J597,Ruimtegroepen[],3,FALSE)*VLOOKUP($K597,Vloersoorten[],3,FALSE)*VLOOKUP($R597,Frequenties[],3,FALSE)*VLOOKUP($A597,Locaties[],3,FALSE),0)</f>
        <v>0</v>
      </c>
      <c r="U597" s="215">
        <f>Ruimtestaat[[#This Row],[Uitvoeringen werkdagen]]*Ruimtestaat[[#This Row],[Oppervlak (netto)]]</f>
        <v>0</v>
      </c>
      <c r="V597" s="259">
        <f>IF(T597&gt;0,Ruimtestaat[[#This Row],[Prest. (m2 /jaar) werkdagen]]/Ruimtestaat[[#This Row],[Norm (m2/uur) werkdagen]],0)</f>
        <v>0</v>
      </c>
      <c r="W597" s="260">
        <f>Ruimtestaat[[#This Row],[uren / jaar werkdagen]]*Tariefsopbouw!$D$38</f>
        <v>0</v>
      </c>
      <c r="X597" s="33"/>
      <c r="Y597" s="33">
        <f>IF(Ruimtestaat[[#This Row],[Frequentie weekend]]&gt;0,VALUE(LEFT(X597,1))*Q597,0)</f>
        <v>0</v>
      </c>
      <c r="Z597" s="33">
        <f>IF($Y597&gt;0,VLOOKUP($J597,Ruimtegroepen[],3,FALSE)*VLOOKUP($K597,Vloersoorten[],3,FALSE)*VLOOKUP($X597,Frequenties[],3,FALSE)*VLOOKUP(#REF!,Locaties[],3,FALSE),0)</f>
        <v>0</v>
      </c>
      <c r="AA597" s="33"/>
      <c r="AB597" s="33"/>
      <c r="AC597" s="33">
        <f>Ruimtestaat[[#This Row],[uren / jaar weekend]]*Tariefsopbouw!$D$40</f>
        <v>0</v>
      </c>
      <c r="AD597" s="88">
        <f>Ruimtestaat[[#This Row],[Prest. (m2 /jaar) weekend]]+Ruimtestaat[[#This Row],[Prest. (m2 /jaar) werkdagen]]</f>
        <v>0</v>
      </c>
      <c r="AE597" s="88">
        <f>Ruimtestaat[[#This Row],[uren / jaar weekend]]+Ruimtestaat[[#This Row],[uren / jaar werkdagen]]</f>
        <v>0</v>
      </c>
      <c r="AF597" s="89">
        <f>Ruimtestaat[[#This Row],[kosten / jaar weekend]]+Ruimtestaat[[#This Row],[kosten / jaar werkdagen]]</f>
        <v>0</v>
      </c>
    </row>
    <row r="598" spans="1:32" ht="15" customHeight="1">
      <c r="A598" s="280">
        <v>5</v>
      </c>
      <c r="B598" s="21" t="str">
        <f>VLOOKUP(Ruimtestaat[[#This Row],[Code]],Locaties[#All],2,FALSE)</f>
        <v>SGC Almelo</v>
      </c>
      <c r="C598" s="281" t="str">
        <f>VLOOKUP(Ruimtestaat[[#This Row],[Code]],Locaties[#All],4,FALSE)</f>
        <v>Slot 31</v>
      </c>
      <c r="D598" s="281" t="str">
        <f>VLOOKUP(Ruimtestaat[[#This Row],[Code]],Locaties[#All],5,FALSE)</f>
        <v>7608 ND</v>
      </c>
      <c r="E598" s="281" t="str">
        <f>VLOOKUP(Ruimtestaat[[#This Row],[Code]],Locaties[#All],6,FALSE)</f>
        <v>Almelo</v>
      </c>
      <c r="F598" s="282"/>
      <c r="G598" s="283" t="s">
        <v>444</v>
      </c>
      <c r="H598" s="280" t="s">
        <v>778</v>
      </c>
      <c r="I598" s="282" t="s">
        <v>447</v>
      </c>
      <c r="J598" s="200">
        <v>21</v>
      </c>
      <c r="K598" s="243" t="s">
        <v>110</v>
      </c>
      <c r="L598" s="291" t="s">
        <v>132</v>
      </c>
      <c r="M598" s="213"/>
      <c r="N598" s="202">
        <v>10.65</v>
      </c>
      <c r="O598" s="243" t="str">
        <f>VLOOKUP(Ruimtestaat[[#This Row],[Ruimte code]],Ruimtegroepen[#All],4,FALSE)</f>
        <v>Niet in onderhoud</v>
      </c>
      <c r="P598" s="214"/>
      <c r="Q598" s="215"/>
      <c r="R598" s="215"/>
      <c r="S598" s="215">
        <f>IF(R598&gt;0,IF(RIGHT(Ruimtestaat[[#This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598" s="215">
        <f>IF(S598&gt;0,VLOOKUP($J598,Ruimtegroepen[],3,FALSE)*VLOOKUP($K598,Vloersoorten[],3,FALSE)*VLOOKUP($R598,Frequenties[],3,FALSE)*VLOOKUP($A598,Locaties[],3,FALSE),0)</f>
        <v>0</v>
      </c>
      <c r="U598" s="215">
        <f>Ruimtestaat[[#This Row],[Uitvoeringen werkdagen]]*Ruimtestaat[[#This Row],[Oppervlak (netto)]]</f>
        <v>0</v>
      </c>
      <c r="V598" s="259">
        <f>IF(T598&gt;0,Ruimtestaat[[#This Row],[Prest. (m2 /jaar) werkdagen]]/Ruimtestaat[[#This Row],[Norm (m2/uur) werkdagen]],0)</f>
        <v>0</v>
      </c>
      <c r="W598" s="260">
        <f>Ruimtestaat[[#This Row],[uren / jaar werkdagen]]*Tariefsopbouw!$D$38</f>
        <v>0</v>
      </c>
      <c r="X598" s="33"/>
      <c r="Y598" s="33">
        <f>IF(Ruimtestaat[[#This Row],[Frequentie weekend]]&gt;0,VALUE(LEFT(X598,1))*Q598,0)</f>
        <v>0</v>
      </c>
      <c r="Z598" s="33">
        <f>IF($Y598&gt;0,VLOOKUP($J598,Ruimtegroepen[],3,FALSE)*VLOOKUP($K598,Vloersoorten[],3,FALSE)*VLOOKUP($X598,Frequenties[],3,FALSE)*VLOOKUP(#REF!,Locaties[],3,FALSE),0)</f>
        <v>0</v>
      </c>
      <c r="AA598" s="33"/>
      <c r="AB598" s="33"/>
      <c r="AC598" s="33">
        <f>Ruimtestaat[[#This Row],[uren / jaar weekend]]*Tariefsopbouw!$D$40</f>
        <v>0</v>
      </c>
      <c r="AD598" s="88">
        <f>Ruimtestaat[[#This Row],[Prest. (m2 /jaar) weekend]]+Ruimtestaat[[#This Row],[Prest. (m2 /jaar) werkdagen]]</f>
        <v>0</v>
      </c>
      <c r="AE598" s="88">
        <f>Ruimtestaat[[#This Row],[uren / jaar weekend]]+Ruimtestaat[[#This Row],[uren / jaar werkdagen]]</f>
        <v>0</v>
      </c>
      <c r="AF598" s="89">
        <f>Ruimtestaat[[#This Row],[kosten / jaar weekend]]+Ruimtestaat[[#This Row],[kosten / jaar werkdagen]]</f>
        <v>0</v>
      </c>
    </row>
    <row r="599" spans="1:32" ht="15" customHeight="1">
      <c r="A599" s="280">
        <v>5</v>
      </c>
      <c r="B599" s="21" t="str">
        <f>VLOOKUP(Ruimtestaat[[#This Row],[Code]],Locaties[#All],2,FALSE)</f>
        <v>SGC Almelo</v>
      </c>
      <c r="C599" s="281" t="str">
        <f>VLOOKUP(Ruimtestaat[[#This Row],[Code]],Locaties[#All],4,FALSE)</f>
        <v>Slot 31</v>
      </c>
      <c r="D599" s="281" t="str">
        <f>VLOOKUP(Ruimtestaat[[#This Row],[Code]],Locaties[#All],5,FALSE)</f>
        <v>7608 ND</v>
      </c>
      <c r="E599" s="281" t="str">
        <f>VLOOKUP(Ruimtestaat[[#This Row],[Code]],Locaties[#All],6,FALSE)</f>
        <v>Almelo</v>
      </c>
      <c r="F599" s="282"/>
      <c r="G599" s="283" t="s">
        <v>444</v>
      </c>
      <c r="H599" s="280" t="s">
        <v>454</v>
      </c>
      <c r="I599" s="244" t="s">
        <v>917</v>
      </c>
      <c r="J599" s="200">
        <v>11</v>
      </c>
      <c r="K599" s="243" t="s">
        <v>110</v>
      </c>
      <c r="L599" s="291" t="s">
        <v>132</v>
      </c>
      <c r="M599" s="213">
        <v>90.23</v>
      </c>
      <c r="N599" s="202"/>
      <c r="O599" s="243" t="str">
        <f>VLOOKUP(Ruimtestaat[[#This Row],[Ruimte code]],Ruimtegroepen[#All],4,FALSE)</f>
        <v>L  (Lesruimte)</v>
      </c>
      <c r="P599" s="214"/>
      <c r="Q599" s="215">
        <v>40</v>
      </c>
      <c r="R599" s="215" t="s">
        <v>2</v>
      </c>
      <c r="S599" s="215">
        <f>IF(R599&gt;0,IF(RIGHT(Ruimtestaat[[#This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599" s="215">
        <f>IF(S599&gt;0,VLOOKUP($J599,Ruimtegroepen[],3,FALSE)*VLOOKUP($K599,Vloersoorten[],3,FALSE)*VLOOKUP($R599,Frequenties[],3,FALSE)*VLOOKUP($A599,Locaties[],3,FALSE),0)</f>
        <v>0</v>
      </c>
      <c r="U599" s="215">
        <f>Ruimtestaat[[#This Row],[Uitvoeringen werkdagen]]*Ruimtestaat[[#This Row],[Oppervlak (netto)]]</f>
        <v>18046</v>
      </c>
      <c r="V599" s="259">
        <f>IF(T599&gt;0,Ruimtestaat[[#This Row],[Prest. (m2 /jaar) werkdagen]]/Ruimtestaat[[#This Row],[Norm (m2/uur) werkdagen]],0)</f>
        <v>0</v>
      </c>
      <c r="W599" s="260">
        <f>Ruimtestaat[[#This Row],[uren / jaar werkdagen]]*Tariefsopbouw!$D$38</f>
        <v>0</v>
      </c>
      <c r="X599" s="33"/>
      <c r="Y599" s="33">
        <f>IF(Ruimtestaat[[#This Row],[Frequentie weekend]]&gt;0,VALUE(LEFT(X599,1))*Q599,0)</f>
        <v>0</v>
      </c>
      <c r="Z599" s="33">
        <f>IF($Y599&gt;0,VLOOKUP($J599,Ruimtegroepen[],3,FALSE)*VLOOKUP($K599,Vloersoorten[],3,FALSE)*VLOOKUP($X599,Frequenties[],3,FALSE)*VLOOKUP(#REF!,Locaties[],3,FALSE),0)</f>
        <v>0</v>
      </c>
      <c r="AA599" s="33"/>
      <c r="AB599" s="33"/>
      <c r="AC599" s="33">
        <f>Ruimtestaat[[#This Row],[uren / jaar weekend]]*Tariefsopbouw!$D$40</f>
        <v>0</v>
      </c>
      <c r="AD599" s="88">
        <f>Ruimtestaat[[#This Row],[Prest. (m2 /jaar) weekend]]+Ruimtestaat[[#This Row],[Prest. (m2 /jaar) werkdagen]]</f>
        <v>18046</v>
      </c>
      <c r="AE599" s="88">
        <f>Ruimtestaat[[#This Row],[uren / jaar weekend]]+Ruimtestaat[[#This Row],[uren / jaar werkdagen]]</f>
        <v>0</v>
      </c>
      <c r="AF599" s="89">
        <f>Ruimtestaat[[#This Row],[kosten / jaar weekend]]+Ruimtestaat[[#This Row],[kosten / jaar werkdagen]]</f>
        <v>0</v>
      </c>
    </row>
    <row r="600" spans="1:32" ht="15" customHeight="1">
      <c r="A600" s="280">
        <v>5</v>
      </c>
      <c r="B600" s="21" t="str">
        <f>VLOOKUP(Ruimtestaat[[#This Row],[Code]],Locaties[#All],2,FALSE)</f>
        <v>SGC Almelo</v>
      </c>
      <c r="C600" s="281" t="str">
        <f>VLOOKUP(Ruimtestaat[[#This Row],[Code]],Locaties[#All],4,FALSE)</f>
        <v>Slot 31</v>
      </c>
      <c r="D600" s="281" t="str">
        <f>VLOOKUP(Ruimtestaat[[#This Row],[Code]],Locaties[#All],5,FALSE)</f>
        <v>7608 ND</v>
      </c>
      <c r="E600" s="281" t="str">
        <f>VLOOKUP(Ruimtestaat[[#This Row],[Code]],Locaties[#All],6,FALSE)</f>
        <v>Almelo</v>
      </c>
      <c r="F600" s="282"/>
      <c r="G600" s="283" t="s">
        <v>444</v>
      </c>
      <c r="H600" s="280" t="s">
        <v>779</v>
      </c>
      <c r="I600" s="282" t="s">
        <v>469</v>
      </c>
      <c r="J600" s="200">
        <v>6</v>
      </c>
      <c r="K600" s="243" t="s">
        <v>110</v>
      </c>
      <c r="L600" s="291" t="s">
        <v>132</v>
      </c>
      <c r="M600" s="213">
        <v>88.65</v>
      </c>
      <c r="N600" s="202"/>
      <c r="O600" s="243" t="str">
        <f>VLOOKUP(Ruimtestaat[[#This Row],[Ruimte code]],Ruimtegroepen[#All],4,FALSE)</f>
        <v>V  (Verkeersruimte)</v>
      </c>
      <c r="P600" s="214"/>
      <c r="Q600" s="215">
        <v>40</v>
      </c>
      <c r="R600" s="215" t="s">
        <v>2</v>
      </c>
      <c r="S600" s="215">
        <f>IF(R600&gt;0,IF(RIGHT(Ruimtestaat[[#This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0" s="215">
        <f>IF(S600&gt;0,VLOOKUP($J600,Ruimtegroepen[],3,FALSE)*VLOOKUP($K600,Vloersoorten[],3,FALSE)*VLOOKUP($R600,Frequenties[],3,FALSE)*VLOOKUP($A600,Locaties[],3,FALSE),0)</f>
        <v>0</v>
      </c>
      <c r="U600" s="215">
        <f>Ruimtestaat[[#This Row],[Uitvoeringen werkdagen]]*Ruimtestaat[[#This Row],[Oppervlak (netto)]]</f>
        <v>17730</v>
      </c>
      <c r="V600" s="259">
        <f>IF(T600&gt;0,Ruimtestaat[[#This Row],[Prest. (m2 /jaar) werkdagen]]/Ruimtestaat[[#This Row],[Norm (m2/uur) werkdagen]],0)</f>
        <v>0</v>
      </c>
      <c r="W600" s="260">
        <f>Ruimtestaat[[#This Row],[uren / jaar werkdagen]]*Tariefsopbouw!$D$38</f>
        <v>0</v>
      </c>
      <c r="X600" s="33"/>
      <c r="Y600" s="33">
        <f>IF(Ruimtestaat[[#This Row],[Frequentie weekend]]&gt;0,VALUE(LEFT(X600,1))*Q600,0)</f>
        <v>0</v>
      </c>
      <c r="Z600" s="33">
        <f>IF($Y600&gt;0,VLOOKUP($J600,Ruimtegroepen[],3,FALSE)*VLOOKUP($K600,Vloersoorten[],3,FALSE)*VLOOKUP($X600,Frequenties[],3,FALSE)*VLOOKUP(#REF!,Locaties[],3,FALSE),0)</f>
        <v>0</v>
      </c>
      <c r="AA600" s="33"/>
      <c r="AB600" s="33"/>
      <c r="AC600" s="33">
        <f>Ruimtestaat[[#This Row],[uren / jaar weekend]]*Tariefsopbouw!$D$40</f>
        <v>0</v>
      </c>
      <c r="AD600" s="88">
        <f>Ruimtestaat[[#This Row],[Prest. (m2 /jaar) weekend]]+Ruimtestaat[[#This Row],[Prest. (m2 /jaar) werkdagen]]</f>
        <v>17730</v>
      </c>
      <c r="AE600" s="88">
        <f>Ruimtestaat[[#This Row],[uren / jaar weekend]]+Ruimtestaat[[#This Row],[uren / jaar werkdagen]]</f>
        <v>0</v>
      </c>
      <c r="AF600" s="89">
        <f>Ruimtestaat[[#This Row],[kosten / jaar weekend]]+Ruimtestaat[[#This Row],[kosten / jaar werkdagen]]</f>
        <v>0</v>
      </c>
    </row>
    <row r="601" spans="1:32" ht="15" customHeight="1">
      <c r="A601" s="280">
        <v>5</v>
      </c>
      <c r="B601" s="21" t="str">
        <f>VLOOKUP(Ruimtestaat[[#This Row],[Code]],Locaties[#All],2,FALSE)</f>
        <v>SGC Almelo</v>
      </c>
      <c r="C601" s="281" t="str">
        <f>VLOOKUP(Ruimtestaat[[#This Row],[Code]],Locaties[#All],4,FALSE)</f>
        <v>Slot 31</v>
      </c>
      <c r="D601" s="281" t="str">
        <f>VLOOKUP(Ruimtestaat[[#This Row],[Code]],Locaties[#All],5,FALSE)</f>
        <v>7608 ND</v>
      </c>
      <c r="E601" s="281" t="str">
        <f>VLOOKUP(Ruimtestaat[[#This Row],[Code]],Locaties[#All],6,FALSE)</f>
        <v>Almelo</v>
      </c>
      <c r="F601" s="282"/>
      <c r="G601" s="283" t="s">
        <v>444</v>
      </c>
      <c r="H601" s="280" t="s">
        <v>780</v>
      </c>
      <c r="I601" s="282" t="s">
        <v>447</v>
      </c>
      <c r="J601" s="200">
        <v>21</v>
      </c>
      <c r="K601" s="243" t="s">
        <v>110</v>
      </c>
      <c r="L601" s="291" t="s">
        <v>132</v>
      </c>
      <c r="M601" s="213"/>
      <c r="N601" s="202">
        <v>5.18</v>
      </c>
      <c r="O601" s="243" t="str">
        <f>VLOOKUP(Ruimtestaat[[#This Row],[Ruimte code]],Ruimtegroepen[#All],4,FALSE)</f>
        <v>Niet in onderhoud</v>
      </c>
      <c r="P601" s="214"/>
      <c r="Q601" s="215"/>
      <c r="R601" s="215"/>
      <c r="S601" s="215">
        <f>IF(R601&gt;0,IF(RIGHT(Ruimtestaat[[#This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01" s="215">
        <f>IF(S601&gt;0,VLOOKUP($J601,Ruimtegroepen[],3,FALSE)*VLOOKUP($K601,Vloersoorten[],3,FALSE)*VLOOKUP($R601,Frequenties[],3,FALSE)*VLOOKUP($A601,Locaties[],3,FALSE),0)</f>
        <v>0</v>
      </c>
      <c r="U601" s="215">
        <f>Ruimtestaat[[#This Row],[Uitvoeringen werkdagen]]*Ruimtestaat[[#This Row],[Oppervlak (netto)]]</f>
        <v>0</v>
      </c>
      <c r="V601" s="259">
        <f>IF(T601&gt;0,Ruimtestaat[[#This Row],[Prest. (m2 /jaar) werkdagen]]/Ruimtestaat[[#This Row],[Norm (m2/uur) werkdagen]],0)</f>
        <v>0</v>
      </c>
      <c r="W601" s="260">
        <f>Ruimtestaat[[#This Row],[uren / jaar werkdagen]]*Tariefsopbouw!$D$38</f>
        <v>0</v>
      </c>
      <c r="X601" s="33"/>
      <c r="Y601" s="33">
        <f>IF(Ruimtestaat[[#This Row],[Frequentie weekend]]&gt;0,VALUE(LEFT(X601,1))*Q601,0)</f>
        <v>0</v>
      </c>
      <c r="Z601" s="33">
        <f>IF($Y601&gt;0,VLOOKUP($J601,Ruimtegroepen[],3,FALSE)*VLOOKUP($K601,Vloersoorten[],3,FALSE)*VLOOKUP($X601,Frequenties[],3,FALSE)*VLOOKUP(#REF!,Locaties[],3,FALSE),0)</f>
        <v>0</v>
      </c>
      <c r="AA601" s="33"/>
      <c r="AB601" s="33"/>
      <c r="AC601" s="33">
        <f>Ruimtestaat[[#This Row],[uren / jaar weekend]]*Tariefsopbouw!$D$40</f>
        <v>0</v>
      </c>
      <c r="AD601" s="88">
        <f>Ruimtestaat[[#This Row],[Prest. (m2 /jaar) weekend]]+Ruimtestaat[[#This Row],[Prest. (m2 /jaar) werkdagen]]</f>
        <v>0</v>
      </c>
      <c r="AE601" s="88">
        <f>Ruimtestaat[[#This Row],[uren / jaar weekend]]+Ruimtestaat[[#This Row],[uren / jaar werkdagen]]</f>
        <v>0</v>
      </c>
      <c r="AF601" s="89">
        <f>Ruimtestaat[[#This Row],[kosten / jaar weekend]]+Ruimtestaat[[#This Row],[kosten / jaar werkdagen]]</f>
        <v>0</v>
      </c>
    </row>
    <row r="602" spans="1:32" ht="15" customHeight="1">
      <c r="A602" s="280">
        <v>5</v>
      </c>
      <c r="B602" s="21" t="str">
        <f>VLOOKUP(Ruimtestaat[[#This Row],[Code]],Locaties[#All],2,FALSE)</f>
        <v>SGC Almelo</v>
      </c>
      <c r="C602" s="281" t="str">
        <f>VLOOKUP(Ruimtestaat[[#This Row],[Code]],Locaties[#All],4,FALSE)</f>
        <v>Slot 31</v>
      </c>
      <c r="D602" s="281" t="str">
        <f>VLOOKUP(Ruimtestaat[[#This Row],[Code]],Locaties[#All],5,FALSE)</f>
        <v>7608 ND</v>
      </c>
      <c r="E602" s="281" t="str">
        <f>VLOOKUP(Ruimtestaat[[#This Row],[Code]],Locaties[#All],6,FALSE)</f>
        <v>Almelo</v>
      </c>
      <c r="F602" s="282"/>
      <c r="G602" s="283" t="s">
        <v>444</v>
      </c>
      <c r="H602" s="280" t="s">
        <v>456</v>
      </c>
      <c r="I602" s="244" t="s">
        <v>917</v>
      </c>
      <c r="J602" s="200">
        <v>11</v>
      </c>
      <c r="K602" s="243" t="s">
        <v>110</v>
      </c>
      <c r="L602" s="291" t="s">
        <v>132</v>
      </c>
      <c r="M602" s="213">
        <v>91.54</v>
      </c>
      <c r="N602" s="202"/>
      <c r="O602" s="243" t="str">
        <f>VLOOKUP(Ruimtestaat[[#This Row],[Ruimte code]],Ruimtegroepen[#All],4,FALSE)</f>
        <v>L  (Lesruimte)</v>
      </c>
      <c r="P602" s="214"/>
      <c r="Q602" s="215">
        <v>40</v>
      </c>
      <c r="R602" s="215" t="s">
        <v>2</v>
      </c>
      <c r="S602" s="215">
        <f>IF(R602&gt;0,IF(RIGHT(Ruimtestaat[[#This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2" s="215">
        <f>IF(S602&gt;0,VLOOKUP($J602,Ruimtegroepen[],3,FALSE)*VLOOKUP($K602,Vloersoorten[],3,FALSE)*VLOOKUP($R602,Frequenties[],3,FALSE)*VLOOKUP($A602,Locaties[],3,FALSE),0)</f>
        <v>0</v>
      </c>
      <c r="U602" s="215">
        <f>Ruimtestaat[[#This Row],[Uitvoeringen werkdagen]]*Ruimtestaat[[#This Row],[Oppervlak (netto)]]</f>
        <v>18308</v>
      </c>
      <c r="V602" s="259">
        <f>IF(T602&gt;0,Ruimtestaat[[#This Row],[Prest. (m2 /jaar) werkdagen]]/Ruimtestaat[[#This Row],[Norm (m2/uur) werkdagen]],0)</f>
        <v>0</v>
      </c>
      <c r="W602" s="260">
        <f>Ruimtestaat[[#This Row],[uren / jaar werkdagen]]*Tariefsopbouw!$D$38</f>
        <v>0</v>
      </c>
      <c r="X602" s="33"/>
      <c r="Y602" s="33">
        <f>IF(Ruimtestaat[[#This Row],[Frequentie weekend]]&gt;0,VALUE(LEFT(X602,1))*Q602,0)</f>
        <v>0</v>
      </c>
      <c r="Z602" s="33">
        <f>IF($Y602&gt;0,VLOOKUP($J602,Ruimtegroepen[],3,FALSE)*VLOOKUP($K602,Vloersoorten[],3,FALSE)*VLOOKUP($X602,Frequenties[],3,FALSE)*VLOOKUP(#REF!,Locaties[],3,FALSE),0)</f>
        <v>0</v>
      </c>
      <c r="AA602" s="33"/>
      <c r="AB602" s="33"/>
      <c r="AC602" s="33">
        <f>Ruimtestaat[[#This Row],[uren / jaar weekend]]*Tariefsopbouw!$D$40</f>
        <v>0</v>
      </c>
      <c r="AD602" s="88">
        <f>Ruimtestaat[[#This Row],[Prest. (m2 /jaar) weekend]]+Ruimtestaat[[#This Row],[Prest. (m2 /jaar) werkdagen]]</f>
        <v>18308</v>
      </c>
      <c r="AE602" s="88">
        <f>Ruimtestaat[[#This Row],[uren / jaar weekend]]+Ruimtestaat[[#This Row],[uren / jaar werkdagen]]</f>
        <v>0</v>
      </c>
      <c r="AF602" s="89">
        <f>Ruimtestaat[[#This Row],[kosten / jaar weekend]]+Ruimtestaat[[#This Row],[kosten / jaar werkdagen]]</f>
        <v>0</v>
      </c>
    </row>
    <row r="603" spans="1:32" ht="15" customHeight="1">
      <c r="A603" s="280">
        <v>5</v>
      </c>
      <c r="B603" s="21" t="str">
        <f>VLOOKUP(Ruimtestaat[[#This Row],[Code]],Locaties[#All],2,FALSE)</f>
        <v>SGC Almelo</v>
      </c>
      <c r="C603" s="281" t="str">
        <f>VLOOKUP(Ruimtestaat[[#This Row],[Code]],Locaties[#All],4,FALSE)</f>
        <v>Slot 31</v>
      </c>
      <c r="D603" s="281" t="str">
        <f>VLOOKUP(Ruimtestaat[[#This Row],[Code]],Locaties[#All],5,FALSE)</f>
        <v>7608 ND</v>
      </c>
      <c r="E603" s="281" t="str">
        <f>VLOOKUP(Ruimtestaat[[#This Row],[Code]],Locaties[#All],6,FALSE)</f>
        <v>Almelo</v>
      </c>
      <c r="F603" s="282"/>
      <c r="G603" s="283" t="s">
        <v>444</v>
      </c>
      <c r="H603" s="280" t="s">
        <v>781</v>
      </c>
      <c r="I603" s="282" t="s">
        <v>447</v>
      </c>
      <c r="J603" s="200">
        <v>21</v>
      </c>
      <c r="K603" s="243" t="s">
        <v>110</v>
      </c>
      <c r="L603" s="291" t="s">
        <v>132</v>
      </c>
      <c r="M603" s="213"/>
      <c r="N603" s="202">
        <v>49.53</v>
      </c>
      <c r="O603" s="243" t="str">
        <f>VLOOKUP(Ruimtestaat[[#This Row],[Ruimte code]],Ruimtegroepen[#All],4,FALSE)</f>
        <v>Niet in onderhoud</v>
      </c>
      <c r="P603" s="214"/>
      <c r="Q603" s="215"/>
      <c r="R603" s="215"/>
      <c r="S603" s="215">
        <f>IF(R603&gt;0,IF(RIGHT(Ruimtestaat[[#This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03" s="215">
        <f>IF(S603&gt;0,VLOOKUP($J603,Ruimtegroepen[],3,FALSE)*VLOOKUP($K603,Vloersoorten[],3,FALSE)*VLOOKUP($R603,Frequenties[],3,FALSE)*VLOOKUP($A603,Locaties[],3,FALSE),0)</f>
        <v>0</v>
      </c>
      <c r="U603" s="215">
        <f>Ruimtestaat[[#This Row],[Uitvoeringen werkdagen]]*Ruimtestaat[[#This Row],[Oppervlak (netto)]]</f>
        <v>0</v>
      </c>
      <c r="V603" s="259">
        <f>IF(T603&gt;0,Ruimtestaat[[#This Row],[Prest. (m2 /jaar) werkdagen]]/Ruimtestaat[[#This Row],[Norm (m2/uur) werkdagen]],0)</f>
        <v>0</v>
      </c>
      <c r="W603" s="260">
        <f>Ruimtestaat[[#This Row],[uren / jaar werkdagen]]*Tariefsopbouw!$D$38</f>
        <v>0</v>
      </c>
      <c r="X603" s="33"/>
      <c r="Y603" s="33">
        <f>IF(Ruimtestaat[[#This Row],[Frequentie weekend]]&gt;0,VALUE(LEFT(X603,1))*Q603,0)</f>
        <v>0</v>
      </c>
      <c r="Z603" s="33">
        <f>IF($Y603&gt;0,VLOOKUP($J603,Ruimtegroepen[],3,FALSE)*VLOOKUP($K603,Vloersoorten[],3,FALSE)*VLOOKUP($X603,Frequenties[],3,FALSE)*VLOOKUP(#REF!,Locaties[],3,FALSE),0)</f>
        <v>0</v>
      </c>
      <c r="AA603" s="33"/>
      <c r="AB603" s="33"/>
      <c r="AC603" s="33">
        <f>Ruimtestaat[[#This Row],[uren / jaar weekend]]*Tariefsopbouw!$D$40</f>
        <v>0</v>
      </c>
      <c r="AD603" s="88">
        <f>Ruimtestaat[[#This Row],[Prest. (m2 /jaar) weekend]]+Ruimtestaat[[#This Row],[Prest. (m2 /jaar) werkdagen]]</f>
        <v>0</v>
      </c>
      <c r="AE603" s="88">
        <f>Ruimtestaat[[#This Row],[uren / jaar weekend]]+Ruimtestaat[[#This Row],[uren / jaar werkdagen]]</f>
        <v>0</v>
      </c>
      <c r="AF603" s="89">
        <f>Ruimtestaat[[#This Row],[kosten / jaar weekend]]+Ruimtestaat[[#This Row],[kosten / jaar werkdagen]]</f>
        <v>0</v>
      </c>
    </row>
    <row r="604" spans="1:32" ht="15" customHeight="1">
      <c r="A604" s="280">
        <v>5</v>
      </c>
      <c r="B604" s="21" t="str">
        <f>VLOOKUP(Ruimtestaat[[#This Row],[Code]],Locaties[#All],2,FALSE)</f>
        <v>SGC Almelo</v>
      </c>
      <c r="C604" s="281" t="str">
        <f>VLOOKUP(Ruimtestaat[[#This Row],[Code]],Locaties[#All],4,FALSE)</f>
        <v>Slot 31</v>
      </c>
      <c r="D604" s="281" t="str">
        <f>VLOOKUP(Ruimtestaat[[#This Row],[Code]],Locaties[#All],5,FALSE)</f>
        <v>7608 ND</v>
      </c>
      <c r="E604" s="281" t="str">
        <f>VLOOKUP(Ruimtestaat[[#This Row],[Code]],Locaties[#All],6,FALSE)</f>
        <v>Almelo</v>
      </c>
      <c r="F604" s="282"/>
      <c r="G604" s="283" t="s">
        <v>444</v>
      </c>
      <c r="H604" s="280" t="s">
        <v>782</v>
      </c>
      <c r="I604" s="282" t="s">
        <v>447</v>
      </c>
      <c r="J604" s="200">
        <v>21</v>
      </c>
      <c r="K604" s="243" t="s">
        <v>110</v>
      </c>
      <c r="L604" s="291" t="s">
        <v>132</v>
      </c>
      <c r="M604" s="213"/>
      <c r="N604" s="202">
        <v>7.25</v>
      </c>
      <c r="O604" s="243" t="str">
        <f>VLOOKUP(Ruimtestaat[[#This Row],[Ruimte code]],Ruimtegroepen[#All],4,FALSE)</f>
        <v>Niet in onderhoud</v>
      </c>
      <c r="P604" s="214"/>
      <c r="Q604" s="215"/>
      <c r="R604" s="215"/>
      <c r="S604" s="215">
        <f>IF(R604&gt;0,IF(RIGHT(Ruimtestaat[[#This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04" s="215">
        <f>IF(S604&gt;0,VLOOKUP($J604,Ruimtegroepen[],3,FALSE)*VLOOKUP($K604,Vloersoorten[],3,FALSE)*VLOOKUP($R604,Frequenties[],3,FALSE)*VLOOKUP($A604,Locaties[],3,FALSE),0)</f>
        <v>0</v>
      </c>
      <c r="U604" s="215">
        <f>Ruimtestaat[[#This Row],[Uitvoeringen werkdagen]]*Ruimtestaat[[#This Row],[Oppervlak (netto)]]</f>
        <v>0</v>
      </c>
      <c r="V604" s="259">
        <f>IF(T604&gt;0,Ruimtestaat[[#This Row],[Prest. (m2 /jaar) werkdagen]]/Ruimtestaat[[#This Row],[Norm (m2/uur) werkdagen]],0)</f>
        <v>0</v>
      </c>
      <c r="W604" s="260">
        <f>Ruimtestaat[[#This Row],[uren / jaar werkdagen]]*Tariefsopbouw!$D$38</f>
        <v>0</v>
      </c>
      <c r="X604" s="33"/>
      <c r="Y604" s="33">
        <f>IF(Ruimtestaat[[#This Row],[Frequentie weekend]]&gt;0,VALUE(LEFT(X604,1))*Q604,0)</f>
        <v>0</v>
      </c>
      <c r="Z604" s="33">
        <f>IF($Y604&gt;0,VLOOKUP($J604,Ruimtegroepen[],3,FALSE)*VLOOKUP($K604,Vloersoorten[],3,FALSE)*VLOOKUP($X604,Frequenties[],3,FALSE)*VLOOKUP(#REF!,Locaties[],3,FALSE),0)</f>
        <v>0</v>
      </c>
      <c r="AA604" s="33"/>
      <c r="AB604" s="33"/>
      <c r="AC604" s="33">
        <f>Ruimtestaat[[#This Row],[uren / jaar weekend]]*Tariefsopbouw!$D$40</f>
        <v>0</v>
      </c>
      <c r="AD604" s="88">
        <f>Ruimtestaat[[#This Row],[Prest. (m2 /jaar) weekend]]+Ruimtestaat[[#This Row],[Prest. (m2 /jaar) werkdagen]]</f>
        <v>0</v>
      </c>
      <c r="AE604" s="88">
        <f>Ruimtestaat[[#This Row],[uren / jaar weekend]]+Ruimtestaat[[#This Row],[uren / jaar werkdagen]]</f>
        <v>0</v>
      </c>
      <c r="AF604" s="89">
        <f>Ruimtestaat[[#This Row],[kosten / jaar weekend]]+Ruimtestaat[[#This Row],[kosten / jaar werkdagen]]</f>
        <v>0</v>
      </c>
    </row>
    <row r="605" spans="1:32" ht="15" customHeight="1">
      <c r="A605" s="280">
        <v>5</v>
      </c>
      <c r="B605" s="21" t="str">
        <f>VLOOKUP(Ruimtestaat[[#This Row],[Code]],Locaties[#All],2,FALSE)</f>
        <v>SGC Almelo</v>
      </c>
      <c r="C605" s="281" t="str">
        <f>VLOOKUP(Ruimtestaat[[#This Row],[Code]],Locaties[#All],4,FALSE)</f>
        <v>Slot 31</v>
      </c>
      <c r="D605" s="281" t="str">
        <f>VLOOKUP(Ruimtestaat[[#This Row],[Code]],Locaties[#All],5,FALSE)</f>
        <v>7608 ND</v>
      </c>
      <c r="E605" s="281" t="str">
        <f>VLOOKUP(Ruimtestaat[[#This Row],[Code]],Locaties[#All],6,FALSE)</f>
        <v>Almelo</v>
      </c>
      <c r="F605" s="282"/>
      <c r="G605" s="283" t="s">
        <v>444</v>
      </c>
      <c r="H605" s="280" t="s">
        <v>458</v>
      </c>
      <c r="I605" s="282" t="s">
        <v>396</v>
      </c>
      <c r="J605" s="200">
        <v>16</v>
      </c>
      <c r="K605" s="243" t="s">
        <v>109</v>
      </c>
      <c r="L605" s="291" t="s">
        <v>1046</v>
      </c>
      <c r="M605" s="213">
        <v>51.12</v>
      </c>
      <c r="N605" s="202"/>
      <c r="O605" s="243" t="str">
        <f>VLOOKUP(Ruimtestaat[[#This Row],[Ruimte code]],Ruimtegroepen[#All],4,FALSE)</f>
        <v>L  (Lesruimte)</v>
      </c>
      <c r="P605" s="214"/>
      <c r="Q605" s="215">
        <v>40</v>
      </c>
      <c r="R605" s="215" t="s">
        <v>2</v>
      </c>
      <c r="S605" s="215">
        <f>IF(R605&gt;0,IF(RIGHT(Ruimtestaat[[#This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5" s="215">
        <f>IF(S605&gt;0,VLOOKUP($J605,Ruimtegroepen[],3,FALSE)*VLOOKUP($K605,Vloersoorten[],3,FALSE)*VLOOKUP($R605,Frequenties[],3,FALSE)*VLOOKUP($A605,Locaties[],3,FALSE),0)</f>
        <v>0</v>
      </c>
      <c r="U605" s="215">
        <f>Ruimtestaat[[#This Row],[Uitvoeringen werkdagen]]*Ruimtestaat[[#This Row],[Oppervlak (netto)]]</f>
        <v>10224</v>
      </c>
      <c r="V605" s="259">
        <f>IF(T605&gt;0,Ruimtestaat[[#This Row],[Prest. (m2 /jaar) werkdagen]]/Ruimtestaat[[#This Row],[Norm (m2/uur) werkdagen]],0)</f>
        <v>0</v>
      </c>
      <c r="W605" s="260">
        <f>Ruimtestaat[[#This Row],[uren / jaar werkdagen]]*Tariefsopbouw!$D$38</f>
        <v>0</v>
      </c>
      <c r="X605" s="33"/>
      <c r="Y605" s="33">
        <f>IF(Ruimtestaat[[#This Row],[Frequentie weekend]]&gt;0,VALUE(LEFT(X605,1))*Q605,0)</f>
        <v>0</v>
      </c>
      <c r="Z605" s="33">
        <f>IF($Y605&gt;0,VLOOKUP($J605,Ruimtegroepen[],3,FALSE)*VLOOKUP($K605,Vloersoorten[],3,FALSE)*VLOOKUP($X605,Frequenties[],3,FALSE)*VLOOKUP(#REF!,Locaties[],3,FALSE),0)</f>
        <v>0</v>
      </c>
      <c r="AA605" s="33"/>
      <c r="AB605" s="33"/>
      <c r="AC605" s="33">
        <f>Ruimtestaat[[#This Row],[uren / jaar weekend]]*Tariefsopbouw!$D$40</f>
        <v>0</v>
      </c>
      <c r="AD605" s="88">
        <f>Ruimtestaat[[#This Row],[Prest. (m2 /jaar) weekend]]+Ruimtestaat[[#This Row],[Prest. (m2 /jaar) werkdagen]]</f>
        <v>10224</v>
      </c>
      <c r="AE605" s="88">
        <f>Ruimtestaat[[#This Row],[uren / jaar weekend]]+Ruimtestaat[[#This Row],[uren / jaar werkdagen]]</f>
        <v>0</v>
      </c>
      <c r="AF605" s="89">
        <f>Ruimtestaat[[#This Row],[kosten / jaar weekend]]+Ruimtestaat[[#This Row],[kosten / jaar werkdagen]]</f>
        <v>0</v>
      </c>
    </row>
    <row r="606" spans="1:32" ht="15" customHeight="1">
      <c r="A606" s="280">
        <v>5</v>
      </c>
      <c r="B606" s="21" t="str">
        <f>VLOOKUP(Ruimtestaat[[#This Row],[Code]],Locaties[#All],2,FALSE)</f>
        <v>SGC Almelo</v>
      </c>
      <c r="C606" s="281" t="str">
        <f>VLOOKUP(Ruimtestaat[[#This Row],[Code]],Locaties[#All],4,FALSE)</f>
        <v>Slot 31</v>
      </c>
      <c r="D606" s="281" t="str">
        <f>VLOOKUP(Ruimtestaat[[#This Row],[Code]],Locaties[#All],5,FALSE)</f>
        <v>7608 ND</v>
      </c>
      <c r="E606" s="281" t="str">
        <f>VLOOKUP(Ruimtestaat[[#This Row],[Code]],Locaties[#All],6,FALSE)</f>
        <v>Almelo</v>
      </c>
      <c r="F606" s="282"/>
      <c r="G606" s="283" t="s">
        <v>444</v>
      </c>
      <c r="H606" s="280" t="s">
        <v>734</v>
      </c>
      <c r="I606" s="282" t="s">
        <v>487</v>
      </c>
      <c r="J606" s="200">
        <v>2</v>
      </c>
      <c r="K606" s="243" t="s">
        <v>109</v>
      </c>
      <c r="L606" s="291" t="s">
        <v>1046</v>
      </c>
      <c r="M606" s="213">
        <v>12.1</v>
      </c>
      <c r="N606" s="202"/>
      <c r="O606" s="243" t="str">
        <f>VLOOKUP(Ruimtestaat[[#This Row],[Ruimte code]],Ruimtegroepen[#All],4,FALSE)</f>
        <v>B  (Bureauruimte)</v>
      </c>
      <c r="P606" s="214"/>
      <c r="Q606" s="215">
        <v>40</v>
      </c>
      <c r="R606" s="215" t="s">
        <v>17</v>
      </c>
      <c r="S606" s="215">
        <f>IF(R606&gt;0,IF(RIGHT(Ruimtestaat[[#This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06" s="215">
        <f>IF(S606&gt;0,VLOOKUP($J606,Ruimtegroepen[],3,FALSE)*VLOOKUP($K606,Vloersoorten[],3,FALSE)*VLOOKUP($R606,Frequenties[],3,FALSE)*VLOOKUP($A606,Locaties[],3,FALSE),0)</f>
        <v>0</v>
      </c>
      <c r="U606" s="215">
        <f>Ruimtestaat[[#This Row],[Uitvoeringen werkdagen]]*Ruimtestaat[[#This Row],[Oppervlak (netto)]]</f>
        <v>968</v>
      </c>
      <c r="V606" s="259">
        <f>IF(T606&gt;0,Ruimtestaat[[#This Row],[Prest. (m2 /jaar) werkdagen]]/Ruimtestaat[[#This Row],[Norm (m2/uur) werkdagen]],0)</f>
        <v>0</v>
      </c>
      <c r="W606" s="260">
        <f>Ruimtestaat[[#This Row],[uren / jaar werkdagen]]*Tariefsopbouw!$D$38</f>
        <v>0</v>
      </c>
      <c r="X606" s="33"/>
      <c r="Y606" s="33">
        <f>IF(Ruimtestaat[[#This Row],[Frequentie weekend]]&gt;0,VALUE(LEFT(X606,1))*Q606,0)</f>
        <v>0</v>
      </c>
      <c r="Z606" s="33">
        <f>IF($Y606&gt;0,VLOOKUP($J606,Ruimtegroepen[],3,FALSE)*VLOOKUP($K606,Vloersoorten[],3,FALSE)*VLOOKUP($X606,Frequenties[],3,FALSE)*VLOOKUP(#REF!,Locaties[],3,FALSE),0)</f>
        <v>0</v>
      </c>
      <c r="AA606" s="33"/>
      <c r="AB606" s="33"/>
      <c r="AC606" s="33">
        <f>Ruimtestaat[[#This Row],[uren / jaar weekend]]*Tariefsopbouw!$D$40</f>
        <v>0</v>
      </c>
      <c r="AD606" s="88">
        <f>Ruimtestaat[[#This Row],[Prest. (m2 /jaar) weekend]]+Ruimtestaat[[#This Row],[Prest. (m2 /jaar) werkdagen]]</f>
        <v>968</v>
      </c>
      <c r="AE606" s="88">
        <f>Ruimtestaat[[#This Row],[uren / jaar weekend]]+Ruimtestaat[[#This Row],[uren / jaar werkdagen]]</f>
        <v>0</v>
      </c>
      <c r="AF606" s="89">
        <f>Ruimtestaat[[#This Row],[kosten / jaar weekend]]+Ruimtestaat[[#This Row],[kosten / jaar werkdagen]]</f>
        <v>0</v>
      </c>
    </row>
    <row r="607" spans="1:32" ht="15" customHeight="1">
      <c r="A607" s="280">
        <v>5</v>
      </c>
      <c r="B607" s="21" t="str">
        <f>VLOOKUP(Ruimtestaat[[#This Row],[Code]],Locaties[#All],2,FALSE)</f>
        <v>SGC Almelo</v>
      </c>
      <c r="C607" s="281" t="str">
        <f>VLOOKUP(Ruimtestaat[[#This Row],[Code]],Locaties[#All],4,FALSE)</f>
        <v>Slot 31</v>
      </c>
      <c r="D607" s="281" t="str">
        <f>VLOOKUP(Ruimtestaat[[#This Row],[Code]],Locaties[#All],5,FALSE)</f>
        <v>7608 ND</v>
      </c>
      <c r="E607" s="281" t="str">
        <f>VLOOKUP(Ruimtestaat[[#This Row],[Code]],Locaties[#All],6,FALSE)</f>
        <v>Almelo</v>
      </c>
      <c r="F607" s="282"/>
      <c r="G607" s="283" t="s">
        <v>444</v>
      </c>
      <c r="H607" s="280" t="s">
        <v>462</v>
      </c>
      <c r="I607" s="282" t="s">
        <v>396</v>
      </c>
      <c r="J607" s="200">
        <v>16</v>
      </c>
      <c r="K607" s="243" t="s">
        <v>109</v>
      </c>
      <c r="L607" s="291" t="s">
        <v>1046</v>
      </c>
      <c r="M607" s="213">
        <v>51.84</v>
      </c>
      <c r="N607" s="202"/>
      <c r="O607" s="243" t="str">
        <f>VLOOKUP(Ruimtestaat[[#This Row],[Ruimte code]],Ruimtegroepen[#All],4,FALSE)</f>
        <v>L  (Lesruimte)</v>
      </c>
      <c r="P607" s="214"/>
      <c r="Q607" s="215">
        <v>40</v>
      </c>
      <c r="R607" s="215" t="s">
        <v>2</v>
      </c>
      <c r="S607" s="215">
        <f>IF(R607&gt;0,IF(RIGHT(Ruimtestaat[[#This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7" s="215">
        <f>IF(S607&gt;0,VLOOKUP($J607,Ruimtegroepen[],3,FALSE)*VLOOKUP($K607,Vloersoorten[],3,FALSE)*VLOOKUP($R607,Frequenties[],3,FALSE)*VLOOKUP($A607,Locaties[],3,FALSE),0)</f>
        <v>0</v>
      </c>
      <c r="U607" s="215">
        <f>Ruimtestaat[[#This Row],[Uitvoeringen werkdagen]]*Ruimtestaat[[#This Row],[Oppervlak (netto)]]</f>
        <v>10368</v>
      </c>
      <c r="V607" s="259">
        <f>IF(T607&gt;0,Ruimtestaat[[#This Row],[Prest. (m2 /jaar) werkdagen]]/Ruimtestaat[[#This Row],[Norm (m2/uur) werkdagen]],0)</f>
        <v>0</v>
      </c>
      <c r="W607" s="260">
        <f>Ruimtestaat[[#This Row],[uren / jaar werkdagen]]*Tariefsopbouw!$D$38</f>
        <v>0</v>
      </c>
      <c r="X607" s="33"/>
      <c r="Y607" s="33">
        <f>IF(Ruimtestaat[[#This Row],[Frequentie weekend]]&gt;0,VALUE(LEFT(X607,1))*Q607,0)</f>
        <v>0</v>
      </c>
      <c r="Z607" s="33">
        <f>IF($Y607&gt;0,VLOOKUP($J607,Ruimtegroepen[],3,FALSE)*VLOOKUP($K607,Vloersoorten[],3,FALSE)*VLOOKUP($X607,Frequenties[],3,FALSE)*VLOOKUP(#REF!,Locaties[],3,FALSE),0)</f>
        <v>0</v>
      </c>
      <c r="AA607" s="33"/>
      <c r="AB607" s="33"/>
      <c r="AC607" s="33">
        <f>Ruimtestaat[[#This Row],[uren / jaar weekend]]*Tariefsopbouw!$D$40</f>
        <v>0</v>
      </c>
      <c r="AD607" s="88">
        <f>Ruimtestaat[[#This Row],[Prest. (m2 /jaar) weekend]]+Ruimtestaat[[#This Row],[Prest. (m2 /jaar) werkdagen]]</f>
        <v>10368</v>
      </c>
      <c r="AE607" s="88">
        <f>Ruimtestaat[[#This Row],[uren / jaar weekend]]+Ruimtestaat[[#This Row],[uren / jaar werkdagen]]</f>
        <v>0</v>
      </c>
      <c r="AF607" s="89">
        <f>Ruimtestaat[[#This Row],[kosten / jaar weekend]]+Ruimtestaat[[#This Row],[kosten / jaar werkdagen]]</f>
        <v>0</v>
      </c>
    </row>
    <row r="608" spans="1:32" ht="15" customHeight="1">
      <c r="A608" s="280">
        <v>5</v>
      </c>
      <c r="B608" s="21" t="str">
        <f>VLOOKUP(Ruimtestaat[[#This Row],[Code]],Locaties[#All],2,FALSE)</f>
        <v>SGC Almelo</v>
      </c>
      <c r="C608" s="281" t="str">
        <f>VLOOKUP(Ruimtestaat[[#This Row],[Code]],Locaties[#All],4,FALSE)</f>
        <v>Slot 31</v>
      </c>
      <c r="D608" s="281" t="str">
        <f>VLOOKUP(Ruimtestaat[[#This Row],[Code]],Locaties[#All],5,FALSE)</f>
        <v>7608 ND</v>
      </c>
      <c r="E608" s="281" t="str">
        <f>VLOOKUP(Ruimtestaat[[#This Row],[Code]],Locaties[#All],6,FALSE)</f>
        <v>Almelo</v>
      </c>
      <c r="F608" s="282"/>
      <c r="G608" s="283" t="s">
        <v>444</v>
      </c>
      <c r="H608" s="280" t="s">
        <v>464</v>
      </c>
      <c r="I608" s="282" t="s">
        <v>396</v>
      </c>
      <c r="J608" s="200">
        <v>16</v>
      </c>
      <c r="K608" s="243" t="s">
        <v>109</v>
      </c>
      <c r="L608" s="291" t="s">
        <v>1046</v>
      </c>
      <c r="M608" s="213">
        <v>51.12</v>
      </c>
      <c r="N608" s="202"/>
      <c r="O608" s="243" t="str">
        <f>VLOOKUP(Ruimtestaat[[#This Row],[Ruimte code]],Ruimtegroepen[#All],4,FALSE)</f>
        <v>L  (Lesruimte)</v>
      </c>
      <c r="P608" s="214"/>
      <c r="Q608" s="215">
        <v>40</v>
      </c>
      <c r="R608" s="215" t="s">
        <v>2</v>
      </c>
      <c r="S608" s="215">
        <f>IF(R608&gt;0,IF(RIGHT(Ruimtestaat[[#This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8" s="215">
        <f>IF(S608&gt;0,VLOOKUP($J608,Ruimtegroepen[],3,FALSE)*VLOOKUP($K608,Vloersoorten[],3,FALSE)*VLOOKUP($R608,Frequenties[],3,FALSE)*VLOOKUP($A608,Locaties[],3,FALSE),0)</f>
        <v>0</v>
      </c>
      <c r="U608" s="215">
        <f>Ruimtestaat[[#This Row],[Uitvoeringen werkdagen]]*Ruimtestaat[[#This Row],[Oppervlak (netto)]]</f>
        <v>10224</v>
      </c>
      <c r="V608" s="259">
        <f>IF(T608&gt;0,Ruimtestaat[[#This Row],[Prest. (m2 /jaar) werkdagen]]/Ruimtestaat[[#This Row],[Norm (m2/uur) werkdagen]],0)</f>
        <v>0</v>
      </c>
      <c r="W608" s="260">
        <f>Ruimtestaat[[#This Row],[uren / jaar werkdagen]]*Tariefsopbouw!$D$38</f>
        <v>0</v>
      </c>
      <c r="X608" s="33"/>
      <c r="Y608" s="33">
        <f>IF(Ruimtestaat[[#This Row],[Frequentie weekend]]&gt;0,VALUE(LEFT(X608,1))*Q608,0)</f>
        <v>0</v>
      </c>
      <c r="Z608" s="33">
        <f>IF($Y608&gt;0,VLOOKUP($J608,Ruimtegroepen[],3,FALSE)*VLOOKUP($K608,Vloersoorten[],3,FALSE)*VLOOKUP($X608,Frequenties[],3,FALSE)*VLOOKUP(#REF!,Locaties[],3,FALSE),0)</f>
        <v>0</v>
      </c>
      <c r="AA608" s="33"/>
      <c r="AB608" s="33"/>
      <c r="AC608" s="33">
        <f>Ruimtestaat[[#This Row],[uren / jaar weekend]]*Tariefsopbouw!$D$40</f>
        <v>0</v>
      </c>
      <c r="AD608" s="88">
        <f>Ruimtestaat[[#This Row],[Prest. (m2 /jaar) weekend]]+Ruimtestaat[[#This Row],[Prest. (m2 /jaar) werkdagen]]</f>
        <v>10224</v>
      </c>
      <c r="AE608" s="88">
        <f>Ruimtestaat[[#This Row],[uren / jaar weekend]]+Ruimtestaat[[#This Row],[uren / jaar werkdagen]]</f>
        <v>0</v>
      </c>
      <c r="AF608" s="89">
        <f>Ruimtestaat[[#This Row],[kosten / jaar weekend]]+Ruimtestaat[[#This Row],[kosten / jaar werkdagen]]</f>
        <v>0</v>
      </c>
    </row>
    <row r="609" spans="1:32" ht="15" customHeight="1">
      <c r="A609" s="280">
        <v>5</v>
      </c>
      <c r="B609" s="21" t="str">
        <f>VLOOKUP(Ruimtestaat[[#This Row],[Code]],Locaties[#All],2,FALSE)</f>
        <v>SGC Almelo</v>
      </c>
      <c r="C609" s="281" t="str">
        <f>VLOOKUP(Ruimtestaat[[#This Row],[Code]],Locaties[#All],4,FALSE)</f>
        <v>Slot 31</v>
      </c>
      <c r="D609" s="281" t="str">
        <f>VLOOKUP(Ruimtestaat[[#This Row],[Code]],Locaties[#All],5,FALSE)</f>
        <v>7608 ND</v>
      </c>
      <c r="E609" s="281" t="str">
        <f>VLOOKUP(Ruimtestaat[[#This Row],[Code]],Locaties[#All],6,FALSE)</f>
        <v>Almelo</v>
      </c>
      <c r="F609" s="282"/>
      <c r="G609" s="283" t="s">
        <v>444</v>
      </c>
      <c r="H609" s="280" t="s">
        <v>465</v>
      </c>
      <c r="I609" s="282" t="s">
        <v>396</v>
      </c>
      <c r="J609" s="200">
        <v>16</v>
      </c>
      <c r="K609" s="243" t="s">
        <v>109</v>
      </c>
      <c r="L609" s="291" t="s">
        <v>1046</v>
      </c>
      <c r="M609" s="213">
        <v>51.12</v>
      </c>
      <c r="N609" s="202"/>
      <c r="O609" s="243" t="str">
        <f>VLOOKUP(Ruimtestaat[[#This Row],[Ruimte code]],Ruimtegroepen[#All],4,FALSE)</f>
        <v>L  (Lesruimte)</v>
      </c>
      <c r="P609" s="214"/>
      <c r="Q609" s="215">
        <v>40</v>
      </c>
      <c r="R609" s="215" t="s">
        <v>2</v>
      </c>
      <c r="S609" s="215">
        <f>IF(R609&gt;0,IF(RIGHT(Ruimtestaat[[#This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09" s="215">
        <f>IF(S609&gt;0,VLOOKUP($J609,Ruimtegroepen[],3,FALSE)*VLOOKUP($K609,Vloersoorten[],3,FALSE)*VLOOKUP($R609,Frequenties[],3,FALSE)*VLOOKUP($A609,Locaties[],3,FALSE),0)</f>
        <v>0</v>
      </c>
      <c r="U609" s="215">
        <f>Ruimtestaat[[#This Row],[Uitvoeringen werkdagen]]*Ruimtestaat[[#This Row],[Oppervlak (netto)]]</f>
        <v>10224</v>
      </c>
      <c r="V609" s="259">
        <f>IF(T609&gt;0,Ruimtestaat[[#This Row],[Prest. (m2 /jaar) werkdagen]]/Ruimtestaat[[#This Row],[Norm (m2/uur) werkdagen]],0)</f>
        <v>0</v>
      </c>
      <c r="W609" s="260">
        <f>Ruimtestaat[[#This Row],[uren / jaar werkdagen]]*Tariefsopbouw!$D$38</f>
        <v>0</v>
      </c>
      <c r="X609" s="33"/>
      <c r="Y609" s="33">
        <f>IF(Ruimtestaat[[#This Row],[Frequentie weekend]]&gt;0,VALUE(LEFT(X609,1))*Q609,0)</f>
        <v>0</v>
      </c>
      <c r="Z609" s="33">
        <f>IF($Y609&gt;0,VLOOKUP($J609,Ruimtegroepen[],3,FALSE)*VLOOKUP($K609,Vloersoorten[],3,FALSE)*VLOOKUP($X609,Frequenties[],3,FALSE)*VLOOKUP(#REF!,Locaties[],3,FALSE),0)</f>
        <v>0</v>
      </c>
      <c r="AA609" s="33"/>
      <c r="AB609" s="33"/>
      <c r="AC609" s="33">
        <f>Ruimtestaat[[#This Row],[uren / jaar weekend]]*Tariefsopbouw!$D$40</f>
        <v>0</v>
      </c>
      <c r="AD609" s="88">
        <f>Ruimtestaat[[#This Row],[Prest. (m2 /jaar) weekend]]+Ruimtestaat[[#This Row],[Prest. (m2 /jaar) werkdagen]]</f>
        <v>10224</v>
      </c>
      <c r="AE609" s="88">
        <f>Ruimtestaat[[#This Row],[uren / jaar weekend]]+Ruimtestaat[[#This Row],[uren / jaar werkdagen]]</f>
        <v>0</v>
      </c>
      <c r="AF609" s="89">
        <f>Ruimtestaat[[#This Row],[kosten / jaar weekend]]+Ruimtestaat[[#This Row],[kosten / jaar werkdagen]]</f>
        <v>0</v>
      </c>
    </row>
    <row r="610" spans="1:32" ht="15" customHeight="1">
      <c r="A610" s="280">
        <v>5</v>
      </c>
      <c r="B610" s="21" t="str">
        <f>VLOOKUP(Ruimtestaat[[#This Row],[Code]],Locaties[#All],2,FALSE)</f>
        <v>SGC Almelo</v>
      </c>
      <c r="C610" s="281" t="str">
        <f>VLOOKUP(Ruimtestaat[[#This Row],[Code]],Locaties[#All],4,FALSE)</f>
        <v>Slot 31</v>
      </c>
      <c r="D610" s="281" t="str">
        <f>VLOOKUP(Ruimtestaat[[#This Row],[Code]],Locaties[#All],5,FALSE)</f>
        <v>7608 ND</v>
      </c>
      <c r="E610" s="281" t="str">
        <f>VLOOKUP(Ruimtestaat[[#This Row],[Code]],Locaties[#All],6,FALSE)</f>
        <v>Almelo</v>
      </c>
      <c r="F610" s="282"/>
      <c r="G610" s="283" t="s">
        <v>444</v>
      </c>
      <c r="H610" s="280" t="s">
        <v>466</v>
      </c>
      <c r="I610" s="282" t="s">
        <v>396</v>
      </c>
      <c r="J610" s="200">
        <v>16</v>
      </c>
      <c r="K610" s="243" t="s">
        <v>109</v>
      </c>
      <c r="L610" s="291" t="s">
        <v>1046</v>
      </c>
      <c r="M610" s="213">
        <v>41.04</v>
      </c>
      <c r="N610" s="202"/>
      <c r="O610" s="243" t="str">
        <f>VLOOKUP(Ruimtestaat[[#This Row],[Ruimte code]],Ruimtegroepen[#All],4,FALSE)</f>
        <v>L  (Lesruimte)</v>
      </c>
      <c r="P610" s="214"/>
      <c r="Q610" s="215">
        <v>40</v>
      </c>
      <c r="R610" s="215" t="s">
        <v>2</v>
      </c>
      <c r="S610" s="215">
        <f>IF(R610&gt;0,IF(RIGHT(Ruimtestaat[[#This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0" s="215">
        <f>IF(S610&gt;0,VLOOKUP($J610,Ruimtegroepen[],3,FALSE)*VLOOKUP($K610,Vloersoorten[],3,FALSE)*VLOOKUP($R610,Frequenties[],3,FALSE)*VLOOKUP($A610,Locaties[],3,FALSE),0)</f>
        <v>0</v>
      </c>
      <c r="U610" s="215">
        <f>Ruimtestaat[[#This Row],[Uitvoeringen werkdagen]]*Ruimtestaat[[#This Row],[Oppervlak (netto)]]</f>
        <v>8208</v>
      </c>
      <c r="V610" s="259">
        <f>IF(T610&gt;0,Ruimtestaat[[#This Row],[Prest. (m2 /jaar) werkdagen]]/Ruimtestaat[[#This Row],[Norm (m2/uur) werkdagen]],0)</f>
        <v>0</v>
      </c>
      <c r="W610" s="260">
        <f>Ruimtestaat[[#This Row],[uren / jaar werkdagen]]*Tariefsopbouw!$D$38</f>
        <v>0</v>
      </c>
      <c r="X610" s="33"/>
      <c r="Y610" s="33">
        <f>IF(Ruimtestaat[[#This Row],[Frequentie weekend]]&gt;0,VALUE(LEFT(X610,1))*Q610,0)</f>
        <v>0</v>
      </c>
      <c r="Z610" s="33">
        <f>IF($Y610&gt;0,VLOOKUP($J610,Ruimtegroepen[],3,FALSE)*VLOOKUP($K610,Vloersoorten[],3,FALSE)*VLOOKUP($X610,Frequenties[],3,FALSE)*VLOOKUP(#REF!,Locaties[],3,FALSE),0)</f>
        <v>0</v>
      </c>
      <c r="AA610" s="33"/>
      <c r="AB610" s="33"/>
      <c r="AC610" s="33">
        <f>Ruimtestaat[[#This Row],[uren / jaar weekend]]*Tariefsopbouw!$D$40</f>
        <v>0</v>
      </c>
      <c r="AD610" s="88">
        <f>Ruimtestaat[[#This Row],[Prest. (m2 /jaar) weekend]]+Ruimtestaat[[#This Row],[Prest. (m2 /jaar) werkdagen]]</f>
        <v>8208</v>
      </c>
      <c r="AE610" s="88">
        <f>Ruimtestaat[[#This Row],[uren / jaar weekend]]+Ruimtestaat[[#This Row],[uren / jaar werkdagen]]</f>
        <v>0</v>
      </c>
      <c r="AF610" s="89">
        <f>Ruimtestaat[[#This Row],[kosten / jaar weekend]]+Ruimtestaat[[#This Row],[kosten / jaar werkdagen]]</f>
        <v>0</v>
      </c>
    </row>
    <row r="611" spans="1:32" ht="15" customHeight="1">
      <c r="A611" s="280">
        <v>5</v>
      </c>
      <c r="B611" s="21" t="str">
        <f>VLOOKUP(Ruimtestaat[[#This Row],[Code]],Locaties[#All],2,FALSE)</f>
        <v>SGC Almelo</v>
      </c>
      <c r="C611" s="281" t="str">
        <f>VLOOKUP(Ruimtestaat[[#This Row],[Code]],Locaties[#All],4,FALSE)</f>
        <v>Slot 31</v>
      </c>
      <c r="D611" s="281" t="str">
        <f>VLOOKUP(Ruimtestaat[[#This Row],[Code]],Locaties[#All],5,FALSE)</f>
        <v>7608 ND</v>
      </c>
      <c r="E611" s="281" t="str">
        <f>VLOOKUP(Ruimtestaat[[#This Row],[Code]],Locaties[#All],6,FALSE)</f>
        <v>Almelo</v>
      </c>
      <c r="F611" s="282"/>
      <c r="G611" s="283" t="s">
        <v>444</v>
      </c>
      <c r="H611" s="280" t="s">
        <v>783</v>
      </c>
      <c r="I611" s="282" t="s">
        <v>469</v>
      </c>
      <c r="J611" s="200">
        <v>6</v>
      </c>
      <c r="K611" s="243" t="s">
        <v>109</v>
      </c>
      <c r="L611" s="291" t="s">
        <v>1046</v>
      </c>
      <c r="M611" s="213">
        <v>170.39</v>
      </c>
      <c r="N611" s="202"/>
      <c r="O611" s="243" t="str">
        <f>VLOOKUP(Ruimtestaat[[#This Row],[Ruimte code]],Ruimtegroepen[#All],4,FALSE)</f>
        <v>V  (Verkeersruimte)</v>
      </c>
      <c r="P611" s="214"/>
      <c r="Q611" s="215">
        <v>40</v>
      </c>
      <c r="R611" s="215" t="s">
        <v>2</v>
      </c>
      <c r="S611" s="215">
        <f>IF(R611&gt;0,IF(RIGHT(Ruimtestaat[[#This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1" s="215">
        <f>IF(S611&gt;0,VLOOKUP($J611,Ruimtegroepen[],3,FALSE)*VLOOKUP($K611,Vloersoorten[],3,FALSE)*VLOOKUP($R611,Frequenties[],3,FALSE)*VLOOKUP($A611,Locaties[],3,FALSE),0)</f>
        <v>0</v>
      </c>
      <c r="U611" s="215">
        <f>Ruimtestaat[[#This Row],[Uitvoeringen werkdagen]]*Ruimtestaat[[#This Row],[Oppervlak (netto)]]</f>
        <v>34078</v>
      </c>
      <c r="V611" s="259">
        <f>IF(T611&gt;0,Ruimtestaat[[#This Row],[Prest. (m2 /jaar) werkdagen]]/Ruimtestaat[[#This Row],[Norm (m2/uur) werkdagen]],0)</f>
        <v>0</v>
      </c>
      <c r="W611" s="260">
        <f>Ruimtestaat[[#This Row],[uren / jaar werkdagen]]*Tariefsopbouw!$D$38</f>
        <v>0</v>
      </c>
      <c r="X611" s="33"/>
      <c r="Y611" s="33">
        <f>IF(Ruimtestaat[[#This Row],[Frequentie weekend]]&gt;0,VALUE(LEFT(X611,1))*Q611,0)</f>
        <v>0</v>
      </c>
      <c r="Z611" s="33">
        <f>IF($Y611&gt;0,VLOOKUP($J611,Ruimtegroepen[],3,FALSE)*VLOOKUP($K611,Vloersoorten[],3,FALSE)*VLOOKUP($X611,Frequenties[],3,FALSE)*VLOOKUP(#REF!,Locaties[],3,FALSE),0)</f>
        <v>0</v>
      </c>
      <c r="AA611" s="33"/>
      <c r="AB611" s="33"/>
      <c r="AC611" s="33">
        <f>Ruimtestaat[[#This Row],[uren / jaar weekend]]*Tariefsopbouw!$D$40</f>
        <v>0</v>
      </c>
      <c r="AD611" s="88">
        <f>Ruimtestaat[[#This Row],[Prest. (m2 /jaar) weekend]]+Ruimtestaat[[#This Row],[Prest. (m2 /jaar) werkdagen]]</f>
        <v>34078</v>
      </c>
      <c r="AE611" s="88">
        <f>Ruimtestaat[[#This Row],[uren / jaar weekend]]+Ruimtestaat[[#This Row],[uren / jaar werkdagen]]</f>
        <v>0</v>
      </c>
      <c r="AF611" s="89">
        <f>Ruimtestaat[[#This Row],[kosten / jaar weekend]]+Ruimtestaat[[#This Row],[kosten / jaar werkdagen]]</f>
        <v>0</v>
      </c>
    </row>
    <row r="612" spans="1:32" ht="15" customHeight="1">
      <c r="A612" s="280">
        <v>5</v>
      </c>
      <c r="B612" s="21" t="str">
        <f>VLOOKUP(Ruimtestaat[[#This Row],[Code]],Locaties[#All],2,FALSE)</f>
        <v>SGC Almelo</v>
      </c>
      <c r="C612" s="281" t="str">
        <f>VLOOKUP(Ruimtestaat[[#This Row],[Code]],Locaties[#All],4,FALSE)</f>
        <v>Slot 31</v>
      </c>
      <c r="D612" s="281" t="str">
        <f>VLOOKUP(Ruimtestaat[[#This Row],[Code]],Locaties[#All],5,FALSE)</f>
        <v>7608 ND</v>
      </c>
      <c r="E612" s="281" t="str">
        <f>VLOOKUP(Ruimtestaat[[#This Row],[Code]],Locaties[#All],6,FALSE)</f>
        <v>Almelo</v>
      </c>
      <c r="F612" s="282"/>
      <c r="G612" s="283" t="s">
        <v>444</v>
      </c>
      <c r="H612" s="280" t="s">
        <v>467</v>
      </c>
      <c r="I612" s="282" t="s">
        <v>487</v>
      </c>
      <c r="J612" s="200">
        <v>2</v>
      </c>
      <c r="K612" s="243" t="s">
        <v>109</v>
      </c>
      <c r="L612" s="291" t="s">
        <v>1046</v>
      </c>
      <c r="M612" s="213">
        <v>19.87</v>
      </c>
      <c r="N612" s="202"/>
      <c r="O612" s="243" t="str">
        <f>VLOOKUP(Ruimtestaat[[#This Row],[Ruimte code]],Ruimtegroepen[#All],4,FALSE)</f>
        <v>B  (Bureauruimte)</v>
      </c>
      <c r="P612" s="214"/>
      <c r="Q612" s="215">
        <v>40</v>
      </c>
      <c r="R612" s="215" t="s">
        <v>17</v>
      </c>
      <c r="S612" s="215">
        <f>IF(R612&gt;0,IF(RIGHT(Ruimtestaat[[#This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12" s="215">
        <f>IF(S612&gt;0,VLOOKUP($J612,Ruimtegroepen[],3,FALSE)*VLOOKUP($K612,Vloersoorten[],3,FALSE)*VLOOKUP($R612,Frequenties[],3,FALSE)*VLOOKUP($A612,Locaties[],3,FALSE),0)</f>
        <v>0</v>
      </c>
      <c r="U612" s="215">
        <f>Ruimtestaat[[#This Row],[Uitvoeringen werkdagen]]*Ruimtestaat[[#This Row],[Oppervlak (netto)]]</f>
        <v>1589.6000000000001</v>
      </c>
      <c r="V612" s="259">
        <f>IF(T612&gt;0,Ruimtestaat[[#This Row],[Prest. (m2 /jaar) werkdagen]]/Ruimtestaat[[#This Row],[Norm (m2/uur) werkdagen]],0)</f>
        <v>0</v>
      </c>
      <c r="W612" s="260">
        <f>Ruimtestaat[[#This Row],[uren / jaar werkdagen]]*Tariefsopbouw!$D$38</f>
        <v>0</v>
      </c>
      <c r="X612" s="33"/>
      <c r="Y612" s="33">
        <f>IF(Ruimtestaat[[#This Row],[Frequentie weekend]]&gt;0,VALUE(LEFT(X612,1))*Q612,0)</f>
        <v>0</v>
      </c>
      <c r="Z612" s="33">
        <f>IF($Y612&gt;0,VLOOKUP($J612,Ruimtegroepen[],3,FALSE)*VLOOKUP($K612,Vloersoorten[],3,FALSE)*VLOOKUP($X612,Frequenties[],3,FALSE)*VLOOKUP(#REF!,Locaties[],3,FALSE),0)</f>
        <v>0</v>
      </c>
      <c r="AA612" s="33"/>
      <c r="AB612" s="33"/>
      <c r="AC612" s="33">
        <f>Ruimtestaat[[#This Row],[uren / jaar weekend]]*Tariefsopbouw!$D$40</f>
        <v>0</v>
      </c>
      <c r="AD612" s="88">
        <f>Ruimtestaat[[#This Row],[Prest. (m2 /jaar) weekend]]+Ruimtestaat[[#This Row],[Prest. (m2 /jaar) werkdagen]]</f>
        <v>1589.6000000000001</v>
      </c>
      <c r="AE612" s="88">
        <f>Ruimtestaat[[#This Row],[uren / jaar weekend]]+Ruimtestaat[[#This Row],[uren / jaar werkdagen]]</f>
        <v>0</v>
      </c>
      <c r="AF612" s="89">
        <f>Ruimtestaat[[#This Row],[kosten / jaar weekend]]+Ruimtestaat[[#This Row],[kosten / jaar werkdagen]]</f>
        <v>0</v>
      </c>
    </row>
    <row r="613" spans="1:32" ht="15" customHeight="1">
      <c r="A613" s="280">
        <v>5</v>
      </c>
      <c r="B613" s="21" t="str">
        <f>VLOOKUP(Ruimtestaat[[#This Row],[Code]],Locaties[#All],2,FALSE)</f>
        <v>SGC Almelo</v>
      </c>
      <c r="C613" s="281" t="str">
        <f>VLOOKUP(Ruimtestaat[[#This Row],[Code]],Locaties[#All],4,FALSE)</f>
        <v>Slot 31</v>
      </c>
      <c r="D613" s="281" t="str">
        <f>VLOOKUP(Ruimtestaat[[#This Row],[Code]],Locaties[#All],5,FALSE)</f>
        <v>7608 ND</v>
      </c>
      <c r="E613" s="281" t="str">
        <f>VLOOKUP(Ruimtestaat[[#This Row],[Code]],Locaties[#All],6,FALSE)</f>
        <v>Almelo</v>
      </c>
      <c r="F613" s="282"/>
      <c r="G613" s="283" t="s">
        <v>444</v>
      </c>
      <c r="H613" s="280" t="s">
        <v>784</v>
      </c>
      <c r="I613" s="282" t="s">
        <v>447</v>
      </c>
      <c r="J613" s="200">
        <v>21</v>
      </c>
      <c r="K613" s="243" t="s">
        <v>110</v>
      </c>
      <c r="L613" s="291" t="s">
        <v>132</v>
      </c>
      <c r="M613" s="213"/>
      <c r="N613" s="202">
        <v>5.2</v>
      </c>
      <c r="O613" s="243" t="str">
        <f>VLOOKUP(Ruimtestaat[[#This Row],[Ruimte code]],Ruimtegroepen[#All],4,FALSE)</f>
        <v>Niet in onderhoud</v>
      </c>
      <c r="P613" s="214"/>
      <c r="Q613" s="215"/>
      <c r="R613" s="215"/>
      <c r="S613" s="215">
        <f>IF(R613&gt;0,IF(RIGHT(Ruimtestaat[[#This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3" s="215">
        <f>IF(S613&gt;0,VLOOKUP($J613,Ruimtegroepen[],3,FALSE)*VLOOKUP($K613,Vloersoorten[],3,FALSE)*VLOOKUP($R613,Frequenties[],3,FALSE)*VLOOKUP($A613,Locaties[],3,FALSE),0)</f>
        <v>0</v>
      </c>
      <c r="U613" s="215">
        <f>Ruimtestaat[[#This Row],[Uitvoeringen werkdagen]]*Ruimtestaat[[#This Row],[Oppervlak (netto)]]</f>
        <v>0</v>
      </c>
      <c r="V613" s="259">
        <f>IF(T613&gt;0,Ruimtestaat[[#This Row],[Prest. (m2 /jaar) werkdagen]]/Ruimtestaat[[#This Row],[Norm (m2/uur) werkdagen]],0)</f>
        <v>0</v>
      </c>
      <c r="W613" s="260">
        <f>Ruimtestaat[[#This Row],[uren / jaar werkdagen]]*Tariefsopbouw!$D$38</f>
        <v>0</v>
      </c>
      <c r="X613" s="33"/>
      <c r="Y613" s="33">
        <f>IF(Ruimtestaat[[#This Row],[Frequentie weekend]]&gt;0,VALUE(LEFT(X613,1))*Q613,0)</f>
        <v>0</v>
      </c>
      <c r="Z613" s="33">
        <f>IF($Y613&gt;0,VLOOKUP($J613,Ruimtegroepen[],3,FALSE)*VLOOKUP($K613,Vloersoorten[],3,FALSE)*VLOOKUP($X613,Frequenties[],3,FALSE)*VLOOKUP(#REF!,Locaties[],3,FALSE),0)</f>
        <v>0</v>
      </c>
      <c r="AA613" s="33"/>
      <c r="AB613" s="33"/>
      <c r="AC613" s="33">
        <f>Ruimtestaat[[#This Row],[uren / jaar weekend]]*Tariefsopbouw!$D$40</f>
        <v>0</v>
      </c>
      <c r="AD613" s="88">
        <f>Ruimtestaat[[#This Row],[Prest. (m2 /jaar) weekend]]+Ruimtestaat[[#This Row],[Prest. (m2 /jaar) werkdagen]]</f>
        <v>0</v>
      </c>
      <c r="AE613" s="88">
        <f>Ruimtestaat[[#This Row],[uren / jaar weekend]]+Ruimtestaat[[#This Row],[uren / jaar werkdagen]]</f>
        <v>0</v>
      </c>
      <c r="AF613" s="89">
        <f>Ruimtestaat[[#This Row],[kosten / jaar weekend]]+Ruimtestaat[[#This Row],[kosten / jaar werkdagen]]</f>
        <v>0</v>
      </c>
    </row>
    <row r="614" spans="1:32" ht="15" customHeight="1">
      <c r="A614" s="280">
        <v>5</v>
      </c>
      <c r="B614" s="21" t="str">
        <f>VLOOKUP(Ruimtestaat[[#This Row],[Code]],Locaties[#All],2,FALSE)</f>
        <v>SGC Almelo</v>
      </c>
      <c r="C614" s="281" t="str">
        <f>VLOOKUP(Ruimtestaat[[#This Row],[Code]],Locaties[#All],4,FALSE)</f>
        <v>Slot 31</v>
      </c>
      <c r="D614" s="281" t="str">
        <f>VLOOKUP(Ruimtestaat[[#This Row],[Code]],Locaties[#All],5,FALSE)</f>
        <v>7608 ND</v>
      </c>
      <c r="E614" s="281" t="str">
        <f>VLOOKUP(Ruimtestaat[[#This Row],[Code]],Locaties[#All],6,FALSE)</f>
        <v>Almelo</v>
      </c>
      <c r="F614" s="282"/>
      <c r="G614" s="283" t="s">
        <v>444</v>
      </c>
      <c r="H614" s="280" t="s">
        <v>468</v>
      </c>
      <c r="I614" s="282" t="s">
        <v>396</v>
      </c>
      <c r="J614" s="200">
        <v>16</v>
      </c>
      <c r="K614" s="243" t="s">
        <v>109</v>
      </c>
      <c r="L614" s="291" t="s">
        <v>1046</v>
      </c>
      <c r="M614" s="213">
        <v>57.75</v>
      </c>
      <c r="N614" s="202"/>
      <c r="O614" s="243" t="str">
        <f>VLOOKUP(Ruimtestaat[[#This Row],[Ruimte code]],Ruimtegroepen[#All],4,FALSE)</f>
        <v>L  (Lesruimte)</v>
      </c>
      <c r="P614" s="214"/>
      <c r="Q614" s="215">
        <v>40</v>
      </c>
      <c r="R614" s="215" t="s">
        <v>2</v>
      </c>
      <c r="S614" s="215">
        <f>IF(R614&gt;0,IF(RIGHT(Ruimtestaat[[#This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14" s="215">
        <f>IF(S614&gt;0,VLOOKUP($J614,Ruimtegroepen[],3,FALSE)*VLOOKUP($K614,Vloersoorten[],3,FALSE)*VLOOKUP($R614,Frequenties[],3,FALSE)*VLOOKUP($A614,Locaties[],3,FALSE),0)</f>
        <v>0</v>
      </c>
      <c r="U614" s="215">
        <f>Ruimtestaat[[#This Row],[Uitvoeringen werkdagen]]*Ruimtestaat[[#This Row],[Oppervlak (netto)]]</f>
        <v>11550</v>
      </c>
      <c r="V614" s="259">
        <f>IF(T614&gt;0,Ruimtestaat[[#This Row],[Prest. (m2 /jaar) werkdagen]]/Ruimtestaat[[#This Row],[Norm (m2/uur) werkdagen]],0)</f>
        <v>0</v>
      </c>
      <c r="W614" s="260">
        <f>Ruimtestaat[[#This Row],[uren / jaar werkdagen]]*Tariefsopbouw!$D$38</f>
        <v>0</v>
      </c>
      <c r="X614" s="33"/>
      <c r="Y614" s="33">
        <f>IF(Ruimtestaat[[#This Row],[Frequentie weekend]]&gt;0,VALUE(LEFT(X614,1))*Q614,0)</f>
        <v>0</v>
      </c>
      <c r="Z614" s="33">
        <f>IF($Y614&gt;0,VLOOKUP($J614,Ruimtegroepen[],3,FALSE)*VLOOKUP($K614,Vloersoorten[],3,FALSE)*VLOOKUP($X614,Frequenties[],3,FALSE)*VLOOKUP(#REF!,Locaties[],3,FALSE),0)</f>
        <v>0</v>
      </c>
      <c r="AA614" s="33"/>
      <c r="AB614" s="33"/>
      <c r="AC614" s="33">
        <f>Ruimtestaat[[#This Row],[uren / jaar weekend]]*Tariefsopbouw!$D$40</f>
        <v>0</v>
      </c>
      <c r="AD614" s="88">
        <f>Ruimtestaat[[#This Row],[Prest. (m2 /jaar) weekend]]+Ruimtestaat[[#This Row],[Prest. (m2 /jaar) werkdagen]]</f>
        <v>11550</v>
      </c>
      <c r="AE614" s="88">
        <f>Ruimtestaat[[#This Row],[uren / jaar weekend]]+Ruimtestaat[[#This Row],[uren / jaar werkdagen]]</f>
        <v>0</v>
      </c>
      <c r="AF614" s="89">
        <f>Ruimtestaat[[#This Row],[kosten / jaar weekend]]+Ruimtestaat[[#This Row],[kosten / jaar werkdagen]]</f>
        <v>0</v>
      </c>
    </row>
    <row r="615" spans="1:32" ht="15" customHeight="1">
      <c r="A615" s="280">
        <v>5</v>
      </c>
      <c r="B615" s="21" t="str">
        <f>VLOOKUP(Ruimtestaat[[#This Row],[Code]],Locaties[#All],2,FALSE)</f>
        <v>SGC Almelo</v>
      </c>
      <c r="C615" s="281" t="str">
        <f>VLOOKUP(Ruimtestaat[[#This Row],[Code]],Locaties[#All],4,FALSE)</f>
        <v>Slot 31</v>
      </c>
      <c r="D615" s="281" t="str">
        <f>VLOOKUP(Ruimtestaat[[#This Row],[Code]],Locaties[#All],5,FALSE)</f>
        <v>7608 ND</v>
      </c>
      <c r="E615" s="281" t="str">
        <f>VLOOKUP(Ruimtestaat[[#This Row],[Code]],Locaties[#All],6,FALSE)</f>
        <v>Almelo</v>
      </c>
      <c r="F615" s="282"/>
      <c r="G615" s="283" t="s">
        <v>444</v>
      </c>
      <c r="H615" s="280" t="s">
        <v>785</v>
      </c>
      <c r="I615" s="282" t="s">
        <v>699</v>
      </c>
      <c r="J615" s="281">
        <v>21</v>
      </c>
      <c r="K615" s="243" t="s">
        <v>110</v>
      </c>
      <c r="L615" s="291" t="s">
        <v>132</v>
      </c>
      <c r="M615" s="213"/>
      <c r="N615" s="213">
        <v>8.4499999999999993</v>
      </c>
      <c r="O615" s="243" t="str">
        <f>VLOOKUP(Ruimtestaat[[#This Row],[Ruimte code]],Ruimtegroepen[#All],4,FALSE)</f>
        <v>Niet in onderhoud</v>
      </c>
      <c r="P615" s="214"/>
      <c r="Q615" s="215"/>
      <c r="R615" s="215"/>
      <c r="S615" s="215">
        <f>IF(R615&gt;0,IF(RIGHT(Ruimtestaat[[#This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5" s="215">
        <f>IF(S615&gt;0,VLOOKUP($J615,Ruimtegroepen[],3,FALSE)*VLOOKUP($K615,Vloersoorten[],3,FALSE)*VLOOKUP($R615,Frequenties[],3,FALSE)*VLOOKUP($A615,Locaties[],3,FALSE),0)</f>
        <v>0</v>
      </c>
      <c r="U615" s="215">
        <f>Ruimtestaat[[#This Row],[Uitvoeringen werkdagen]]*Ruimtestaat[[#This Row],[Oppervlak (netto)]]</f>
        <v>0</v>
      </c>
      <c r="V615" s="259">
        <f>IF(T615&gt;0,Ruimtestaat[[#This Row],[Prest. (m2 /jaar) werkdagen]]/Ruimtestaat[[#This Row],[Norm (m2/uur) werkdagen]],0)</f>
        <v>0</v>
      </c>
      <c r="W615" s="260">
        <f>Ruimtestaat[[#This Row],[uren / jaar werkdagen]]*Tariefsopbouw!$D$38</f>
        <v>0</v>
      </c>
      <c r="X615" s="33"/>
      <c r="Y615" s="33">
        <f>IF(Ruimtestaat[[#This Row],[Frequentie weekend]]&gt;0,VALUE(LEFT(X615,1))*Q615,0)</f>
        <v>0</v>
      </c>
      <c r="Z615" s="33">
        <f>IF($Y615&gt;0,VLOOKUP($J615,Ruimtegroepen[],3,FALSE)*VLOOKUP($K615,Vloersoorten[],3,FALSE)*VLOOKUP($X615,Frequenties[],3,FALSE)*VLOOKUP(#REF!,Locaties[],3,FALSE),0)</f>
        <v>0</v>
      </c>
      <c r="AA615" s="33"/>
      <c r="AB615" s="33"/>
      <c r="AC615" s="33">
        <f>Ruimtestaat[[#This Row],[uren / jaar weekend]]*Tariefsopbouw!$D$40</f>
        <v>0</v>
      </c>
      <c r="AD615" s="88">
        <f>Ruimtestaat[[#This Row],[Prest. (m2 /jaar) weekend]]+Ruimtestaat[[#This Row],[Prest. (m2 /jaar) werkdagen]]</f>
        <v>0</v>
      </c>
      <c r="AE615" s="88">
        <f>Ruimtestaat[[#This Row],[uren / jaar weekend]]+Ruimtestaat[[#This Row],[uren / jaar werkdagen]]</f>
        <v>0</v>
      </c>
      <c r="AF615" s="89">
        <f>Ruimtestaat[[#This Row],[kosten / jaar weekend]]+Ruimtestaat[[#This Row],[kosten / jaar werkdagen]]</f>
        <v>0</v>
      </c>
    </row>
    <row r="616" spans="1:32" ht="15" customHeight="1">
      <c r="A616" s="280">
        <v>5</v>
      </c>
      <c r="B616" s="21" t="str">
        <f>VLOOKUP(Ruimtestaat[[#This Row],[Code]],Locaties[#All],2,FALSE)</f>
        <v>SGC Almelo</v>
      </c>
      <c r="C616" s="281" t="str">
        <f>VLOOKUP(Ruimtestaat[[#This Row],[Code]],Locaties[#All],4,FALSE)</f>
        <v>Slot 31</v>
      </c>
      <c r="D616" s="281" t="str">
        <f>VLOOKUP(Ruimtestaat[[#This Row],[Code]],Locaties[#All],5,FALSE)</f>
        <v>7608 ND</v>
      </c>
      <c r="E616" s="281" t="str">
        <f>VLOOKUP(Ruimtestaat[[#This Row],[Code]],Locaties[#All],6,FALSE)</f>
        <v>Almelo</v>
      </c>
      <c r="F616" s="282"/>
      <c r="G616" s="283" t="s">
        <v>444</v>
      </c>
      <c r="H616" s="280" t="s">
        <v>786</v>
      </c>
      <c r="I616" s="282" t="s">
        <v>699</v>
      </c>
      <c r="J616" s="281">
        <v>21</v>
      </c>
      <c r="K616" s="243" t="s">
        <v>111</v>
      </c>
      <c r="L616" s="291" t="s">
        <v>909</v>
      </c>
      <c r="M616" s="213"/>
      <c r="N616" s="213">
        <v>11.57</v>
      </c>
      <c r="O616" s="243" t="str">
        <f>VLOOKUP(Ruimtestaat[[#This Row],[Ruimte code]],Ruimtegroepen[#All],4,FALSE)</f>
        <v>Niet in onderhoud</v>
      </c>
      <c r="P616" s="214"/>
      <c r="Q616" s="215"/>
      <c r="R616" s="215"/>
      <c r="S616" s="215">
        <f>IF(R616&gt;0,IF(RIGHT(Ruimtestaat[[#This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6" s="215">
        <f>IF(S616&gt;0,VLOOKUP($J616,Ruimtegroepen[],3,FALSE)*VLOOKUP($K616,Vloersoorten[],3,FALSE)*VLOOKUP($R616,Frequenties[],3,FALSE)*VLOOKUP($A616,Locaties[],3,FALSE),0)</f>
        <v>0</v>
      </c>
      <c r="U616" s="215">
        <f>Ruimtestaat[[#This Row],[Uitvoeringen werkdagen]]*Ruimtestaat[[#This Row],[Oppervlak (netto)]]</f>
        <v>0</v>
      </c>
      <c r="V616" s="259">
        <f>IF(T616&gt;0,Ruimtestaat[[#This Row],[Prest. (m2 /jaar) werkdagen]]/Ruimtestaat[[#This Row],[Norm (m2/uur) werkdagen]],0)</f>
        <v>0</v>
      </c>
      <c r="W616" s="260">
        <f>Ruimtestaat[[#This Row],[uren / jaar werkdagen]]*Tariefsopbouw!$D$38</f>
        <v>0</v>
      </c>
      <c r="X616" s="33"/>
      <c r="Y616" s="33">
        <f>IF(Ruimtestaat[[#This Row],[Frequentie weekend]]&gt;0,VALUE(LEFT(X616,1))*Q616,0)</f>
        <v>0</v>
      </c>
      <c r="Z616" s="33">
        <f>IF($Y616&gt;0,VLOOKUP($J616,Ruimtegroepen[],3,FALSE)*VLOOKUP($K616,Vloersoorten[],3,FALSE)*VLOOKUP($X616,Frequenties[],3,FALSE)*VLOOKUP(#REF!,Locaties[],3,FALSE),0)</f>
        <v>0</v>
      </c>
      <c r="AA616" s="33"/>
      <c r="AB616" s="33"/>
      <c r="AC616" s="33">
        <f>Ruimtestaat[[#This Row],[uren / jaar weekend]]*Tariefsopbouw!$D$40</f>
        <v>0</v>
      </c>
      <c r="AD616" s="88">
        <f>Ruimtestaat[[#This Row],[Prest. (m2 /jaar) weekend]]+Ruimtestaat[[#This Row],[Prest. (m2 /jaar) werkdagen]]</f>
        <v>0</v>
      </c>
      <c r="AE616" s="88">
        <f>Ruimtestaat[[#This Row],[uren / jaar weekend]]+Ruimtestaat[[#This Row],[uren / jaar werkdagen]]</f>
        <v>0</v>
      </c>
      <c r="AF616" s="89">
        <f>Ruimtestaat[[#This Row],[kosten / jaar weekend]]+Ruimtestaat[[#This Row],[kosten / jaar werkdagen]]</f>
        <v>0</v>
      </c>
    </row>
    <row r="617" spans="1:32" ht="15" customHeight="1">
      <c r="A617" s="280">
        <v>5</v>
      </c>
      <c r="B617" s="21" t="str">
        <f>VLOOKUP(Ruimtestaat[[#This Row],[Code]],Locaties[#All],2,FALSE)</f>
        <v>SGC Almelo</v>
      </c>
      <c r="C617" s="281" t="str">
        <f>VLOOKUP(Ruimtestaat[[#This Row],[Code]],Locaties[#All],4,FALSE)</f>
        <v>Slot 31</v>
      </c>
      <c r="D617" s="281" t="str">
        <f>VLOOKUP(Ruimtestaat[[#This Row],[Code]],Locaties[#All],5,FALSE)</f>
        <v>7608 ND</v>
      </c>
      <c r="E617" s="281" t="str">
        <f>VLOOKUP(Ruimtestaat[[#This Row],[Code]],Locaties[#All],6,FALSE)</f>
        <v>Almelo</v>
      </c>
      <c r="F617" s="282"/>
      <c r="G617" s="283" t="s">
        <v>444</v>
      </c>
      <c r="H617" s="280" t="s">
        <v>787</v>
      </c>
      <c r="I617" s="282" t="s">
        <v>699</v>
      </c>
      <c r="J617" s="281">
        <v>21</v>
      </c>
      <c r="K617" s="243" t="s">
        <v>111</v>
      </c>
      <c r="L617" s="291" t="s">
        <v>909</v>
      </c>
      <c r="M617" s="213"/>
      <c r="N617" s="213">
        <v>0.52</v>
      </c>
      <c r="O617" s="243" t="str">
        <f>VLOOKUP(Ruimtestaat[[#This Row],[Ruimte code]],Ruimtegroepen[#All],4,FALSE)</f>
        <v>Niet in onderhoud</v>
      </c>
      <c r="P617" s="214"/>
      <c r="Q617" s="215"/>
      <c r="R617" s="215"/>
      <c r="S617" s="215">
        <f>IF(R617&gt;0,IF(RIGHT(Ruimtestaat[[#This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17" s="215">
        <f>IF(S617&gt;0,VLOOKUP($J617,Ruimtegroepen[],3,FALSE)*VLOOKUP($K617,Vloersoorten[],3,FALSE)*VLOOKUP($R617,Frequenties[],3,FALSE)*VLOOKUP($A617,Locaties[],3,FALSE),0)</f>
        <v>0</v>
      </c>
      <c r="U617" s="215">
        <f>Ruimtestaat[[#This Row],[Uitvoeringen werkdagen]]*Ruimtestaat[[#This Row],[Oppervlak (netto)]]</f>
        <v>0</v>
      </c>
      <c r="V617" s="259">
        <f>IF(T617&gt;0,Ruimtestaat[[#This Row],[Prest. (m2 /jaar) werkdagen]]/Ruimtestaat[[#This Row],[Norm (m2/uur) werkdagen]],0)</f>
        <v>0</v>
      </c>
      <c r="W617" s="260">
        <f>Ruimtestaat[[#This Row],[uren / jaar werkdagen]]*Tariefsopbouw!$D$38</f>
        <v>0</v>
      </c>
      <c r="X617" s="33"/>
      <c r="Y617" s="33">
        <f>IF(Ruimtestaat[[#This Row],[Frequentie weekend]]&gt;0,VALUE(LEFT(X617,1))*Q617,0)</f>
        <v>0</v>
      </c>
      <c r="Z617" s="33">
        <f>IF($Y617&gt;0,VLOOKUP($J617,Ruimtegroepen[],3,FALSE)*VLOOKUP($K617,Vloersoorten[],3,FALSE)*VLOOKUP($X617,Frequenties[],3,FALSE)*VLOOKUP(#REF!,Locaties[],3,FALSE),0)</f>
        <v>0</v>
      </c>
      <c r="AA617" s="33"/>
      <c r="AB617" s="33"/>
      <c r="AC617" s="33">
        <f>Ruimtestaat[[#This Row],[uren / jaar weekend]]*Tariefsopbouw!$D$40</f>
        <v>0</v>
      </c>
      <c r="AD617" s="88">
        <f>Ruimtestaat[[#This Row],[Prest. (m2 /jaar) weekend]]+Ruimtestaat[[#This Row],[Prest. (m2 /jaar) werkdagen]]</f>
        <v>0</v>
      </c>
      <c r="AE617" s="88">
        <f>Ruimtestaat[[#This Row],[uren / jaar weekend]]+Ruimtestaat[[#This Row],[uren / jaar werkdagen]]</f>
        <v>0</v>
      </c>
      <c r="AF617" s="89">
        <f>Ruimtestaat[[#This Row],[kosten / jaar weekend]]+Ruimtestaat[[#This Row],[kosten / jaar werkdagen]]</f>
        <v>0</v>
      </c>
    </row>
    <row r="618" spans="1:32" ht="15" customHeight="1">
      <c r="A618" s="280">
        <v>5</v>
      </c>
      <c r="B618" s="21" t="str">
        <f>VLOOKUP(Ruimtestaat[[#This Row],[Code]],Locaties[#All],2,FALSE)</f>
        <v>SGC Almelo</v>
      </c>
      <c r="C618" s="281" t="str">
        <f>VLOOKUP(Ruimtestaat[[#This Row],[Code]],Locaties[#All],4,FALSE)</f>
        <v>Slot 31</v>
      </c>
      <c r="D618" s="281" t="str">
        <f>VLOOKUP(Ruimtestaat[[#This Row],[Code]],Locaties[#All],5,FALSE)</f>
        <v>7608 ND</v>
      </c>
      <c r="E618" s="281" t="str">
        <f>VLOOKUP(Ruimtestaat[[#This Row],[Code]],Locaties[#All],6,FALSE)</f>
        <v>Almelo</v>
      </c>
      <c r="F618" s="282"/>
      <c r="G618" s="283" t="s">
        <v>444</v>
      </c>
      <c r="H618" s="280" t="s">
        <v>737</v>
      </c>
      <c r="I618" s="244" t="s">
        <v>487</v>
      </c>
      <c r="J618" s="200">
        <v>2</v>
      </c>
      <c r="K618" s="243" t="s">
        <v>109</v>
      </c>
      <c r="L618" s="291" t="s">
        <v>1046</v>
      </c>
      <c r="M618" s="213">
        <v>11.5</v>
      </c>
      <c r="N618" s="202"/>
      <c r="O618" s="243" t="str">
        <f>VLOOKUP(Ruimtestaat[[#This Row],[Ruimte code]],Ruimtegroepen[#All],4,FALSE)</f>
        <v>B  (Bureauruimte)</v>
      </c>
      <c r="P618" s="214"/>
      <c r="Q618" s="215">
        <v>40</v>
      </c>
      <c r="R618" s="215" t="s">
        <v>17</v>
      </c>
      <c r="S618" s="215">
        <f>IF(R618&gt;0,IF(RIGHT(Ruimtestaat[[#This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18" s="215">
        <f>IF(S618&gt;0,VLOOKUP($J618,Ruimtegroepen[],3,FALSE)*VLOOKUP($K618,Vloersoorten[],3,FALSE)*VLOOKUP($R618,Frequenties[],3,FALSE)*VLOOKUP($A618,Locaties[],3,FALSE),0)</f>
        <v>0</v>
      </c>
      <c r="U618" s="215">
        <f>Ruimtestaat[[#This Row],[Uitvoeringen werkdagen]]*Ruimtestaat[[#This Row],[Oppervlak (netto)]]</f>
        <v>920</v>
      </c>
      <c r="V618" s="259">
        <f>IF(T618&gt;0,Ruimtestaat[[#This Row],[Prest. (m2 /jaar) werkdagen]]/Ruimtestaat[[#This Row],[Norm (m2/uur) werkdagen]],0)</f>
        <v>0</v>
      </c>
      <c r="W618" s="260">
        <f>Ruimtestaat[[#This Row],[uren / jaar werkdagen]]*Tariefsopbouw!$D$38</f>
        <v>0</v>
      </c>
      <c r="X618" s="33"/>
      <c r="Y618" s="33">
        <f>IF(Ruimtestaat[[#This Row],[Frequentie weekend]]&gt;0,VALUE(LEFT(X618,1))*Q618,0)</f>
        <v>0</v>
      </c>
      <c r="Z618" s="33">
        <f>IF($Y618&gt;0,VLOOKUP($J618,Ruimtegroepen[],3,FALSE)*VLOOKUP($K618,Vloersoorten[],3,FALSE)*VLOOKUP($X618,Frequenties[],3,FALSE)*VLOOKUP(#REF!,Locaties[],3,FALSE),0)</f>
        <v>0</v>
      </c>
      <c r="AA618" s="33"/>
      <c r="AB618" s="33"/>
      <c r="AC618" s="33">
        <f>Ruimtestaat[[#This Row],[uren / jaar weekend]]*Tariefsopbouw!$D$40</f>
        <v>0</v>
      </c>
      <c r="AD618" s="88">
        <f>Ruimtestaat[[#This Row],[Prest. (m2 /jaar) weekend]]+Ruimtestaat[[#This Row],[Prest. (m2 /jaar) werkdagen]]</f>
        <v>920</v>
      </c>
      <c r="AE618" s="88">
        <f>Ruimtestaat[[#This Row],[uren / jaar weekend]]+Ruimtestaat[[#This Row],[uren / jaar werkdagen]]</f>
        <v>0</v>
      </c>
      <c r="AF618" s="89">
        <f>Ruimtestaat[[#This Row],[kosten / jaar weekend]]+Ruimtestaat[[#This Row],[kosten / jaar werkdagen]]</f>
        <v>0</v>
      </c>
    </row>
    <row r="619" spans="1:32" ht="15" customHeight="1">
      <c r="A619" s="280">
        <v>5</v>
      </c>
      <c r="B619" s="21" t="str">
        <f>VLOOKUP(Ruimtestaat[[#This Row],[Code]],Locaties[#All],2,FALSE)</f>
        <v>SGC Almelo</v>
      </c>
      <c r="C619" s="281" t="str">
        <f>VLOOKUP(Ruimtestaat[[#This Row],[Code]],Locaties[#All],4,FALSE)</f>
        <v>Slot 31</v>
      </c>
      <c r="D619" s="281" t="str">
        <f>VLOOKUP(Ruimtestaat[[#This Row],[Code]],Locaties[#All],5,FALSE)</f>
        <v>7608 ND</v>
      </c>
      <c r="E619" s="281" t="str">
        <f>VLOOKUP(Ruimtestaat[[#This Row],[Code]],Locaties[#All],6,FALSE)</f>
        <v>Almelo</v>
      </c>
      <c r="F619" s="282"/>
      <c r="G619" s="283" t="s">
        <v>444</v>
      </c>
      <c r="H619" s="280" t="s">
        <v>738</v>
      </c>
      <c r="I619" s="244" t="s">
        <v>487</v>
      </c>
      <c r="J619" s="200">
        <v>2</v>
      </c>
      <c r="K619" s="243" t="s">
        <v>109</v>
      </c>
      <c r="L619" s="291" t="s">
        <v>1046</v>
      </c>
      <c r="M619" s="213">
        <v>11.5</v>
      </c>
      <c r="N619" s="202"/>
      <c r="O619" s="243" t="str">
        <f>VLOOKUP(Ruimtestaat[[#This Row],[Ruimte code]],Ruimtegroepen[#All],4,FALSE)</f>
        <v>B  (Bureauruimte)</v>
      </c>
      <c r="P619" s="214"/>
      <c r="Q619" s="215">
        <v>40</v>
      </c>
      <c r="R619" s="215" t="s">
        <v>17</v>
      </c>
      <c r="S619" s="215">
        <f>IF(R619&gt;0,IF(RIGHT(Ruimtestaat[[#This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19" s="215">
        <f>IF(S619&gt;0,VLOOKUP($J619,Ruimtegroepen[],3,FALSE)*VLOOKUP($K619,Vloersoorten[],3,FALSE)*VLOOKUP($R619,Frequenties[],3,FALSE)*VLOOKUP($A619,Locaties[],3,FALSE),0)</f>
        <v>0</v>
      </c>
      <c r="U619" s="215">
        <f>Ruimtestaat[[#This Row],[Uitvoeringen werkdagen]]*Ruimtestaat[[#This Row],[Oppervlak (netto)]]</f>
        <v>920</v>
      </c>
      <c r="V619" s="259">
        <f>IF(T619&gt;0,Ruimtestaat[[#This Row],[Prest. (m2 /jaar) werkdagen]]/Ruimtestaat[[#This Row],[Norm (m2/uur) werkdagen]],0)</f>
        <v>0</v>
      </c>
      <c r="W619" s="260">
        <f>Ruimtestaat[[#This Row],[uren / jaar werkdagen]]*Tariefsopbouw!$D$38</f>
        <v>0</v>
      </c>
      <c r="X619" s="33"/>
      <c r="Y619" s="33">
        <f>IF(Ruimtestaat[[#This Row],[Frequentie weekend]]&gt;0,VALUE(LEFT(X619,1))*Q619,0)</f>
        <v>0</v>
      </c>
      <c r="Z619" s="33">
        <f>IF($Y619&gt;0,VLOOKUP($J619,Ruimtegroepen[],3,FALSE)*VLOOKUP($K619,Vloersoorten[],3,FALSE)*VLOOKUP($X619,Frequenties[],3,FALSE)*VLOOKUP(#REF!,Locaties[],3,FALSE),0)</f>
        <v>0</v>
      </c>
      <c r="AA619" s="33"/>
      <c r="AB619" s="33"/>
      <c r="AC619" s="33">
        <f>Ruimtestaat[[#This Row],[uren / jaar weekend]]*Tariefsopbouw!$D$40</f>
        <v>0</v>
      </c>
      <c r="AD619" s="88">
        <f>Ruimtestaat[[#This Row],[Prest. (m2 /jaar) weekend]]+Ruimtestaat[[#This Row],[Prest. (m2 /jaar) werkdagen]]</f>
        <v>920</v>
      </c>
      <c r="AE619" s="88">
        <f>Ruimtestaat[[#This Row],[uren / jaar weekend]]+Ruimtestaat[[#This Row],[uren / jaar werkdagen]]</f>
        <v>0</v>
      </c>
      <c r="AF619" s="89">
        <f>Ruimtestaat[[#This Row],[kosten / jaar weekend]]+Ruimtestaat[[#This Row],[kosten / jaar werkdagen]]</f>
        <v>0</v>
      </c>
    </row>
    <row r="620" spans="1:32" ht="15" customHeight="1">
      <c r="A620" s="280">
        <v>5</v>
      </c>
      <c r="B620" s="21" t="str">
        <f>VLOOKUP(Ruimtestaat[[#This Row],[Code]],Locaties[#All],2,FALSE)</f>
        <v>SGC Almelo</v>
      </c>
      <c r="C620" s="281" t="str">
        <f>VLOOKUP(Ruimtestaat[[#This Row],[Code]],Locaties[#All],4,FALSE)</f>
        <v>Slot 31</v>
      </c>
      <c r="D620" s="281" t="str">
        <f>VLOOKUP(Ruimtestaat[[#This Row],[Code]],Locaties[#All],5,FALSE)</f>
        <v>7608 ND</v>
      </c>
      <c r="E620" s="281" t="str">
        <f>VLOOKUP(Ruimtestaat[[#This Row],[Code]],Locaties[#All],6,FALSE)</f>
        <v>Almelo</v>
      </c>
      <c r="F620" s="282"/>
      <c r="G620" s="283" t="s">
        <v>444</v>
      </c>
      <c r="H620" s="280" t="s">
        <v>788</v>
      </c>
      <c r="I620" s="244" t="s">
        <v>699</v>
      </c>
      <c r="J620" s="200">
        <v>21</v>
      </c>
      <c r="K620" s="243" t="s">
        <v>110</v>
      </c>
      <c r="L620" s="291" t="s">
        <v>132</v>
      </c>
      <c r="M620" s="213"/>
      <c r="N620" s="213">
        <v>3.06</v>
      </c>
      <c r="O620" s="243" t="str">
        <f>VLOOKUP(Ruimtestaat[[#This Row],[Ruimte code]],Ruimtegroepen[#All],4,FALSE)</f>
        <v>Niet in onderhoud</v>
      </c>
      <c r="P620" s="214"/>
      <c r="Q620" s="215"/>
      <c r="R620" s="215"/>
      <c r="S620" s="215">
        <f>IF(R620&gt;0,IF(RIGHT(Ruimtestaat[[#This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0" s="215">
        <f>IF(S620&gt;0,VLOOKUP($J620,Ruimtegroepen[],3,FALSE)*VLOOKUP($K620,Vloersoorten[],3,FALSE)*VLOOKUP($R620,Frequenties[],3,FALSE)*VLOOKUP($A620,Locaties[],3,FALSE),0)</f>
        <v>0</v>
      </c>
      <c r="U620" s="215">
        <f>Ruimtestaat[[#This Row],[Uitvoeringen werkdagen]]*Ruimtestaat[[#This Row],[Oppervlak (netto)]]</f>
        <v>0</v>
      </c>
      <c r="V620" s="259">
        <f>IF(T620&gt;0,Ruimtestaat[[#This Row],[Prest. (m2 /jaar) werkdagen]]/Ruimtestaat[[#This Row],[Norm (m2/uur) werkdagen]],0)</f>
        <v>0</v>
      </c>
      <c r="W620" s="260">
        <f>Ruimtestaat[[#This Row],[uren / jaar werkdagen]]*Tariefsopbouw!$D$38</f>
        <v>0</v>
      </c>
      <c r="X620" s="33"/>
      <c r="Y620" s="33">
        <f>IF(Ruimtestaat[[#This Row],[Frequentie weekend]]&gt;0,VALUE(LEFT(X620,1))*Q620,0)</f>
        <v>0</v>
      </c>
      <c r="Z620" s="33">
        <f>IF($Y620&gt;0,VLOOKUP($J620,Ruimtegroepen[],3,FALSE)*VLOOKUP($K620,Vloersoorten[],3,FALSE)*VLOOKUP($X620,Frequenties[],3,FALSE)*VLOOKUP(#REF!,Locaties[],3,FALSE),0)</f>
        <v>0</v>
      </c>
      <c r="AA620" s="33"/>
      <c r="AB620" s="33"/>
      <c r="AC620" s="33">
        <f>Ruimtestaat[[#This Row],[uren / jaar weekend]]*Tariefsopbouw!$D$40</f>
        <v>0</v>
      </c>
      <c r="AD620" s="88">
        <f>Ruimtestaat[[#This Row],[Prest. (m2 /jaar) weekend]]+Ruimtestaat[[#This Row],[Prest. (m2 /jaar) werkdagen]]</f>
        <v>0</v>
      </c>
      <c r="AE620" s="88">
        <f>Ruimtestaat[[#This Row],[uren / jaar weekend]]+Ruimtestaat[[#This Row],[uren / jaar werkdagen]]</f>
        <v>0</v>
      </c>
      <c r="AF620" s="89">
        <f>Ruimtestaat[[#This Row],[kosten / jaar weekend]]+Ruimtestaat[[#This Row],[kosten / jaar werkdagen]]</f>
        <v>0</v>
      </c>
    </row>
    <row r="621" spans="1:32" ht="15" customHeight="1">
      <c r="A621" s="280">
        <v>5</v>
      </c>
      <c r="B621" s="21" t="str">
        <f>VLOOKUP(Ruimtestaat[[#This Row],[Code]],Locaties[#All],2,FALSE)</f>
        <v>SGC Almelo</v>
      </c>
      <c r="C621" s="281" t="str">
        <f>VLOOKUP(Ruimtestaat[[#This Row],[Code]],Locaties[#All],4,FALSE)</f>
        <v>Slot 31</v>
      </c>
      <c r="D621" s="281" t="str">
        <f>VLOOKUP(Ruimtestaat[[#This Row],[Code]],Locaties[#All],5,FALSE)</f>
        <v>7608 ND</v>
      </c>
      <c r="E621" s="281" t="str">
        <f>VLOOKUP(Ruimtestaat[[#This Row],[Code]],Locaties[#All],6,FALSE)</f>
        <v>Almelo</v>
      </c>
      <c r="F621" s="282"/>
      <c r="G621" s="283" t="s">
        <v>444</v>
      </c>
      <c r="H621" s="280" t="s">
        <v>790</v>
      </c>
      <c r="I621" s="282" t="s">
        <v>447</v>
      </c>
      <c r="J621" s="200">
        <v>21</v>
      </c>
      <c r="K621" s="243" t="s">
        <v>110</v>
      </c>
      <c r="L621" s="291" t="s">
        <v>132</v>
      </c>
      <c r="M621" s="213"/>
      <c r="N621" s="202">
        <v>11.22</v>
      </c>
      <c r="O621" s="243" t="str">
        <f>VLOOKUP(Ruimtestaat[[#This Row],[Ruimte code]],Ruimtegroepen[#All],4,FALSE)</f>
        <v>Niet in onderhoud</v>
      </c>
      <c r="P621" s="214"/>
      <c r="Q621" s="215"/>
      <c r="R621" s="215"/>
      <c r="S621" s="215">
        <f>IF(R621&gt;0,IF(RIGHT(Ruimtestaat[[#This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1" s="215">
        <f>IF(S621&gt;0,VLOOKUP($J621,Ruimtegroepen[],3,FALSE)*VLOOKUP($K621,Vloersoorten[],3,FALSE)*VLOOKUP($R621,Frequenties[],3,FALSE)*VLOOKUP($A621,Locaties[],3,FALSE),0)</f>
        <v>0</v>
      </c>
      <c r="U621" s="215">
        <f>Ruimtestaat[[#This Row],[Uitvoeringen werkdagen]]*Ruimtestaat[[#This Row],[Oppervlak (netto)]]</f>
        <v>0</v>
      </c>
      <c r="V621" s="259">
        <f>IF(T621&gt;0,Ruimtestaat[[#This Row],[Prest. (m2 /jaar) werkdagen]]/Ruimtestaat[[#This Row],[Norm (m2/uur) werkdagen]],0)</f>
        <v>0</v>
      </c>
      <c r="W621" s="260">
        <f>Ruimtestaat[[#This Row],[uren / jaar werkdagen]]*Tariefsopbouw!$D$38</f>
        <v>0</v>
      </c>
      <c r="X621" s="33"/>
      <c r="Y621" s="33">
        <f>IF(Ruimtestaat[[#This Row],[Frequentie weekend]]&gt;0,VALUE(LEFT(X621,1))*Q621,0)</f>
        <v>0</v>
      </c>
      <c r="Z621" s="33">
        <f>IF($Y621&gt;0,VLOOKUP($J621,Ruimtegroepen[],3,FALSE)*VLOOKUP($K621,Vloersoorten[],3,FALSE)*VLOOKUP($X621,Frequenties[],3,FALSE)*VLOOKUP(#REF!,Locaties[],3,FALSE),0)</f>
        <v>0</v>
      </c>
      <c r="AA621" s="33"/>
      <c r="AB621" s="33"/>
      <c r="AC621" s="33">
        <f>Ruimtestaat[[#This Row],[uren / jaar weekend]]*Tariefsopbouw!$D$40</f>
        <v>0</v>
      </c>
      <c r="AD621" s="88">
        <f>Ruimtestaat[[#This Row],[Prest. (m2 /jaar) weekend]]+Ruimtestaat[[#This Row],[Prest. (m2 /jaar) werkdagen]]</f>
        <v>0</v>
      </c>
      <c r="AE621" s="88">
        <f>Ruimtestaat[[#This Row],[uren / jaar weekend]]+Ruimtestaat[[#This Row],[uren / jaar werkdagen]]</f>
        <v>0</v>
      </c>
      <c r="AF621" s="89">
        <f>Ruimtestaat[[#This Row],[kosten / jaar weekend]]+Ruimtestaat[[#This Row],[kosten / jaar werkdagen]]</f>
        <v>0</v>
      </c>
    </row>
    <row r="622" spans="1:32" ht="15" customHeight="1">
      <c r="A622" s="280">
        <v>5</v>
      </c>
      <c r="B622" s="21" t="str">
        <f>VLOOKUP(Ruimtestaat[[#This Row],[Code]],Locaties[#All],2,FALSE)</f>
        <v>SGC Almelo</v>
      </c>
      <c r="C622" s="281" t="str">
        <f>VLOOKUP(Ruimtestaat[[#This Row],[Code]],Locaties[#All],4,FALSE)</f>
        <v>Slot 31</v>
      </c>
      <c r="D622" s="281" t="str">
        <f>VLOOKUP(Ruimtestaat[[#This Row],[Code]],Locaties[#All],5,FALSE)</f>
        <v>7608 ND</v>
      </c>
      <c r="E622" s="281" t="str">
        <f>VLOOKUP(Ruimtestaat[[#This Row],[Code]],Locaties[#All],6,FALSE)</f>
        <v>Almelo</v>
      </c>
      <c r="F622" s="282"/>
      <c r="G622" s="283" t="s">
        <v>444</v>
      </c>
      <c r="H622" s="280" t="s">
        <v>791</v>
      </c>
      <c r="I622" s="282" t="s">
        <v>447</v>
      </c>
      <c r="J622" s="200">
        <v>21</v>
      </c>
      <c r="K622" s="243" t="s">
        <v>109</v>
      </c>
      <c r="L622" s="291" t="s">
        <v>1046</v>
      </c>
      <c r="M622" s="213"/>
      <c r="N622" s="202">
        <v>7.71</v>
      </c>
      <c r="O622" s="243" t="str">
        <f>VLOOKUP(Ruimtestaat[[#This Row],[Ruimte code]],Ruimtegroepen[#All],4,FALSE)</f>
        <v>Niet in onderhoud</v>
      </c>
      <c r="P622" s="214"/>
      <c r="Q622" s="215"/>
      <c r="R622" s="215"/>
      <c r="S622" s="215">
        <f>IF(R622&gt;0,IF(RIGHT(Ruimtestaat[[#This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2" s="215">
        <f>IF(S622&gt;0,VLOOKUP($J622,Ruimtegroepen[],3,FALSE)*VLOOKUP($K622,Vloersoorten[],3,FALSE)*VLOOKUP($R622,Frequenties[],3,FALSE)*VLOOKUP($A622,Locaties[],3,FALSE),0)</f>
        <v>0</v>
      </c>
      <c r="U622" s="215">
        <f>Ruimtestaat[[#This Row],[Uitvoeringen werkdagen]]*Ruimtestaat[[#This Row],[Oppervlak (netto)]]</f>
        <v>0</v>
      </c>
      <c r="V622" s="259">
        <f>IF(T622&gt;0,Ruimtestaat[[#This Row],[Prest. (m2 /jaar) werkdagen]]/Ruimtestaat[[#This Row],[Norm (m2/uur) werkdagen]],0)</f>
        <v>0</v>
      </c>
      <c r="W622" s="260">
        <f>Ruimtestaat[[#This Row],[uren / jaar werkdagen]]*Tariefsopbouw!$D$38</f>
        <v>0</v>
      </c>
      <c r="X622" s="33"/>
      <c r="Y622" s="33">
        <f>IF(Ruimtestaat[[#This Row],[Frequentie weekend]]&gt;0,VALUE(LEFT(X622,1))*Q622,0)</f>
        <v>0</v>
      </c>
      <c r="Z622" s="33">
        <f>IF($Y622&gt;0,VLOOKUP($J622,Ruimtegroepen[],3,FALSE)*VLOOKUP($K622,Vloersoorten[],3,FALSE)*VLOOKUP($X622,Frequenties[],3,FALSE)*VLOOKUP(#REF!,Locaties[],3,FALSE),0)</f>
        <v>0</v>
      </c>
      <c r="AA622" s="33"/>
      <c r="AB622" s="33"/>
      <c r="AC622" s="33">
        <f>Ruimtestaat[[#This Row],[uren / jaar weekend]]*Tariefsopbouw!$D$40</f>
        <v>0</v>
      </c>
      <c r="AD622" s="88">
        <f>Ruimtestaat[[#This Row],[Prest. (m2 /jaar) weekend]]+Ruimtestaat[[#This Row],[Prest. (m2 /jaar) werkdagen]]</f>
        <v>0</v>
      </c>
      <c r="AE622" s="88">
        <f>Ruimtestaat[[#This Row],[uren / jaar weekend]]+Ruimtestaat[[#This Row],[uren / jaar werkdagen]]</f>
        <v>0</v>
      </c>
      <c r="AF622" s="89">
        <f>Ruimtestaat[[#This Row],[kosten / jaar weekend]]+Ruimtestaat[[#This Row],[kosten / jaar werkdagen]]</f>
        <v>0</v>
      </c>
    </row>
    <row r="623" spans="1:32" ht="15" customHeight="1">
      <c r="A623" s="280">
        <v>5</v>
      </c>
      <c r="B623" s="21" t="str">
        <f>VLOOKUP(Ruimtestaat[[#This Row],[Code]],Locaties[#All],2,FALSE)</f>
        <v>SGC Almelo</v>
      </c>
      <c r="C623" s="281" t="str">
        <f>VLOOKUP(Ruimtestaat[[#This Row],[Code]],Locaties[#All],4,FALSE)</f>
        <v>Slot 31</v>
      </c>
      <c r="D623" s="281" t="str">
        <f>VLOOKUP(Ruimtestaat[[#This Row],[Code]],Locaties[#All],5,FALSE)</f>
        <v>7608 ND</v>
      </c>
      <c r="E623" s="281" t="str">
        <f>VLOOKUP(Ruimtestaat[[#This Row],[Code]],Locaties[#All],6,FALSE)</f>
        <v>Almelo</v>
      </c>
      <c r="F623" s="282"/>
      <c r="G623" s="283" t="s">
        <v>444</v>
      </c>
      <c r="H623" s="280" t="s">
        <v>470</v>
      </c>
      <c r="I623" s="282" t="s">
        <v>602</v>
      </c>
      <c r="J623" s="200">
        <v>15</v>
      </c>
      <c r="K623" s="243" t="s">
        <v>111</v>
      </c>
      <c r="L623" s="291" t="s">
        <v>913</v>
      </c>
      <c r="M623" s="213">
        <v>34.4</v>
      </c>
      <c r="N623" s="202"/>
      <c r="O623" s="243" t="str">
        <f>VLOOKUP(Ruimtestaat[[#This Row],[Ruimte code]],Ruimtegroepen[#All],4,FALSE)</f>
        <v>V  (Verkeersruimte)</v>
      </c>
      <c r="P623" s="214"/>
      <c r="Q623" s="215">
        <v>40</v>
      </c>
      <c r="R623" s="215" t="s">
        <v>2</v>
      </c>
      <c r="S623" s="215">
        <f>IF(R623&gt;0,IF(RIGHT(Ruimtestaat[[#This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3" s="215">
        <f>IF(S623&gt;0,VLOOKUP($J623,Ruimtegroepen[],3,FALSE)*VLOOKUP($K623,Vloersoorten[],3,FALSE)*VLOOKUP($R623,Frequenties[],3,FALSE)*VLOOKUP($A623,Locaties[],3,FALSE),0)</f>
        <v>0</v>
      </c>
      <c r="U623" s="215">
        <f>Ruimtestaat[[#This Row],[Uitvoeringen werkdagen]]*Ruimtestaat[[#This Row],[Oppervlak (netto)]]</f>
        <v>6880</v>
      </c>
      <c r="V623" s="259">
        <f>IF(T623&gt;0,Ruimtestaat[[#This Row],[Prest. (m2 /jaar) werkdagen]]/Ruimtestaat[[#This Row],[Norm (m2/uur) werkdagen]],0)</f>
        <v>0</v>
      </c>
      <c r="W623" s="260">
        <f>Ruimtestaat[[#This Row],[uren / jaar werkdagen]]*Tariefsopbouw!$D$38</f>
        <v>0</v>
      </c>
      <c r="X623" s="33"/>
      <c r="Y623" s="33">
        <f>IF(Ruimtestaat[[#This Row],[Frequentie weekend]]&gt;0,VALUE(LEFT(X623,1))*Q623,0)</f>
        <v>0</v>
      </c>
      <c r="Z623" s="33">
        <f>IF($Y623&gt;0,VLOOKUP($J623,Ruimtegroepen[],3,FALSE)*VLOOKUP($K623,Vloersoorten[],3,FALSE)*VLOOKUP($X623,Frequenties[],3,FALSE)*VLOOKUP(#REF!,Locaties[],3,FALSE),0)</f>
        <v>0</v>
      </c>
      <c r="AA623" s="33"/>
      <c r="AB623" s="33"/>
      <c r="AC623" s="33">
        <f>Ruimtestaat[[#This Row],[uren / jaar weekend]]*Tariefsopbouw!$D$40</f>
        <v>0</v>
      </c>
      <c r="AD623" s="88">
        <f>Ruimtestaat[[#This Row],[Prest. (m2 /jaar) weekend]]+Ruimtestaat[[#This Row],[Prest. (m2 /jaar) werkdagen]]</f>
        <v>6880</v>
      </c>
      <c r="AE623" s="88">
        <f>Ruimtestaat[[#This Row],[uren / jaar weekend]]+Ruimtestaat[[#This Row],[uren / jaar werkdagen]]</f>
        <v>0</v>
      </c>
      <c r="AF623" s="89">
        <f>Ruimtestaat[[#This Row],[kosten / jaar weekend]]+Ruimtestaat[[#This Row],[kosten / jaar werkdagen]]</f>
        <v>0</v>
      </c>
    </row>
    <row r="624" spans="1:32" ht="15" customHeight="1">
      <c r="A624" s="280">
        <v>5</v>
      </c>
      <c r="B624" s="21" t="str">
        <f>VLOOKUP(Ruimtestaat[[#This Row],[Code]],Locaties[#All],2,FALSE)</f>
        <v>SGC Almelo</v>
      </c>
      <c r="C624" s="281" t="str">
        <f>VLOOKUP(Ruimtestaat[[#This Row],[Code]],Locaties[#All],4,FALSE)</f>
        <v>Slot 31</v>
      </c>
      <c r="D624" s="281" t="str">
        <f>VLOOKUP(Ruimtestaat[[#This Row],[Code]],Locaties[#All],5,FALSE)</f>
        <v>7608 ND</v>
      </c>
      <c r="E624" s="281" t="str">
        <f>VLOOKUP(Ruimtestaat[[#This Row],[Code]],Locaties[#All],6,FALSE)</f>
        <v>Almelo</v>
      </c>
      <c r="F624" s="282"/>
      <c r="G624" s="283" t="s">
        <v>444</v>
      </c>
      <c r="H624" s="280" t="s">
        <v>472</v>
      </c>
      <c r="I624" s="282" t="s">
        <v>792</v>
      </c>
      <c r="J624" s="281">
        <v>21</v>
      </c>
      <c r="K624" s="243" t="s">
        <v>111</v>
      </c>
      <c r="L624" s="291" t="s">
        <v>913</v>
      </c>
      <c r="M624" s="213"/>
      <c r="N624" s="213">
        <v>3.08</v>
      </c>
      <c r="O624" s="243" t="str">
        <f>VLOOKUP(Ruimtestaat[[#This Row],[Ruimte code]],Ruimtegroepen[#All],4,FALSE)</f>
        <v>Niet in onderhoud</v>
      </c>
      <c r="P624" s="214"/>
      <c r="Q624" s="215"/>
      <c r="R624" s="215"/>
      <c r="S624" s="215">
        <f>IF(R624&gt;0,IF(RIGHT(Ruimtestaat[[#This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4" s="215">
        <f>IF(S624&gt;0,VLOOKUP($J624,Ruimtegroepen[],3,FALSE)*VLOOKUP($K624,Vloersoorten[],3,FALSE)*VLOOKUP($R624,Frequenties[],3,FALSE)*VLOOKUP($A624,Locaties[],3,FALSE),0)</f>
        <v>0</v>
      </c>
      <c r="U624" s="215">
        <f>Ruimtestaat[[#This Row],[Uitvoeringen werkdagen]]*Ruimtestaat[[#This Row],[Oppervlak (netto)]]</f>
        <v>0</v>
      </c>
      <c r="V624" s="259">
        <f>IF(T624&gt;0,Ruimtestaat[[#This Row],[Prest. (m2 /jaar) werkdagen]]/Ruimtestaat[[#This Row],[Norm (m2/uur) werkdagen]],0)</f>
        <v>0</v>
      </c>
      <c r="W624" s="260">
        <f>Ruimtestaat[[#This Row],[uren / jaar werkdagen]]*Tariefsopbouw!$D$38</f>
        <v>0</v>
      </c>
      <c r="X624" s="33"/>
      <c r="Y624" s="33">
        <f>IF(Ruimtestaat[[#This Row],[Frequentie weekend]]&gt;0,VALUE(LEFT(X624,1))*Q624,0)</f>
        <v>0</v>
      </c>
      <c r="Z624" s="33">
        <f>IF($Y624&gt;0,VLOOKUP($J624,Ruimtegroepen[],3,FALSE)*VLOOKUP($K624,Vloersoorten[],3,FALSE)*VLOOKUP($X624,Frequenties[],3,FALSE)*VLOOKUP(#REF!,Locaties[],3,FALSE),0)</f>
        <v>0</v>
      </c>
      <c r="AA624" s="33"/>
      <c r="AB624" s="33"/>
      <c r="AC624" s="33">
        <f>Ruimtestaat[[#This Row],[uren / jaar weekend]]*Tariefsopbouw!$D$40</f>
        <v>0</v>
      </c>
      <c r="AD624" s="88">
        <f>Ruimtestaat[[#This Row],[Prest. (m2 /jaar) weekend]]+Ruimtestaat[[#This Row],[Prest. (m2 /jaar) werkdagen]]</f>
        <v>0</v>
      </c>
      <c r="AE624" s="88">
        <f>Ruimtestaat[[#This Row],[uren / jaar weekend]]+Ruimtestaat[[#This Row],[uren / jaar werkdagen]]</f>
        <v>0</v>
      </c>
      <c r="AF624" s="89">
        <f>Ruimtestaat[[#This Row],[kosten / jaar weekend]]+Ruimtestaat[[#This Row],[kosten / jaar werkdagen]]</f>
        <v>0</v>
      </c>
    </row>
    <row r="625" spans="1:32" ht="15" customHeight="1">
      <c r="A625" s="280">
        <v>5</v>
      </c>
      <c r="B625" s="21" t="str">
        <f>VLOOKUP(Ruimtestaat[[#This Row],[Code]],Locaties[#All],2,FALSE)</f>
        <v>SGC Almelo</v>
      </c>
      <c r="C625" s="281" t="str">
        <f>VLOOKUP(Ruimtestaat[[#This Row],[Code]],Locaties[#All],4,FALSE)</f>
        <v>Slot 31</v>
      </c>
      <c r="D625" s="281" t="str">
        <f>VLOOKUP(Ruimtestaat[[#This Row],[Code]],Locaties[#All],5,FALSE)</f>
        <v>7608 ND</v>
      </c>
      <c r="E625" s="281" t="str">
        <f>VLOOKUP(Ruimtestaat[[#This Row],[Code]],Locaties[#All],6,FALSE)</f>
        <v>Almelo</v>
      </c>
      <c r="F625" s="282"/>
      <c r="G625" s="283" t="s">
        <v>444</v>
      </c>
      <c r="H625" s="280" t="s">
        <v>474</v>
      </c>
      <c r="I625" s="282" t="s">
        <v>792</v>
      </c>
      <c r="J625" s="281">
        <v>21</v>
      </c>
      <c r="K625" s="243" t="s">
        <v>111</v>
      </c>
      <c r="L625" s="291" t="s">
        <v>913</v>
      </c>
      <c r="M625" s="213"/>
      <c r="N625" s="213">
        <v>3.63</v>
      </c>
      <c r="O625" s="243" t="str">
        <f>VLOOKUP(Ruimtestaat[[#This Row],[Ruimte code]],Ruimtegroepen[#All],4,FALSE)</f>
        <v>Niet in onderhoud</v>
      </c>
      <c r="P625" s="214"/>
      <c r="Q625" s="215"/>
      <c r="R625" s="215"/>
      <c r="S625" s="215">
        <f>IF(R625&gt;0,IF(RIGHT(Ruimtestaat[[#This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5" s="215">
        <f>IF(S625&gt;0,VLOOKUP($J625,Ruimtegroepen[],3,FALSE)*VLOOKUP($K625,Vloersoorten[],3,FALSE)*VLOOKUP($R625,Frequenties[],3,FALSE)*VLOOKUP($A625,Locaties[],3,FALSE),0)</f>
        <v>0</v>
      </c>
      <c r="U625" s="215">
        <f>Ruimtestaat[[#This Row],[Uitvoeringen werkdagen]]*Ruimtestaat[[#This Row],[Oppervlak (netto)]]</f>
        <v>0</v>
      </c>
      <c r="V625" s="259">
        <f>IF(T625&gt;0,Ruimtestaat[[#This Row],[Prest. (m2 /jaar) werkdagen]]/Ruimtestaat[[#This Row],[Norm (m2/uur) werkdagen]],0)</f>
        <v>0</v>
      </c>
      <c r="W625" s="260">
        <f>Ruimtestaat[[#This Row],[uren / jaar werkdagen]]*Tariefsopbouw!$D$38</f>
        <v>0</v>
      </c>
      <c r="X625" s="33"/>
      <c r="Y625" s="33">
        <f>IF(Ruimtestaat[[#This Row],[Frequentie weekend]]&gt;0,VALUE(LEFT(X625,1))*Q625,0)</f>
        <v>0</v>
      </c>
      <c r="Z625" s="33">
        <f>IF($Y625&gt;0,VLOOKUP($J625,Ruimtegroepen[],3,FALSE)*VLOOKUP($K625,Vloersoorten[],3,FALSE)*VLOOKUP($X625,Frequenties[],3,FALSE)*VLOOKUP(#REF!,Locaties[],3,FALSE),0)</f>
        <v>0</v>
      </c>
      <c r="AA625" s="33"/>
      <c r="AB625" s="33"/>
      <c r="AC625" s="33">
        <f>Ruimtestaat[[#This Row],[uren / jaar weekend]]*Tariefsopbouw!$D$40</f>
        <v>0</v>
      </c>
      <c r="AD625" s="88">
        <f>Ruimtestaat[[#This Row],[Prest. (m2 /jaar) weekend]]+Ruimtestaat[[#This Row],[Prest. (m2 /jaar) werkdagen]]</f>
        <v>0</v>
      </c>
      <c r="AE625" s="88">
        <f>Ruimtestaat[[#This Row],[uren / jaar weekend]]+Ruimtestaat[[#This Row],[uren / jaar werkdagen]]</f>
        <v>0</v>
      </c>
      <c r="AF625" s="89">
        <f>Ruimtestaat[[#This Row],[kosten / jaar weekend]]+Ruimtestaat[[#This Row],[kosten / jaar werkdagen]]</f>
        <v>0</v>
      </c>
    </row>
    <row r="626" spans="1:32" ht="15" customHeight="1">
      <c r="A626" s="280">
        <v>5</v>
      </c>
      <c r="B626" s="21" t="str">
        <f>VLOOKUP(Ruimtestaat[[#This Row],[Code]],Locaties[#All],2,FALSE)</f>
        <v>SGC Almelo</v>
      </c>
      <c r="C626" s="281" t="str">
        <f>VLOOKUP(Ruimtestaat[[#This Row],[Code]],Locaties[#All],4,FALSE)</f>
        <v>Slot 31</v>
      </c>
      <c r="D626" s="281" t="str">
        <f>VLOOKUP(Ruimtestaat[[#This Row],[Code]],Locaties[#All],5,FALSE)</f>
        <v>7608 ND</v>
      </c>
      <c r="E626" s="281" t="str">
        <f>VLOOKUP(Ruimtestaat[[#This Row],[Code]],Locaties[#All],6,FALSE)</f>
        <v>Almelo</v>
      </c>
      <c r="F626" s="282"/>
      <c r="G626" s="283" t="s">
        <v>444</v>
      </c>
      <c r="H626" s="280" t="s">
        <v>475</v>
      </c>
      <c r="I626" s="282" t="s">
        <v>447</v>
      </c>
      <c r="J626" s="200">
        <v>1</v>
      </c>
      <c r="K626" s="243" t="s">
        <v>111</v>
      </c>
      <c r="L626" s="291" t="s">
        <v>913</v>
      </c>
      <c r="M626" s="213">
        <v>12.62</v>
      </c>
      <c r="N626" s="202"/>
      <c r="O626" s="243" t="str">
        <f>VLOOKUP(Ruimtestaat[[#This Row],[Ruimte code]],Ruimtegroepen[#All],4,FALSE)</f>
        <v>V  (Verkeersruimte)</v>
      </c>
      <c r="P626" s="214"/>
      <c r="Q626" s="215">
        <v>40</v>
      </c>
      <c r="R626" s="215" t="s">
        <v>16</v>
      </c>
      <c r="S626" s="215">
        <f>IF(R626&gt;0,IF(RIGHT(Ruimtestaat[[#This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626" s="215">
        <f>IF(S626&gt;0,VLOOKUP($J626,Ruimtegroepen[],3,FALSE)*VLOOKUP($K626,Vloersoorten[],3,FALSE)*VLOOKUP($R626,Frequenties[],3,FALSE)*VLOOKUP($A626,Locaties[],3,FALSE),0)</f>
        <v>0</v>
      </c>
      <c r="U626" s="215">
        <f>Ruimtestaat[[#This Row],[Uitvoeringen werkdagen]]*Ruimtestaat[[#This Row],[Oppervlak (netto)]]</f>
        <v>151.44</v>
      </c>
      <c r="V626" s="259">
        <f>IF(T626&gt;0,Ruimtestaat[[#This Row],[Prest. (m2 /jaar) werkdagen]]/Ruimtestaat[[#This Row],[Norm (m2/uur) werkdagen]],0)</f>
        <v>0</v>
      </c>
      <c r="W626" s="260">
        <f>Ruimtestaat[[#This Row],[uren / jaar werkdagen]]*Tariefsopbouw!$D$38</f>
        <v>0</v>
      </c>
      <c r="X626" s="33"/>
      <c r="Y626" s="33">
        <f>IF(Ruimtestaat[[#This Row],[Frequentie weekend]]&gt;0,VALUE(LEFT(X626,1))*Q626,0)</f>
        <v>0</v>
      </c>
      <c r="Z626" s="33">
        <f>IF($Y626&gt;0,VLOOKUP($J626,Ruimtegroepen[],3,FALSE)*VLOOKUP($K626,Vloersoorten[],3,FALSE)*VLOOKUP($X626,Frequenties[],3,FALSE)*VLOOKUP(#REF!,Locaties[],3,FALSE),0)</f>
        <v>0</v>
      </c>
      <c r="AA626" s="33"/>
      <c r="AB626" s="33"/>
      <c r="AC626" s="33">
        <f>Ruimtestaat[[#This Row],[uren / jaar weekend]]*Tariefsopbouw!$D$40</f>
        <v>0</v>
      </c>
      <c r="AD626" s="88">
        <f>Ruimtestaat[[#This Row],[Prest. (m2 /jaar) weekend]]+Ruimtestaat[[#This Row],[Prest. (m2 /jaar) werkdagen]]</f>
        <v>151.44</v>
      </c>
      <c r="AE626" s="88">
        <f>Ruimtestaat[[#This Row],[uren / jaar weekend]]+Ruimtestaat[[#This Row],[uren / jaar werkdagen]]</f>
        <v>0</v>
      </c>
      <c r="AF626" s="89">
        <f>Ruimtestaat[[#This Row],[kosten / jaar weekend]]+Ruimtestaat[[#This Row],[kosten / jaar werkdagen]]</f>
        <v>0</v>
      </c>
    </row>
    <row r="627" spans="1:32" ht="15" customHeight="1">
      <c r="A627" s="280">
        <v>5</v>
      </c>
      <c r="B627" s="21" t="str">
        <f>VLOOKUP(Ruimtestaat[[#This Row],[Code]],Locaties[#All],2,FALSE)</f>
        <v>SGC Almelo</v>
      </c>
      <c r="C627" s="281" t="str">
        <f>VLOOKUP(Ruimtestaat[[#This Row],[Code]],Locaties[#All],4,FALSE)</f>
        <v>Slot 31</v>
      </c>
      <c r="D627" s="281" t="str">
        <f>VLOOKUP(Ruimtestaat[[#This Row],[Code]],Locaties[#All],5,FALSE)</f>
        <v>7608 ND</v>
      </c>
      <c r="E627" s="281" t="str">
        <f>VLOOKUP(Ruimtestaat[[#This Row],[Code]],Locaties[#All],6,FALSE)</f>
        <v>Almelo</v>
      </c>
      <c r="F627" s="282"/>
      <c r="G627" s="283" t="s">
        <v>444</v>
      </c>
      <c r="H627" s="280" t="s">
        <v>793</v>
      </c>
      <c r="I627" s="282" t="s">
        <v>447</v>
      </c>
      <c r="J627" s="200">
        <v>21</v>
      </c>
      <c r="K627" s="243" t="s">
        <v>111</v>
      </c>
      <c r="L627" s="291" t="s">
        <v>890</v>
      </c>
      <c r="M627" s="213"/>
      <c r="N627" s="202">
        <v>5.81</v>
      </c>
      <c r="O627" s="243" t="str">
        <f>VLOOKUP(Ruimtestaat[[#This Row],[Ruimte code]],Ruimtegroepen[#All],4,FALSE)</f>
        <v>Niet in onderhoud</v>
      </c>
      <c r="P627" s="214"/>
      <c r="Q627" s="215"/>
      <c r="R627" s="215"/>
      <c r="S627" s="215">
        <f>IF(R627&gt;0,IF(RIGHT(Ruimtestaat[[#This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27" s="215">
        <f>IF(S627&gt;0,VLOOKUP($J627,Ruimtegroepen[],3,FALSE)*VLOOKUP($K627,Vloersoorten[],3,FALSE)*VLOOKUP($R627,Frequenties[],3,FALSE)*VLOOKUP($A627,Locaties[],3,FALSE),0)</f>
        <v>0</v>
      </c>
      <c r="U627" s="215">
        <f>Ruimtestaat[[#This Row],[Uitvoeringen werkdagen]]*Ruimtestaat[[#This Row],[Oppervlak (netto)]]</f>
        <v>0</v>
      </c>
      <c r="V627" s="259">
        <f>IF(T627&gt;0,Ruimtestaat[[#This Row],[Prest. (m2 /jaar) werkdagen]]/Ruimtestaat[[#This Row],[Norm (m2/uur) werkdagen]],0)</f>
        <v>0</v>
      </c>
      <c r="W627" s="260">
        <f>Ruimtestaat[[#This Row],[uren / jaar werkdagen]]*Tariefsopbouw!$D$38</f>
        <v>0</v>
      </c>
      <c r="X627" s="33"/>
      <c r="Y627" s="33">
        <f>IF(Ruimtestaat[[#This Row],[Frequentie weekend]]&gt;0,VALUE(LEFT(X627,1))*Q627,0)</f>
        <v>0</v>
      </c>
      <c r="Z627" s="33">
        <f>IF($Y627&gt;0,VLOOKUP($J627,Ruimtegroepen[],3,FALSE)*VLOOKUP($K627,Vloersoorten[],3,FALSE)*VLOOKUP($X627,Frequenties[],3,FALSE)*VLOOKUP(#REF!,Locaties[],3,FALSE),0)</f>
        <v>0</v>
      </c>
      <c r="AA627" s="33"/>
      <c r="AB627" s="33"/>
      <c r="AC627" s="33">
        <f>Ruimtestaat[[#This Row],[uren / jaar weekend]]*Tariefsopbouw!$D$40</f>
        <v>0</v>
      </c>
      <c r="AD627" s="88">
        <f>Ruimtestaat[[#This Row],[Prest. (m2 /jaar) weekend]]+Ruimtestaat[[#This Row],[Prest. (m2 /jaar) werkdagen]]</f>
        <v>0</v>
      </c>
      <c r="AE627" s="88">
        <f>Ruimtestaat[[#This Row],[uren / jaar weekend]]+Ruimtestaat[[#This Row],[uren / jaar werkdagen]]</f>
        <v>0</v>
      </c>
      <c r="AF627" s="89">
        <f>Ruimtestaat[[#This Row],[kosten / jaar weekend]]+Ruimtestaat[[#This Row],[kosten / jaar werkdagen]]</f>
        <v>0</v>
      </c>
    </row>
    <row r="628" spans="1:32" ht="15" customHeight="1">
      <c r="A628" s="280">
        <v>5</v>
      </c>
      <c r="B628" s="21" t="str">
        <f>VLOOKUP(Ruimtestaat[[#This Row],[Code]],Locaties[#All],2,FALSE)</f>
        <v>SGC Almelo</v>
      </c>
      <c r="C628" s="281" t="str">
        <f>VLOOKUP(Ruimtestaat[[#This Row],[Code]],Locaties[#All],4,FALSE)</f>
        <v>Slot 31</v>
      </c>
      <c r="D628" s="281" t="str">
        <f>VLOOKUP(Ruimtestaat[[#This Row],[Code]],Locaties[#All],5,FALSE)</f>
        <v>7608 ND</v>
      </c>
      <c r="E628" s="281" t="str">
        <f>VLOOKUP(Ruimtestaat[[#This Row],[Code]],Locaties[#All],6,FALSE)</f>
        <v>Almelo</v>
      </c>
      <c r="F628" s="282"/>
      <c r="G628" s="283" t="s">
        <v>444</v>
      </c>
      <c r="H628" s="280" t="s">
        <v>476</v>
      </c>
      <c r="I628" s="282" t="s">
        <v>396</v>
      </c>
      <c r="J628" s="200">
        <v>16</v>
      </c>
      <c r="K628" s="243" t="s">
        <v>109</v>
      </c>
      <c r="L628" s="291" t="s">
        <v>1046</v>
      </c>
      <c r="M628" s="213">
        <v>47.47</v>
      </c>
      <c r="N628" s="202"/>
      <c r="O628" s="243" t="str">
        <f>VLOOKUP(Ruimtestaat[[#This Row],[Ruimte code]],Ruimtegroepen[#All],4,FALSE)</f>
        <v>L  (Lesruimte)</v>
      </c>
      <c r="P628" s="214"/>
      <c r="Q628" s="215">
        <v>40</v>
      </c>
      <c r="R628" s="215" t="s">
        <v>2</v>
      </c>
      <c r="S628" s="215">
        <f>IF(R628&gt;0,IF(RIGHT(Ruimtestaat[[#This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8" s="215">
        <f>IF(S628&gt;0,VLOOKUP($J628,Ruimtegroepen[],3,FALSE)*VLOOKUP($K628,Vloersoorten[],3,FALSE)*VLOOKUP($R628,Frequenties[],3,FALSE)*VLOOKUP($A628,Locaties[],3,FALSE),0)</f>
        <v>0</v>
      </c>
      <c r="U628" s="215">
        <f>Ruimtestaat[[#This Row],[Uitvoeringen werkdagen]]*Ruimtestaat[[#This Row],[Oppervlak (netto)]]</f>
        <v>9494</v>
      </c>
      <c r="V628" s="259">
        <f>IF(T628&gt;0,Ruimtestaat[[#This Row],[Prest. (m2 /jaar) werkdagen]]/Ruimtestaat[[#This Row],[Norm (m2/uur) werkdagen]],0)</f>
        <v>0</v>
      </c>
      <c r="W628" s="260">
        <f>Ruimtestaat[[#This Row],[uren / jaar werkdagen]]*Tariefsopbouw!$D$38</f>
        <v>0</v>
      </c>
      <c r="X628" s="33"/>
      <c r="Y628" s="33">
        <f>IF(Ruimtestaat[[#This Row],[Frequentie weekend]]&gt;0,VALUE(LEFT(X628,1))*Q628,0)</f>
        <v>0</v>
      </c>
      <c r="Z628" s="33">
        <f>IF($Y628&gt;0,VLOOKUP($J628,Ruimtegroepen[],3,FALSE)*VLOOKUP($K628,Vloersoorten[],3,FALSE)*VLOOKUP($X628,Frequenties[],3,FALSE)*VLOOKUP(#REF!,Locaties[],3,FALSE),0)</f>
        <v>0</v>
      </c>
      <c r="AA628" s="33"/>
      <c r="AB628" s="33"/>
      <c r="AC628" s="33">
        <f>Ruimtestaat[[#This Row],[uren / jaar weekend]]*Tariefsopbouw!$D$40</f>
        <v>0</v>
      </c>
      <c r="AD628" s="88">
        <f>Ruimtestaat[[#This Row],[Prest. (m2 /jaar) weekend]]+Ruimtestaat[[#This Row],[Prest. (m2 /jaar) werkdagen]]</f>
        <v>9494</v>
      </c>
      <c r="AE628" s="88">
        <f>Ruimtestaat[[#This Row],[uren / jaar weekend]]+Ruimtestaat[[#This Row],[uren / jaar werkdagen]]</f>
        <v>0</v>
      </c>
      <c r="AF628" s="89">
        <f>Ruimtestaat[[#This Row],[kosten / jaar weekend]]+Ruimtestaat[[#This Row],[kosten / jaar werkdagen]]</f>
        <v>0</v>
      </c>
    </row>
    <row r="629" spans="1:32" ht="15" customHeight="1">
      <c r="A629" s="280">
        <v>5</v>
      </c>
      <c r="B629" s="21" t="str">
        <f>VLOOKUP(Ruimtestaat[[#This Row],[Code]],Locaties[#All],2,FALSE)</f>
        <v>SGC Almelo</v>
      </c>
      <c r="C629" s="281" t="str">
        <f>VLOOKUP(Ruimtestaat[[#This Row],[Code]],Locaties[#All],4,FALSE)</f>
        <v>Slot 31</v>
      </c>
      <c r="D629" s="281" t="str">
        <f>VLOOKUP(Ruimtestaat[[#This Row],[Code]],Locaties[#All],5,FALSE)</f>
        <v>7608 ND</v>
      </c>
      <c r="E629" s="281" t="str">
        <f>VLOOKUP(Ruimtestaat[[#This Row],[Code]],Locaties[#All],6,FALSE)</f>
        <v>Almelo</v>
      </c>
      <c r="F629" s="282"/>
      <c r="G629" s="283" t="s">
        <v>444</v>
      </c>
      <c r="H629" s="280" t="s">
        <v>794</v>
      </c>
      <c r="I629" s="282" t="s">
        <v>469</v>
      </c>
      <c r="J629" s="200">
        <v>6</v>
      </c>
      <c r="K629" s="243" t="s">
        <v>110</v>
      </c>
      <c r="L629" s="291" t="s">
        <v>132</v>
      </c>
      <c r="M629" s="213">
        <v>15.47</v>
      </c>
      <c r="N629" s="202"/>
      <c r="O629" s="243" t="str">
        <f>VLOOKUP(Ruimtestaat[[#This Row],[Ruimte code]],Ruimtegroepen[#All],4,FALSE)</f>
        <v>V  (Verkeersruimte)</v>
      </c>
      <c r="P629" s="214"/>
      <c r="Q629" s="215">
        <v>40</v>
      </c>
      <c r="R629" s="215" t="s">
        <v>2</v>
      </c>
      <c r="S629" s="215">
        <f>IF(R629&gt;0,IF(RIGHT(Ruimtestaat[[#This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29" s="215">
        <f>IF(S629&gt;0,VLOOKUP($J629,Ruimtegroepen[],3,FALSE)*VLOOKUP($K629,Vloersoorten[],3,FALSE)*VLOOKUP($R629,Frequenties[],3,FALSE)*VLOOKUP($A629,Locaties[],3,FALSE),0)</f>
        <v>0</v>
      </c>
      <c r="U629" s="215">
        <f>Ruimtestaat[[#This Row],[Uitvoeringen werkdagen]]*Ruimtestaat[[#This Row],[Oppervlak (netto)]]</f>
        <v>3094</v>
      </c>
      <c r="V629" s="259">
        <f>IF(T629&gt;0,Ruimtestaat[[#This Row],[Prest. (m2 /jaar) werkdagen]]/Ruimtestaat[[#This Row],[Norm (m2/uur) werkdagen]],0)</f>
        <v>0</v>
      </c>
      <c r="W629" s="260">
        <f>Ruimtestaat[[#This Row],[uren / jaar werkdagen]]*Tariefsopbouw!$D$38</f>
        <v>0</v>
      </c>
      <c r="X629" s="33"/>
      <c r="Y629" s="33">
        <f>IF(Ruimtestaat[[#This Row],[Frequentie weekend]]&gt;0,VALUE(LEFT(X629,1))*Q629,0)</f>
        <v>0</v>
      </c>
      <c r="Z629" s="33">
        <f>IF($Y629&gt;0,VLOOKUP($J629,Ruimtegroepen[],3,FALSE)*VLOOKUP($K629,Vloersoorten[],3,FALSE)*VLOOKUP($X629,Frequenties[],3,FALSE)*VLOOKUP(#REF!,Locaties[],3,FALSE),0)</f>
        <v>0</v>
      </c>
      <c r="AA629" s="33"/>
      <c r="AB629" s="33"/>
      <c r="AC629" s="33">
        <f>Ruimtestaat[[#This Row],[uren / jaar weekend]]*Tariefsopbouw!$D$40</f>
        <v>0</v>
      </c>
      <c r="AD629" s="88">
        <f>Ruimtestaat[[#This Row],[Prest. (m2 /jaar) weekend]]+Ruimtestaat[[#This Row],[Prest. (m2 /jaar) werkdagen]]</f>
        <v>3094</v>
      </c>
      <c r="AE629" s="88">
        <f>Ruimtestaat[[#This Row],[uren / jaar weekend]]+Ruimtestaat[[#This Row],[uren / jaar werkdagen]]</f>
        <v>0</v>
      </c>
      <c r="AF629" s="89">
        <f>Ruimtestaat[[#This Row],[kosten / jaar weekend]]+Ruimtestaat[[#This Row],[kosten / jaar werkdagen]]</f>
        <v>0</v>
      </c>
    </row>
    <row r="630" spans="1:32" ht="15" customHeight="1">
      <c r="A630" s="280">
        <v>5</v>
      </c>
      <c r="B630" s="21" t="str">
        <f>VLOOKUP(Ruimtestaat[[#This Row],[Code]],Locaties[#All],2,FALSE)</f>
        <v>SGC Almelo</v>
      </c>
      <c r="C630" s="281" t="str">
        <f>VLOOKUP(Ruimtestaat[[#This Row],[Code]],Locaties[#All],4,FALSE)</f>
        <v>Slot 31</v>
      </c>
      <c r="D630" s="281" t="str">
        <f>VLOOKUP(Ruimtestaat[[#This Row],[Code]],Locaties[#All],5,FALSE)</f>
        <v>7608 ND</v>
      </c>
      <c r="E630" s="281" t="str">
        <f>VLOOKUP(Ruimtestaat[[#This Row],[Code]],Locaties[#All],6,FALSE)</f>
        <v>Almelo</v>
      </c>
      <c r="F630" s="282"/>
      <c r="G630" s="283" t="s">
        <v>444</v>
      </c>
      <c r="H630" s="200" t="s">
        <v>1047</v>
      </c>
      <c r="I630" s="282" t="s">
        <v>487</v>
      </c>
      <c r="J630" s="200">
        <v>2</v>
      </c>
      <c r="K630" s="243" t="s">
        <v>109</v>
      </c>
      <c r="L630" s="291" t="s">
        <v>1046</v>
      </c>
      <c r="M630" s="213">
        <v>33.1</v>
      </c>
      <c r="N630" s="202"/>
      <c r="O630" s="243" t="str">
        <f>VLOOKUP(Ruimtestaat[[#This Row],[Ruimte code]],Ruimtegroepen[#All],4,FALSE)</f>
        <v>B  (Bureauruimte)</v>
      </c>
      <c r="P630" s="214"/>
      <c r="Q630" s="215">
        <v>40</v>
      </c>
      <c r="R630" s="215" t="s">
        <v>2</v>
      </c>
      <c r="S630" s="215">
        <f>IF(R630&gt;0,IF(RIGHT(Ruimtestaat[[#This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0" s="215">
        <f>IF(S630&gt;0,VLOOKUP($J630,Ruimtegroepen[],3,FALSE)*VLOOKUP($K630,Vloersoorten[],3,FALSE)*VLOOKUP($R630,Frequenties[],3,FALSE)*VLOOKUP($A630,Locaties[],3,FALSE),0)</f>
        <v>0</v>
      </c>
      <c r="U630" s="215">
        <f>Ruimtestaat[[#This Row],[Uitvoeringen werkdagen]]*Ruimtestaat[[#This Row],[Oppervlak (netto)]]</f>
        <v>6620</v>
      </c>
      <c r="V630" s="259">
        <f>IF(T630&gt;0,Ruimtestaat[[#This Row],[Prest. (m2 /jaar) werkdagen]]/Ruimtestaat[[#This Row],[Norm (m2/uur) werkdagen]],0)</f>
        <v>0</v>
      </c>
      <c r="W630" s="260">
        <f>Ruimtestaat[[#This Row],[uren / jaar werkdagen]]*Tariefsopbouw!$D$38</f>
        <v>0</v>
      </c>
      <c r="X630" s="33"/>
      <c r="Y630" s="33">
        <f>IF(Ruimtestaat[[#This Row],[Frequentie weekend]]&gt;0,VALUE(LEFT(X630,1))*Q630,0)</f>
        <v>0</v>
      </c>
      <c r="Z630" s="33">
        <f>IF($Y630&gt;0,VLOOKUP($J630,Ruimtegroepen[],3,FALSE)*VLOOKUP($K630,Vloersoorten[],3,FALSE)*VLOOKUP($X630,Frequenties[],3,FALSE)*VLOOKUP(#REF!,Locaties[],3,FALSE),0)</f>
        <v>0</v>
      </c>
      <c r="AA630" s="33"/>
      <c r="AB630" s="33"/>
      <c r="AC630" s="33">
        <f>Ruimtestaat[[#This Row],[uren / jaar weekend]]*Tariefsopbouw!$D$40</f>
        <v>0</v>
      </c>
      <c r="AD630" s="88">
        <f>Ruimtestaat[[#This Row],[Prest. (m2 /jaar) weekend]]+Ruimtestaat[[#This Row],[Prest. (m2 /jaar) werkdagen]]</f>
        <v>6620</v>
      </c>
      <c r="AE630" s="88">
        <f>Ruimtestaat[[#This Row],[uren / jaar weekend]]+Ruimtestaat[[#This Row],[uren / jaar werkdagen]]</f>
        <v>0</v>
      </c>
      <c r="AF630" s="89">
        <f>Ruimtestaat[[#This Row],[kosten / jaar weekend]]+Ruimtestaat[[#This Row],[kosten / jaar werkdagen]]</f>
        <v>0</v>
      </c>
    </row>
    <row r="631" spans="1:32" ht="15" customHeight="1">
      <c r="A631" s="280">
        <v>5</v>
      </c>
      <c r="B631" s="21" t="str">
        <f>VLOOKUP(Ruimtestaat[[#This Row],[Code]],Locaties[#All],2,FALSE)</f>
        <v>SGC Almelo</v>
      </c>
      <c r="C631" s="281" t="str">
        <f>VLOOKUP(Ruimtestaat[[#This Row],[Code]],Locaties[#All],4,FALSE)</f>
        <v>Slot 31</v>
      </c>
      <c r="D631" s="281" t="str">
        <f>VLOOKUP(Ruimtestaat[[#This Row],[Code]],Locaties[#All],5,FALSE)</f>
        <v>7608 ND</v>
      </c>
      <c r="E631" s="281" t="str">
        <f>VLOOKUP(Ruimtestaat[[#This Row],[Code]],Locaties[#All],6,FALSE)</f>
        <v>Almelo</v>
      </c>
      <c r="F631" s="282"/>
      <c r="G631" s="283" t="s">
        <v>444</v>
      </c>
      <c r="H631" s="280" t="s">
        <v>1048</v>
      </c>
      <c r="I631" s="282" t="s">
        <v>487</v>
      </c>
      <c r="J631" s="200">
        <v>21</v>
      </c>
      <c r="K631" s="243" t="s">
        <v>110</v>
      </c>
      <c r="L631" s="291" t="s">
        <v>132</v>
      </c>
      <c r="M631" s="213"/>
      <c r="N631" s="202">
        <v>33.07</v>
      </c>
      <c r="O631" s="243" t="str">
        <f>VLOOKUP(Ruimtestaat[[#This Row],[Ruimte code]],Ruimtegroepen[#All],4,FALSE)</f>
        <v>Niet in onderhoud</v>
      </c>
      <c r="P631" s="214"/>
      <c r="Q631" s="215"/>
      <c r="R631" s="215"/>
      <c r="S631" s="215">
        <f>IF(R631&gt;0,IF(RIGHT(Ruimtestaat[[#This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31" s="215">
        <f>IF(S631&gt;0,VLOOKUP($J631,Ruimtegroepen[],3,FALSE)*VLOOKUP($K631,Vloersoorten[],3,FALSE)*VLOOKUP($R631,Frequenties[],3,FALSE)*VLOOKUP($A631,Locaties[],3,FALSE),0)</f>
        <v>0</v>
      </c>
      <c r="U631" s="215">
        <f>Ruimtestaat[[#This Row],[Uitvoeringen werkdagen]]*Ruimtestaat[[#This Row],[Oppervlak (netto)]]</f>
        <v>0</v>
      </c>
      <c r="V631" s="259">
        <f>IF(T631&gt;0,Ruimtestaat[[#This Row],[Prest. (m2 /jaar) werkdagen]]/Ruimtestaat[[#This Row],[Norm (m2/uur) werkdagen]],0)</f>
        <v>0</v>
      </c>
      <c r="W631" s="260">
        <f>Ruimtestaat[[#This Row],[uren / jaar werkdagen]]*Tariefsopbouw!$D$38</f>
        <v>0</v>
      </c>
      <c r="X631" s="33"/>
      <c r="Y631" s="33">
        <f>IF(Ruimtestaat[[#This Row],[Frequentie weekend]]&gt;0,VALUE(LEFT(X631,1))*Q631,0)</f>
        <v>0</v>
      </c>
      <c r="Z631" s="33">
        <f>IF($Y631&gt;0,VLOOKUP($J631,Ruimtegroepen[],3,FALSE)*VLOOKUP($K631,Vloersoorten[],3,FALSE)*VLOOKUP($X631,Frequenties[],3,FALSE)*VLOOKUP(#REF!,Locaties[],3,FALSE),0)</f>
        <v>0</v>
      </c>
      <c r="AA631" s="33"/>
      <c r="AB631" s="33"/>
      <c r="AC631" s="33">
        <f>Ruimtestaat[[#This Row],[uren / jaar weekend]]*Tariefsopbouw!$D$40</f>
        <v>0</v>
      </c>
      <c r="AD631" s="88">
        <f>Ruimtestaat[[#This Row],[Prest. (m2 /jaar) weekend]]+Ruimtestaat[[#This Row],[Prest. (m2 /jaar) werkdagen]]</f>
        <v>0</v>
      </c>
      <c r="AE631" s="88">
        <f>Ruimtestaat[[#This Row],[uren / jaar weekend]]+Ruimtestaat[[#This Row],[uren / jaar werkdagen]]</f>
        <v>0</v>
      </c>
      <c r="AF631" s="89">
        <f>Ruimtestaat[[#This Row],[kosten / jaar weekend]]+Ruimtestaat[[#This Row],[kosten / jaar werkdagen]]</f>
        <v>0</v>
      </c>
    </row>
    <row r="632" spans="1:32" ht="15" customHeight="1">
      <c r="A632" s="280">
        <v>5</v>
      </c>
      <c r="B632" s="21" t="str">
        <f>VLOOKUP(Ruimtestaat[[#This Row],[Code]],Locaties[#All],2,FALSE)</f>
        <v>SGC Almelo</v>
      </c>
      <c r="C632" s="281" t="str">
        <f>VLOOKUP(Ruimtestaat[[#This Row],[Code]],Locaties[#All],4,FALSE)</f>
        <v>Slot 31</v>
      </c>
      <c r="D632" s="281" t="str">
        <f>VLOOKUP(Ruimtestaat[[#This Row],[Code]],Locaties[#All],5,FALSE)</f>
        <v>7608 ND</v>
      </c>
      <c r="E632" s="281" t="str">
        <f>VLOOKUP(Ruimtestaat[[#This Row],[Code]],Locaties[#All],6,FALSE)</f>
        <v>Almelo</v>
      </c>
      <c r="F632" s="282"/>
      <c r="G632" s="283" t="s">
        <v>444</v>
      </c>
      <c r="H632" s="280" t="s">
        <v>795</v>
      </c>
      <c r="I632" s="244" t="s">
        <v>469</v>
      </c>
      <c r="J632" s="200">
        <v>6</v>
      </c>
      <c r="K632" s="243" t="s">
        <v>109</v>
      </c>
      <c r="L632" s="291" t="s">
        <v>1046</v>
      </c>
      <c r="M632" s="213">
        <v>5.83</v>
      </c>
      <c r="N632" s="202"/>
      <c r="O632" s="243" t="str">
        <f>VLOOKUP(Ruimtestaat[[#This Row],[Ruimte code]],Ruimtegroepen[#All],4,FALSE)</f>
        <v>V  (Verkeersruimte)</v>
      </c>
      <c r="P632" s="214"/>
      <c r="Q632" s="215">
        <v>40</v>
      </c>
      <c r="R632" s="215" t="s">
        <v>2</v>
      </c>
      <c r="S632" s="215">
        <f>IF(R632&gt;0,IF(RIGHT(Ruimtestaat[[#This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2" s="215">
        <f>IF(S632&gt;0,VLOOKUP($J632,Ruimtegroepen[],3,FALSE)*VLOOKUP($K632,Vloersoorten[],3,FALSE)*VLOOKUP($R632,Frequenties[],3,FALSE)*VLOOKUP($A632,Locaties[],3,FALSE),0)</f>
        <v>0</v>
      </c>
      <c r="U632" s="215">
        <f>Ruimtestaat[[#This Row],[Uitvoeringen werkdagen]]*Ruimtestaat[[#This Row],[Oppervlak (netto)]]</f>
        <v>1166</v>
      </c>
      <c r="V632" s="259">
        <f>IF(T632&gt;0,Ruimtestaat[[#This Row],[Prest. (m2 /jaar) werkdagen]]/Ruimtestaat[[#This Row],[Norm (m2/uur) werkdagen]],0)</f>
        <v>0</v>
      </c>
      <c r="W632" s="260">
        <f>Ruimtestaat[[#This Row],[uren / jaar werkdagen]]*Tariefsopbouw!$D$38</f>
        <v>0</v>
      </c>
      <c r="X632" s="33"/>
      <c r="Y632" s="33">
        <f>IF(Ruimtestaat[[#This Row],[Frequentie weekend]]&gt;0,VALUE(LEFT(X632,1))*Q632,0)</f>
        <v>0</v>
      </c>
      <c r="Z632" s="33">
        <f>IF($Y632&gt;0,VLOOKUP($J632,Ruimtegroepen[],3,FALSE)*VLOOKUP($K632,Vloersoorten[],3,FALSE)*VLOOKUP($X632,Frequenties[],3,FALSE)*VLOOKUP(#REF!,Locaties[],3,FALSE),0)</f>
        <v>0</v>
      </c>
      <c r="AA632" s="33"/>
      <c r="AB632" s="33"/>
      <c r="AC632" s="33">
        <f>Ruimtestaat[[#This Row],[uren / jaar weekend]]*Tariefsopbouw!$D$40</f>
        <v>0</v>
      </c>
      <c r="AD632" s="88">
        <f>Ruimtestaat[[#This Row],[Prest. (m2 /jaar) weekend]]+Ruimtestaat[[#This Row],[Prest. (m2 /jaar) werkdagen]]</f>
        <v>1166</v>
      </c>
      <c r="AE632" s="88">
        <f>Ruimtestaat[[#This Row],[uren / jaar weekend]]+Ruimtestaat[[#This Row],[uren / jaar werkdagen]]</f>
        <v>0</v>
      </c>
      <c r="AF632" s="89">
        <f>Ruimtestaat[[#This Row],[kosten / jaar weekend]]+Ruimtestaat[[#This Row],[kosten / jaar werkdagen]]</f>
        <v>0</v>
      </c>
    </row>
    <row r="633" spans="1:32" ht="15" customHeight="1">
      <c r="A633" s="280">
        <v>5</v>
      </c>
      <c r="B633" s="21" t="str">
        <f>VLOOKUP(Ruimtestaat[[#This Row],[Code]],Locaties[#All],2,FALSE)</f>
        <v>SGC Almelo</v>
      </c>
      <c r="C633" s="281" t="str">
        <f>VLOOKUP(Ruimtestaat[[#This Row],[Code]],Locaties[#All],4,FALSE)</f>
        <v>Slot 31</v>
      </c>
      <c r="D633" s="281" t="str">
        <f>VLOOKUP(Ruimtestaat[[#This Row],[Code]],Locaties[#All],5,FALSE)</f>
        <v>7608 ND</v>
      </c>
      <c r="E633" s="281" t="str">
        <f>VLOOKUP(Ruimtestaat[[#This Row],[Code]],Locaties[#All],6,FALSE)</f>
        <v>Almelo</v>
      </c>
      <c r="F633" s="282"/>
      <c r="G633" s="283" t="s">
        <v>444</v>
      </c>
      <c r="H633" s="280" t="s">
        <v>796</v>
      </c>
      <c r="I633" s="282" t="s">
        <v>447</v>
      </c>
      <c r="J633" s="200">
        <v>21</v>
      </c>
      <c r="K633" s="243" t="s">
        <v>110</v>
      </c>
      <c r="L633" s="291" t="s">
        <v>132</v>
      </c>
      <c r="M633" s="213"/>
      <c r="N633" s="202">
        <v>11.61</v>
      </c>
      <c r="O633" s="243" t="str">
        <f>VLOOKUP(Ruimtestaat[[#This Row],[Ruimte code]],Ruimtegroepen[#All],4,FALSE)</f>
        <v>Niet in onderhoud</v>
      </c>
      <c r="P633" s="214"/>
      <c r="Q633" s="215"/>
      <c r="R633" s="215"/>
      <c r="S633" s="215">
        <f>IF(R633&gt;0,IF(RIGHT(Ruimtestaat[[#This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33" s="215">
        <f>IF(S633&gt;0,VLOOKUP($J633,Ruimtegroepen[],3,FALSE)*VLOOKUP($K633,Vloersoorten[],3,FALSE)*VLOOKUP($R633,Frequenties[],3,FALSE)*VLOOKUP($A633,Locaties[],3,FALSE),0)</f>
        <v>0</v>
      </c>
      <c r="U633" s="215">
        <f>Ruimtestaat[[#This Row],[Uitvoeringen werkdagen]]*Ruimtestaat[[#This Row],[Oppervlak (netto)]]</f>
        <v>0</v>
      </c>
      <c r="V633" s="259">
        <f>IF(T633&gt;0,Ruimtestaat[[#This Row],[Prest. (m2 /jaar) werkdagen]]/Ruimtestaat[[#This Row],[Norm (m2/uur) werkdagen]],0)</f>
        <v>0</v>
      </c>
      <c r="W633" s="260">
        <f>Ruimtestaat[[#This Row],[uren / jaar werkdagen]]*Tariefsopbouw!$D$38</f>
        <v>0</v>
      </c>
      <c r="X633" s="33"/>
      <c r="Y633" s="33">
        <f>IF(Ruimtestaat[[#This Row],[Frequentie weekend]]&gt;0,VALUE(LEFT(X633,1))*Q633,0)</f>
        <v>0</v>
      </c>
      <c r="Z633" s="33">
        <f>IF($Y633&gt;0,VLOOKUP($J633,Ruimtegroepen[],3,FALSE)*VLOOKUP($K633,Vloersoorten[],3,FALSE)*VLOOKUP($X633,Frequenties[],3,FALSE)*VLOOKUP(#REF!,Locaties[],3,FALSE),0)</f>
        <v>0</v>
      </c>
      <c r="AA633" s="33"/>
      <c r="AB633" s="33"/>
      <c r="AC633" s="33">
        <f>Ruimtestaat[[#This Row],[uren / jaar weekend]]*Tariefsopbouw!$D$40</f>
        <v>0</v>
      </c>
      <c r="AD633" s="88">
        <f>Ruimtestaat[[#This Row],[Prest. (m2 /jaar) weekend]]+Ruimtestaat[[#This Row],[Prest. (m2 /jaar) werkdagen]]</f>
        <v>0</v>
      </c>
      <c r="AE633" s="88">
        <f>Ruimtestaat[[#This Row],[uren / jaar weekend]]+Ruimtestaat[[#This Row],[uren / jaar werkdagen]]</f>
        <v>0</v>
      </c>
      <c r="AF633" s="89">
        <f>Ruimtestaat[[#This Row],[kosten / jaar weekend]]+Ruimtestaat[[#This Row],[kosten / jaar werkdagen]]</f>
        <v>0</v>
      </c>
    </row>
    <row r="634" spans="1:32" ht="15" customHeight="1">
      <c r="A634" s="280">
        <v>5</v>
      </c>
      <c r="B634" s="21" t="str">
        <f>VLOOKUP(Ruimtestaat[[#This Row],[Code]],Locaties[#All],2,FALSE)</f>
        <v>SGC Almelo</v>
      </c>
      <c r="C634" s="281" t="str">
        <f>VLOOKUP(Ruimtestaat[[#This Row],[Code]],Locaties[#All],4,FALSE)</f>
        <v>Slot 31</v>
      </c>
      <c r="D634" s="281" t="str">
        <f>VLOOKUP(Ruimtestaat[[#This Row],[Code]],Locaties[#All],5,FALSE)</f>
        <v>7608 ND</v>
      </c>
      <c r="E634" s="281" t="str">
        <f>VLOOKUP(Ruimtestaat[[#This Row],[Code]],Locaties[#All],6,FALSE)</f>
        <v>Almelo</v>
      </c>
      <c r="F634" s="282"/>
      <c r="G634" s="283" t="s">
        <v>444</v>
      </c>
      <c r="H634" s="280" t="s">
        <v>797</v>
      </c>
      <c r="I634" s="244" t="s">
        <v>447</v>
      </c>
      <c r="J634" s="200">
        <v>21</v>
      </c>
      <c r="K634" s="243" t="s">
        <v>110</v>
      </c>
      <c r="L634" s="291" t="s">
        <v>132</v>
      </c>
      <c r="M634" s="213"/>
      <c r="N634" s="202">
        <v>32.630000000000003</v>
      </c>
      <c r="O634" s="243" t="str">
        <f>VLOOKUP(Ruimtestaat[[#This Row],[Ruimte code]],Ruimtegroepen[#All],4,FALSE)</f>
        <v>Niet in onderhoud</v>
      </c>
      <c r="P634" s="214"/>
      <c r="Q634" s="215"/>
      <c r="R634" s="215"/>
      <c r="S634" s="215">
        <f>IF(R634&gt;0,IF(RIGHT(Ruimtestaat[[#This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34" s="215">
        <f>IF(S634&gt;0,VLOOKUP($J634,Ruimtegroepen[],3,FALSE)*VLOOKUP($K634,Vloersoorten[],3,FALSE)*VLOOKUP($R634,Frequenties[],3,FALSE)*VLOOKUP($A634,Locaties[],3,FALSE),0)</f>
        <v>0</v>
      </c>
      <c r="U634" s="215">
        <f>Ruimtestaat[[#This Row],[Uitvoeringen werkdagen]]*Ruimtestaat[[#This Row],[Oppervlak (netto)]]</f>
        <v>0</v>
      </c>
      <c r="V634" s="259">
        <f>IF(T634&gt;0,Ruimtestaat[[#This Row],[Prest. (m2 /jaar) werkdagen]]/Ruimtestaat[[#This Row],[Norm (m2/uur) werkdagen]],0)</f>
        <v>0</v>
      </c>
      <c r="W634" s="260">
        <f>Ruimtestaat[[#This Row],[uren / jaar werkdagen]]*Tariefsopbouw!$D$38</f>
        <v>0</v>
      </c>
      <c r="X634" s="33"/>
      <c r="Y634" s="33">
        <f>IF(Ruimtestaat[[#This Row],[Frequentie weekend]]&gt;0,VALUE(LEFT(X634,1))*Q634,0)</f>
        <v>0</v>
      </c>
      <c r="Z634" s="33">
        <f>IF($Y634&gt;0,VLOOKUP($J634,Ruimtegroepen[],3,FALSE)*VLOOKUP($K634,Vloersoorten[],3,FALSE)*VLOOKUP($X634,Frequenties[],3,FALSE)*VLOOKUP(#REF!,Locaties[],3,FALSE),0)</f>
        <v>0</v>
      </c>
      <c r="AA634" s="33"/>
      <c r="AB634" s="33"/>
      <c r="AC634" s="33">
        <f>Ruimtestaat[[#This Row],[uren / jaar weekend]]*Tariefsopbouw!$D$40</f>
        <v>0</v>
      </c>
      <c r="AD634" s="88">
        <f>Ruimtestaat[[#This Row],[Prest. (m2 /jaar) weekend]]+Ruimtestaat[[#This Row],[Prest. (m2 /jaar) werkdagen]]</f>
        <v>0</v>
      </c>
      <c r="AE634" s="88">
        <f>Ruimtestaat[[#This Row],[uren / jaar weekend]]+Ruimtestaat[[#This Row],[uren / jaar werkdagen]]</f>
        <v>0</v>
      </c>
      <c r="AF634" s="89">
        <f>Ruimtestaat[[#This Row],[kosten / jaar weekend]]+Ruimtestaat[[#This Row],[kosten / jaar werkdagen]]</f>
        <v>0</v>
      </c>
    </row>
    <row r="635" spans="1:32" ht="15" customHeight="1">
      <c r="A635" s="280">
        <v>5</v>
      </c>
      <c r="B635" s="21" t="str">
        <f>VLOOKUP(Ruimtestaat[[#This Row],[Code]],Locaties[#All],2,FALSE)</f>
        <v>SGC Almelo</v>
      </c>
      <c r="C635" s="281" t="str">
        <f>VLOOKUP(Ruimtestaat[[#This Row],[Code]],Locaties[#All],4,FALSE)</f>
        <v>Slot 31</v>
      </c>
      <c r="D635" s="281" t="str">
        <f>VLOOKUP(Ruimtestaat[[#This Row],[Code]],Locaties[#All],5,FALSE)</f>
        <v>7608 ND</v>
      </c>
      <c r="E635" s="281" t="str">
        <f>VLOOKUP(Ruimtestaat[[#This Row],[Code]],Locaties[#All],6,FALSE)</f>
        <v>Almelo</v>
      </c>
      <c r="F635" s="282"/>
      <c r="G635" s="283" t="s">
        <v>444</v>
      </c>
      <c r="H635" s="200" t="s">
        <v>477</v>
      </c>
      <c r="I635" s="244" t="s">
        <v>914</v>
      </c>
      <c r="J635" s="200">
        <v>16</v>
      </c>
      <c r="K635" s="243" t="s">
        <v>109</v>
      </c>
      <c r="L635" s="291" t="s">
        <v>1046</v>
      </c>
      <c r="M635" s="213">
        <v>81.25</v>
      </c>
      <c r="N635" s="202"/>
      <c r="O635" s="243" t="str">
        <f>VLOOKUP(Ruimtestaat[[#This Row],[Ruimte code]],Ruimtegroepen[#All],4,FALSE)</f>
        <v>L  (Lesruimte)</v>
      </c>
      <c r="P635" s="214"/>
      <c r="Q635" s="215">
        <v>40</v>
      </c>
      <c r="R635" s="215" t="s">
        <v>2</v>
      </c>
      <c r="S635" s="215">
        <f>IF(R635&gt;0,IF(RIGHT(Ruimtestaat[[#This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5" s="215">
        <f>IF(S635&gt;0,VLOOKUP($J635,Ruimtegroepen[],3,FALSE)*VLOOKUP($K635,Vloersoorten[],3,FALSE)*VLOOKUP($R635,Frequenties[],3,FALSE)*VLOOKUP($A635,Locaties[],3,FALSE),0)</f>
        <v>0</v>
      </c>
      <c r="U635" s="215">
        <f>Ruimtestaat[[#This Row],[Uitvoeringen werkdagen]]*Ruimtestaat[[#This Row],[Oppervlak (netto)]]</f>
        <v>16250</v>
      </c>
      <c r="V635" s="259">
        <f>IF(T635&gt;0,Ruimtestaat[[#This Row],[Prest. (m2 /jaar) werkdagen]]/Ruimtestaat[[#This Row],[Norm (m2/uur) werkdagen]],0)</f>
        <v>0</v>
      </c>
      <c r="W635" s="260">
        <f>Ruimtestaat[[#This Row],[uren / jaar werkdagen]]*Tariefsopbouw!$D$38</f>
        <v>0</v>
      </c>
      <c r="X635" s="33"/>
      <c r="Y635" s="33">
        <f>IF(Ruimtestaat[[#This Row],[Frequentie weekend]]&gt;0,VALUE(LEFT(X635,1))*Q635,0)</f>
        <v>0</v>
      </c>
      <c r="Z635" s="33">
        <f>IF($Y635&gt;0,VLOOKUP($J635,Ruimtegroepen[],3,FALSE)*VLOOKUP($K635,Vloersoorten[],3,FALSE)*VLOOKUP($X635,Frequenties[],3,FALSE)*VLOOKUP(#REF!,Locaties[],3,FALSE),0)</f>
        <v>0</v>
      </c>
      <c r="AA635" s="33"/>
      <c r="AB635" s="33"/>
      <c r="AC635" s="33">
        <f>Ruimtestaat[[#This Row],[uren / jaar weekend]]*Tariefsopbouw!$D$40</f>
        <v>0</v>
      </c>
      <c r="AD635" s="88">
        <f>Ruimtestaat[[#This Row],[Prest. (m2 /jaar) weekend]]+Ruimtestaat[[#This Row],[Prest. (m2 /jaar) werkdagen]]</f>
        <v>16250</v>
      </c>
      <c r="AE635" s="88">
        <f>Ruimtestaat[[#This Row],[uren / jaar weekend]]+Ruimtestaat[[#This Row],[uren / jaar werkdagen]]</f>
        <v>0</v>
      </c>
      <c r="AF635" s="89">
        <f>Ruimtestaat[[#This Row],[kosten / jaar weekend]]+Ruimtestaat[[#This Row],[kosten / jaar werkdagen]]</f>
        <v>0</v>
      </c>
    </row>
    <row r="636" spans="1:32" ht="15" customHeight="1">
      <c r="A636" s="280">
        <v>5</v>
      </c>
      <c r="B636" s="21" t="str">
        <f>VLOOKUP(Ruimtestaat[[#This Row],[Code]],Locaties[#All],2,FALSE)</f>
        <v>SGC Almelo</v>
      </c>
      <c r="C636" s="281" t="str">
        <f>VLOOKUP(Ruimtestaat[[#This Row],[Code]],Locaties[#All],4,FALSE)</f>
        <v>Slot 31</v>
      </c>
      <c r="D636" s="281" t="str">
        <f>VLOOKUP(Ruimtestaat[[#This Row],[Code]],Locaties[#All],5,FALSE)</f>
        <v>7608 ND</v>
      </c>
      <c r="E636" s="281" t="str">
        <f>VLOOKUP(Ruimtestaat[[#This Row],[Code]],Locaties[#All],6,FALSE)</f>
        <v>Almelo</v>
      </c>
      <c r="F636" s="282"/>
      <c r="G636" s="283" t="s">
        <v>444</v>
      </c>
      <c r="H636" s="280" t="s">
        <v>799</v>
      </c>
      <c r="I636" s="282" t="s">
        <v>487</v>
      </c>
      <c r="J636" s="200">
        <v>2</v>
      </c>
      <c r="K636" s="243" t="s">
        <v>109</v>
      </c>
      <c r="L636" s="291" t="s">
        <v>919</v>
      </c>
      <c r="M636" s="213">
        <v>30.09</v>
      </c>
      <c r="N636" s="202"/>
      <c r="O636" s="243" t="str">
        <f>VLOOKUP(Ruimtestaat[[#This Row],[Ruimte code]],Ruimtegroepen[#All],4,FALSE)</f>
        <v>B  (Bureauruimte)</v>
      </c>
      <c r="P636" s="214"/>
      <c r="Q636" s="215">
        <v>40</v>
      </c>
      <c r="R636" s="215" t="s">
        <v>2</v>
      </c>
      <c r="S636" s="215">
        <f>IF(R636&gt;0,IF(RIGHT(Ruimtestaat[[#This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6" s="215">
        <f>IF(S636&gt;0,VLOOKUP($J636,Ruimtegroepen[],3,FALSE)*VLOOKUP($K636,Vloersoorten[],3,FALSE)*VLOOKUP($R636,Frequenties[],3,FALSE)*VLOOKUP($A636,Locaties[],3,FALSE),0)</f>
        <v>0</v>
      </c>
      <c r="U636" s="215">
        <f>Ruimtestaat[[#This Row],[Uitvoeringen werkdagen]]*Ruimtestaat[[#This Row],[Oppervlak (netto)]]</f>
        <v>6018</v>
      </c>
      <c r="V636" s="259">
        <f>IF(T636&gt;0,Ruimtestaat[[#This Row],[Prest. (m2 /jaar) werkdagen]]/Ruimtestaat[[#This Row],[Norm (m2/uur) werkdagen]],0)</f>
        <v>0</v>
      </c>
      <c r="W636" s="260">
        <f>Ruimtestaat[[#This Row],[uren / jaar werkdagen]]*Tariefsopbouw!$D$38</f>
        <v>0</v>
      </c>
      <c r="X636" s="33"/>
      <c r="Y636" s="33">
        <f>IF(Ruimtestaat[[#This Row],[Frequentie weekend]]&gt;0,VALUE(LEFT(X636,1))*Q636,0)</f>
        <v>0</v>
      </c>
      <c r="Z636" s="33">
        <f>IF($Y636&gt;0,VLOOKUP($J636,Ruimtegroepen[],3,FALSE)*VLOOKUP($K636,Vloersoorten[],3,FALSE)*VLOOKUP($X636,Frequenties[],3,FALSE)*VLOOKUP(#REF!,Locaties[],3,FALSE),0)</f>
        <v>0</v>
      </c>
      <c r="AA636" s="33"/>
      <c r="AB636" s="33"/>
      <c r="AC636" s="33">
        <f>Ruimtestaat[[#This Row],[uren / jaar weekend]]*Tariefsopbouw!$D$40</f>
        <v>0</v>
      </c>
      <c r="AD636" s="88">
        <f>Ruimtestaat[[#This Row],[Prest. (m2 /jaar) weekend]]+Ruimtestaat[[#This Row],[Prest. (m2 /jaar) werkdagen]]</f>
        <v>6018</v>
      </c>
      <c r="AE636" s="88">
        <f>Ruimtestaat[[#This Row],[uren / jaar weekend]]+Ruimtestaat[[#This Row],[uren / jaar werkdagen]]</f>
        <v>0</v>
      </c>
      <c r="AF636" s="89">
        <f>Ruimtestaat[[#This Row],[kosten / jaar weekend]]+Ruimtestaat[[#This Row],[kosten / jaar werkdagen]]</f>
        <v>0</v>
      </c>
    </row>
    <row r="637" spans="1:32" ht="15" customHeight="1">
      <c r="A637" s="280">
        <v>5</v>
      </c>
      <c r="B637" s="21" t="str">
        <f>VLOOKUP(Ruimtestaat[[#This Row],[Code]],Locaties[#All],2,FALSE)</f>
        <v>SGC Almelo</v>
      </c>
      <c r="C637" s="281" t="str">
        <f>VLOOKUP(Ruimtestaat[[#This Row],[Code]],Locaties[#All],4,FALSE)</f>
        <v>Slot 31</v>
      </c>
      <c r="D637" s="281" t="str">
        <f>VLOOKUP(Ruimtestaat[[#This Row],[Code]],Locaties[#All],5,FALSE)</f>
        <v>7608 ND</v>
      </c>
      <c r="E637" s="281" t="str">
        <f>VLOOKUP(Ruimtestaat[[#This Row],[Code]],Locaties[#All],6,FALSE)</f>
        <v>Almelo</v>
      </c>
      <c r="F637" s="282"/>
      <c r="G637" s="283" t="s">
        <v>444</v>
      </c>
      <c r="H637" s="280" t="s">
        <v>480</v>
      </c>
      <c r="I637" s="282" t="s">
        <v>396</v>
      </c>
      <c r="J637" s="200">
        <v>16</v>
      </c>
      <c r="K637" s="243" t="s">
        <v>110</v>
      </c>
      <c r="L637" s="291" t="s">
        <v>132</v>
      </c>
      <c r="M637" s="213">
        <v>50.7</v>
      </c>
      <c r="N637" s="202"/>
      <c r="O637" s="243" t="str">
        <f>VLOOKUP(Ruimtestaat[[#This Row],[Ruimte code]],Ruimtegroepen[#All],4,FALSE)</f>
        <v>L  (Lesruimte)</v>
      </c>
      <c r="P637" s="214"/>
      <c r="Q637" s="215">
        <v>40</v>
      </c>
      <c r="R637" s="215" t="s">
        <v>2</v>
      </c>
      <c r="S637" s="215">
        <f>IF(R637&gt;0,IF(RIGHT(Ruimtestaat[[#This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7" s="215">
        <f>IF(S637&gt;0,VLOOKUP($J637,Ruimtegroepen[],3,FALSE)*VLOOKUP($K637,Vloersoorten[],3,FALSE)*VLOOKUP($R637,Frequenties[],3,FALSE)*VLOOKUP($A637,Locaties[],3,FALSE),0)</f>
        <v>0</v>
      </c>
      <c r="U637" s="215">
        <f>Ruimtestaat[[#This Row],[Uitvoeringen werkdagen]]*Ruimtestaat[[#This Row],[Oppervlak (netto)]]</f>
        <v>10140</v>
      </c>
      <c r="V637" s="259">
        <f>IF(T637&gt;0,Ruimtestaat[[#This Row],[Prest. (m2 /jaar) werkdagen]]/Ruimtestaat[[#This Row],[Norm (m2/uur) werkdagen]],0)</f>
        <v>0</v>
      </c>
      <c r="W637" s="260">
        <f>Ruimtestaat[[#This Row],[uren / jaar werkdagen]]*Tariefsopbouw!$D$38</f>
        <v>0</v>
      </c>
      <c r="X637" s="33"/>
      <c r="Y637" s="33">
        <f>IF(Ruimtestaat[[#This Row],[Frequentie weekend]]&gt;0,VALUE(LEFT(X637,1))*Q637,0)</f>
        <v>0</v>
      </c>
      <c r="Z637" s="33">
        <f>IF($Y637&gt;0,VLOOKUP($J637,Ruimtegroepen[],3,FALSE)*VLOOKUP($K637,Vloersoorten[],3,FALSE)*VLOOKUP($X637,Frequenties[],3,FALSE)*VLOOKUP(#REF!,Locaties[],3,FALSE),0)</f>
        <v>0</v>
      </c>
      <c r="AA637" s="33"/>
      <c r="AB637" s="33"/>
      <c r="AC637" s="33">
        <f>Ruimtestaat[[#This Row],[uren / jaar weekend]]*Tariefsopbouw!$D$40</f>
        <v>0</v>
      </c>
      <c r="AD637" s="88">
        <f>Ruimtestaat[[#This Row],[Prest. (m2 /jaar) weekend]]+Ruimtestaat[[#This Row],[Prest. (m2 /jaar) werkdagen]]</f>
        <v>10140</v>
      </c>
      <c r="AE637" s="88">
        <f>Ruimtestaat[[#This Row],[uren / jaar weekend]]+Ruimtestaat[[#This Row],[uren / jaar werkdagen]]</f>
        <v>0</v>
      </c>
      <c r="AF637" s="89">
        <f>Ruimtestaat[[#This Row],[kosten / jaar weekend]]+Ruimtestaat[[#This Row],[kosten / jaar werkdagen]]</f>
        <v>0</v>
      </c>
    </row>
    <row r="638" spans="1:32" ht="15" customHeight="1">
      <c r="A638" s="280">
        <v>5</v>
      </c>
      <c r="B638" s="21" t="str">
        <f>VLOOKUP(Ruimtestaat[[#This Row],[Code]],Locaties[#All],2,FALSE)</f>
        <v>SGC Almelo</v>
      </c>
      <c r="C638" s="281" t="str">
        <f>VLOOKUP(Ruimtestaat[[#This Row],[Code]],Locaties[#All],4,FALSE)</f>
        <v>Slot 31</v>
      </c>
      <c r="D638" s="281" t="str">
        <f>VLOOKUP(Ruimtestaat[[#This Row],[Code]],Locaties[#All],5,FALSE)</f>
        <v>7608 ND</v>
      </c>
      <c r="E638" s="281" t="str">
        <f>VLOOKUP(Ruimtestaat[[#This Row],[Code]],Locaties[#All],6,FALSE)</f>
        <v>Almelo</v>
      </c>
      <c r="F638" s="282"/>
      <c r="G638" s="283" t="s">
        <v>444</v>
      </c>
      <c r="H638" s="200" t="s">
        <v>798</v>
      </c>
      <c r="I638" s="244" t="s">
        <v>396</v>
      </c>
      <c r="J638" s="200">
        <v>16</v>
      </c>
      <c r="K638" s="243" t="s">
        <v>110</v>
      </c>
      <c r="L638" s="291" t="s">
        <v>132</v>
      </c>
      <c r="M638" s="213">
        <v>33.4</v>
      </c>
      <c r="N638" s="202"/>
      <c r="O638" s="243" t="str">
        <f>VLOOKUP(Ruimtestaat[[#This Row],[Ruimte code]],Ruimtegroepen[#All],4,FALSE)</f>
        <v>L  (Lesruimte)</v>
      </c>
      <c r="P638" s="214"/>
      <c r="Q638" s="215">
        <v>40</v>
      </c>
      <c r="R638" s="215" t="s">
        <v>2</v>
      </c>
      <c r="S638" s="215">
        <f>IF(R638&gt;0,IF(RIGHT(Ruimtestaat[[#This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38" s="215">
        <f>IF(S638&gt;0,VLOOKUP($J638,Ruimtegroepen[],3,FALSE)*VLOOKUP($K638,Vloersoorten[],3,FALSE)*VLOOKUP($R638,Frequenties[],3,FALSE)*VLOOKUP($A638,Locaties[],3,FALSE),0)</f>
        <v>0</v>
      </c>
      <c r="U638" s="215">
        <f>Ruimtestaat[[#This Row],[Uitvoeringen werkdagen]]*Ruimtestaat[[#This Row],[Oppervlak (netto)]]</f>
        <v>6680</v>
      </c>
      <c r="V638" s="259">
        <f>IF(T638&gt;0,Ruimtestaat[[#This Row],[Prest. (m2 /jaar) werkdagen]]/Ruimtestaat[[#This Row],[Norm (m2/uur) werkdagen]],0)</f>
        <v>0</v>
      </c>
      <c r="W638" s="260">
        <f>Ruimtestaat[[#This Row],[uren / jaar werkdagen]]*Tariefsopbouw!$D$38</f>
        <v>0</v>
      </c>
      <c r="X638" s="33"/>
      <c r="Y638" s="33">
        <f>IF(Ruimtestaat[[#This Row],[Frequentie weekend]]&gt;0,VALUE(LEFT(X638,1))*Q638,0)</f>
        <v>0</v>
      </c>
      <c r="Z638" s="33">
        <f>IF($Y638&gt;0,VLOOKUP($J638,Ruimtegroepen[],3,FALSE)*VLOOKUP($K638,Vloersoorten[],3,FALSE)*VLOOKUP($X638,Frequenties[],3,FALSE)*VLOOKUP(#REF!,Locaties[],3,FALSE),0)</f>
        <v>0</v>
      </c>
      <c r="AA638" s="33"/>
      <c r="AB638" s="33"/>
      <c r="AC638" s="33">
        <f>Ruimtestaat[[#This Row],[uren / jaar weekend]]*Tariefsopbouw!$D$40</f>
        <v>0</v>
      </c>
      <c r="AD638" s="88">
        <f>Ruimtestaat[[#This Row],[Prest. (m2 /jaar) weekend]]+Ruimtestaat[[#This Row],[Prest. (m2 /jaar) werkdagen]]</f>
        <v>6680</v>
      </c>
      <c r="AE638" s="88">
        <f>Ruimtestaat[[#This Row],[uren / jaar weekend]]+Ruimtestaat[[#This Row],[uren / jaar werkdagen]]</f>
        <v>0</v>
      </c>
      <c r="AF638" s="89">
        <f>Ruimtestaat[[#This Row],[kosten / jaar weekend]]+Ruimtestaat[[#This Row],[kosten / jaar werkdagen]]</f>
        <v>0</v>
      </c>
    </row>
    <row r="639" spans="1:32" ht="15" customHeight="1">
      <c r="A639" s="280">
        <v>5</v>
      </c>
      <c r="B639" s="21" t="str">
        <f>VLOOKUP(Ruimtestaat[[#This Row],[Code]],Locaties[#All],2,FALSE)</f>
        <v>SGC Almelo</v>
      </c>
      <c r="C639" s="281" t="str">
        <f>VLOOKUP(Ruimtestaat[[#This Row],[Code]],Locaties[#All],4,FALSE)</f>
        <v>Slot 31</v>
      </c>
      <c r="D639" s="281" t="str">
        <f>VLOOKUP(Ruimtestaat[[#This Row],[Code]],Locaties[#All],5,FALSE)</f>
        <v>7608 ND</v>
      </c>
      <c r="E639" s="281" t="str">
        <f>VLOOKUP(Ruimtestaat[[#This Row],[Code]],Locaties[#All],6,FALSE)</f>
        <v>Almelo</v>
      </c>
      <c r="F639" s="282"/>
      <c r="G639" s="283" t="s">
        <v>444</v>
      </c>
      <c r="H639" s="280" t="s">
        <v>799</v>
      </c>
      <c r="I639" s="244" t="s">
        <v>487</v>
      </c>
      <c r="J639" s="200">
        <v>2</v>
      </c>
      <c r="K639" s="243" t="s">
        <v>109</v>
      </c>
      <c r="L639" s="291" t="s">
        <v>919</v>
      </c>
      <c r="M639" s="213">
        <v>33.590000000000003</v>
      </c>
      <c r="N639" s="213"/>
      <c r="O639" s="243" t="str">
        <f>VLOOKUP(Ruimtestaat[[#This Row],[Ruimte code]],Ruimtegroepen[#All],4,FALSE)</f>
        <v>B  (Bureauruimte)</v>
      </c>
      <c r="P639" s="214"/>
      <c r="Q639" s="215">
        <v>40</v>
      </c>
      <c r="R639" s="215" t="s">
        <v>17</v>
      </c>
      <c r="S639" s="215">
        <f>IF(R639&gt;0,IF(RIGHT(Ruimtestaat[[#This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39" s="215">
        <f>IF(S639&gt;0,VLOOKUP($J639,Ruimtegroepen[],3,FALSE)*VLOOKUP($K639,Vloersoorten[],3,FALSE)*VLOOKUP($R639,Frequenties[],3,FALSE)*VLOOKUP($A639,Locaties[],3,FALSE),0)</f>
        <v>0</v>
      </c>
      <c r="U639" s="215">
        <f>Ruimtestaat[[#This Row],[Uitvoeringen werkdagen]]*Ruimtestaat[[#This Row],[Oppervlak (netto)]]</f>
        <v>2687.2000000000003</v>
      </c>
      <c r="V639" s="259">
        <f>IF(T639&gt;0,Ruimtestaat[[#This Row],[Prest. (m2 /jaar) werkdagen]]/Ruimtestaat[[#This Row],[Norm (m2/uur) werkdagen]],0)</f>
        <v>0</v>
      </c>
      <c r="W639" s="260">
        <f>Ruimtestaat[[#This Row],[uren / jaar werkdagen]]*Tariefsopbouw!$D$38</f>
        <v>0</v>
      </c>
      <c r="X639" s="33"/>
      <c r="Y639" s="33">
        <f>IF(Ruimtestaat[[#This Row],[Frequentie weekend]]&gt;0,VALUE(LEFT(X639,1))*Q639,0)</f>
        <v>0</v>
      </c>
      <c r="Z639" s="33">
        <f>IF($Y639&gt;0,VLOOKUP($J639,Ruimtegroepen[],3,FALSE)*VLOOKUP($K639,Vloersoorten[],3,FALSE)*VLOOKUP($X639,Frequenties[],3,FALSE)*VLOOKUP(#REF!,Locaties[],3,FALSE),0)</f>
        <v>0</v>
      </c>
      <c r="AA639" s="33"/>
      <c r="AB639" s="33"/>
      <c r="AC639" s="33">
        <f>Ruimtestaat[[#This Row],[uren / jaar weekend]]*Tariefsopbouw!$D$40</f>
        <v>0</v>
      </c>
      <c r="AD639" s="88">
        <f>Ruimtestaat[[#This Row],[Prest. (m2 /jaar) weekend]]+Ruimtestaat[[#This Row],[Prest. (m2 /jaar) werkdagen]]</f>
        <v>2687.2000000000003</v>
      </c>
      <c r="AE639" s="88">
        <f>Ruimtestaat[[#This Row],[uren / jaar weekend]]+Ruimtestaat[[#This Row],[uren / jaar werkdagen]]</f>
        <v>0</v>
      </c>
      <c r="AF639" s="89">
        <f>Ruimtestaat[[#This Row],[kosten / jaar weekend]]+Ruimtestaat[[#This Row],[kosten / jaar werkdagen]]</f>
        <v>0</v>
      </c>
    </row>
    <row r="640" spans="1:32" ht="15" customHeight="1">
      <c r="A640" s="280">
        <v>5</v>
      </c>
      <c r="B640" s="21" t="str">
        <f>VLOOKUP(Ruimtestaat[[#This Row],[Code]],Locaties[#All],2,FALSE)</f>
        <v>SGC Almelo</v>
      </c>
      <c r="C640" s="281" t="str">
        <f>VLOOKUP(Ruimtestaat[[#This Row],[Code]],Locaties[#All],4,FALSE)</f>
        <v>Slot 31</v>
      </c>
      <c r="D640" s="281" t="str">
        <f>VLOOKUP(Ruimtestaat[[#This Row],[Code]],Locaties[#All],5,FALSE)</f>
        <v>7608 ND</v>
      </c>
      <c r="E640" s="281" t="str">
        <f>VLOOKUP(Ruimtestaat[[#This Row],[Code]],Locaties[#All],6,FALSE)</f>
        <v>Almelo</v>
      </c>
      <c r="F640" s="282"/>
      <c r="G640" s="283" t="s">
        <v>444</v>
      </c>
      <c r="H640" s="280" t="s">
        <v>800</v>
      </c>
      <c r="I640" s="282" t="s">
        <v>915</v>
      </c>
      <c r="J640" s="200">
        <v>2</v>
      </c>
      <c r="K640" s="243" t="s">
        <v>109</v>
      </c>
      <c r="L640" s="291" t="s">
        <v>1046</v>
      </c>
      <c r="M640" s="213">
        <v>9.2100000000000009</v>
      </c>
      <c r="N640" s="202"/>
      <c r="O640" s="243" t="str">
        <f>VLOOKUP(Ruimtestaat[[#This Row],[Ruimte code]],Ruimtegroepen[#All],4,FALSE)</f>
        <v>B  (Bureauruimte)</v>
      </c>
      <c r="P640" s="214"/>
      <c r="Q640" s="215">
        <v>40</v>
      </c>
      <c r="R640" s="215" t="s">
        <v>17</v>
      </c>
      <c r="S640" s="215">
        <f>IF(R640&gt;0,IF(RIGHT(Ruimtestaat[[#This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40" s="215">
        <f>IF(S640&gt;0,VLOOKUP($J640,Ruimtegroepen[],3,FALSE)*VLOOKUP($K640,Vloersoorten[],3,FALSE)*VLOOKUP($R640,Frequenties[],3,FALSE)*VLOOKUP($A640,Locaties[],3,FALSE),0)</f>
        <v>0</v>
      </c>
      <c r="U640" s="215">
        <f>Ruimtestaat[[#This Row],[Uitvoeringen werkdagen]]*Ruimtestaat[[#This Row],[Oppervlak (netto)]]</f>
        <v>736.80000000000007</v>
      </c>
      <c r="V640" s="259">
        <f>IF(T640&gt;0,Ruimtestaat[[#This Row],[Prest. (m2 /jaar) werkdagen]]/Ruimtestaat[[#This Row],[Norm (m2/uur) werkdagen]],0)</f>
        <v>0</v>
      </c>
      <c r="W640" s="260">
        <f>Ruimtestaat[[#This Row],[uren / jaar werkdagen]]*Tariefsopbouw!$D$38</f>
        <v>0</v>
      </c>
      <c r="X640" s="33"/>
      <c r="Y640" s="33">
        <f>IF(Ruimtestaat[[#This Row],[Frequentie weekend]]&gt;0,VALUE(LEFT(X640,1))*Q640,0)</f>
        <v>0</v>
      </c>
      <c r="Z640" s="33">
        <f>IF($Y640&gt;0,VLOOKUP($J640,Ruimtegroepen[],3,FALSE)*VLOOKUP($K640,Vloersoorten[],3,FALSE)*VLOOKUP($X640,Frequenties[],3,FALSE)*VLOOKUP(#REF!,Locaties[],3,FALSE),0)</f>
        <v>0</v>
      </c>
      <c r="AA640" s="33"/>
      <c r="AB640" s="33"/>
      <c r="AC640" s="33">
        <f>Ruimtestaat[[#This Row],[uren / jaar weekend]]*Tariefsopbouw!$D$40</f>
        <v>0</v>
      </c>
      <c r="AD640" s="88">
        <f>Ruimtestaat[[#This Row],[Prest. (m2 /jaar) weekend]]+Ruimtestaat[[#This Row],[Prest. (m2 /jaar) werkdagen]]</f>
        <v>736.80000000000007</v>
      </c>
      <c r="AE640" s="88">
        <f>Ruimtestaat[[#This Row],[uren / jaar weekend]]+Ruimtestaat[[#This Row],[uren / jaar werkdagen]]</f>
        <v>0</v>
      </c>
      <c r="AF640" s="89">
        <f>Ruimtestaat[[#This Row],[kosten / jaar weekend]]+Ruimtestaat[[#This Row],[kosten / jaar werkdagen]]</f>
        <v>0</v>
      </c>
    </row>
    <row r="641" spans="1:32" ht="15" customHeight="1">
      <c r="A641" s="280">
        <v>5</v>
      </c>
      <c r="B641" s="21" t="str">
        <f>VLOOKUP(Ruimtestaat[[#This Row],[Code]],Locaties[#All],2,FALSE)</f>
        <v>SGC Almelo</v>
      </c>
      <c r="C641" s="281" t="str">
        <f>VLOOKUP(Ruimtestaat[[#This Row],[Code]],Locaties[#All],4,FALSE)</f>
        <v>Slot 31</v>
      </c>
      <c r="D641" s="281" t="str">
        <f>VLOOKUP(Ruimtestaat[[#This Row],[Code]],Locaties[#All],5,FALSE)</f>
        <v>7608 ND</v>
      </c>
      <c r="E641" s="281" t="str">
        <f>VLOOKUP(Ruimtestaat[[#This Row],[Code]],Locaties[#All],6,FALSE)</f>
        <v>Almelo</v>
      </c>
      <c r="F641" s="282"/>
      <c r="G641" s="283" t="s">
        <v>444</v>
      </c>
      <c r="H641" s="280" t="s">
        <v>482</v>
      </c>
      <c r="I641" s="282" t="s">
        <v>396</v>
      </c>
      <c r="J641" s="200">
        <v>16</v>
      </c>
      <c r="K641" s="281" t="s">
        <v>110</v>
      </c>
      <c r="L641" s="284" t="s">
        <v>132</v>
      </c>
      <c r="M641" s="213">
        <v>84.76</v>
      </c>
      <c r="N641" s="213"/>
      <c r="O641" s="243" t="str">
        <f>VLOOKUP(Ruimtestaat[[#This Row],[Ruimte code]],Ruimtegroepen[#All],4,FALSE)</f>
        <v>L  (Lesruimte)</v>
      </c>
      <c r="P641" s="214"/>
      <c r="Q641" s="215">
        <v>40</v>
      </c>
      <c r="R641" s="215" t="s">
        <v>2</v>
      </c>
      <c r="S641" s="215">
        <f>IF(R641&gt;0,IF(RIGHT(Ruimtestaat[[#This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1" s="215">
        <f>IF(S641&gt;0,VLOOKUP($J641,Ruimtegroepen[],3,FALSE)*VLOOKUP($K641,Vloersoorten[],3,FALSE)*VLOOKUP($R641,Frequenties[],3,FALSE)*VLOOKUP($A641,Locaties[],3,FALSE),0)</f>
        <v>0</v>
      </c>
      <c r="U641" s="215">
        <f>Ruimtestaat[[#This Row],[Uitvoeringen werkdagen]]*Ruimtestaat[[#This Row],[Oppervlak (netto)]]</f>
        <v>16952</v>
      </c>
      <c r="V641" s="259">
        <f>IF(T641&gt;0,Ruimtestaat[[#This Row],[Prest. (m2 /jaar) werkdagen]]/Ruimtestaat[[#This Row],[Norm (m2/uur) werkdagen]],0)</f>
        <v>0</v>
      </c>
      <c r="W641" s="260">
        <f>Ruimtestaat[[#This Row],[uren / jaar werkdagen]]*Tariefsopbouw!$D$38</f>
        <v>0</v>
      </c>
      <c r="X641" s="33"/>
      <c r="Y641" s="33">
        <f>IF(Ruimtestaat[[#This Row],[Frequentie weekend]]&gt;0,VALUE(LEFT(X641,1))*Q641,0)</f>
        <v>0</v>
      </c>
      <c r="Z641" s="33">
        <f>IF($Y641&gt;0,VLOOKUP($J641,Ruimtegroepen[],3,FALSE)*VLOOKUP($K641,Vloersoorten[],3,FALSE)*VLOOKUP($X641,Frequenties[],3,FALSE)*VLOOKUP(#REF!,Locaties[],3,FALSE),0)</f>
        <v>0</v>
      </c>
      <c r="AA641" s="33"/>
      <c r="AB641" s="33"/>
      <c r="AC641" s="33">
        <f>Ruimtestaat[[#This Row],[uren / jaar weekend]]*Tariefsopbouw!$D$40</f>
        <v>0</v>
      </c>
      <c r="AD641" s="88">
        <f>Ruimtestaat[[#This Row],[Prest. (m2 /jaar) weekend]]+Ruimtestaat[[#This Row],[Prest. (m2 /jaar) werkdagen]]</f>
        <v>16952</v>
      </c>
      <c r="AE641" s="88">
        <f>Ruimtestaat[[#This Row],[uren / jaar weekend]]+Ruimtestaat[[#This Row],[uren / jaar werkdagen]]</f>
        <v>0</v>
      </c>
      <c r="AF641" s="89">
        <f>Ruimtestaat[[#This Row],[kosten / jaar weekend]]+Ruimtestaat[[#This Row],[kosten / jaar werkdagen]]</f>
        <v>0</v>
      </c>
    </row>
    <row r="642" spans="1:32" ht="15" customHeight="1">
      <c r="A642" s="280">
        <v>5</v>
      </c>
      <c r="B642" s="21" t="str">
        <f>VLOOKUP(Ruimtestaat[[#This Row],[Code]],Locaties[#All],2,FALSE)</f>
        <v>SGC Almelo</v>
      </c>
      <c r="C642" s="281" t="str">
        <f>VLOOKUP(Ruimtestaat[[#This Row],[Code]],Locaties[#All],4,FALSE)</f>
        <v>Slot 31</v>
      </c>
      <c r="D642" s="281" t="str">
        <f>VLOOKUP(Ruimtestaat[[#This Row],[Code]],Locaties[#All],5,FALSE)</f>
        <v>7608 ND</v>
      </c>
      <c r="E642" s="281" t="str">
        <f>VLOOKUP(Ruimtestaat[[#This Row],[Code]],Locaties[#All],6,FALSE)</f>
        <v>Almelo</v>
      </c>
      <c r="F642" s="282"/>
      <c r="G642" s="283" t="s">
        <v>444</v>
      </c>
      <c r="H642" s="280" t="s">
        <v>801</v>
      </c>
      <c r="I642" s="282" t="s">
        <v>552</v>
      </c>
      <c r="J642" s="200">
        <v>21</v>
      </c>
      <c r="K642" s="243"/>
      <c r="L642" s="291"/>
      <c r="M642" s="213"/>
      <c r="N642" s="213">
        <v>0.36</v>
      </c>
      <c r="O642" s="243" t="str">
        <f>VLOOKUP(Ruimtestaat[[#This Row],[Ruimte code]],Ruimtegroepen[#All],4,FALSE)</f>
        <v>Niet in onderhoud</v>
      </c>
      <c r="P642" s="214"/>
      <c r="Q642" s="215"/>
      <c r="R642" s="215"/>
      <c r="S642" s="215">
        <f>IF(R642&gt;0,IF(RIGHT(Ruimtestaat[[#This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42" s="215">
        <f>IF(S642&gt;0,VLOOKUP($J642,Ruimtegroepen[],3,FALSE)*VLOOKUP($K642,Vloersoorten[],3,FALSE)*VLOOKUP($R642,Frequenties[],3,FALSE)*VLOOKUP($A642,Locaties[],3,FALSE),0)</f>
        <v>0</v>
      </c>
      <c r="U642" s="215">
        <f>Ruimtestaat[[#This Row],[Uitvoeringen werkdagen]]*Ruimtestaat[[#This Row],[Oppervlak (netto)]]</f>
        <v>0</v>
      </c>
      <c r="V642" s="259">
        <f>IF(T642&gt;0,Ruimtestaat[[#This Row],[Prest. (m2 /jaar) werkdagen]]/Ruimtestaat[[#This Row],[Norm (m2/uur) werkdagen]],0)</f>
        <v>0</v>
      </c>
      <c r="W642" s="260">
        <f>Ruimtestaat[[#This Row],[uren / jaar werkdagen]]*Tariefsopbouw!$D$38</f>
        <v>0</v>
      </c>
      <c r="X642" s="33"/>
      <c r="Y642" s="33">
        <f>IF(Ruimtestaat[[#This Row],[Frequentie weekend]]&gt;0,VALUE(LEFT(X642,1))*Q642,0)</f>
        <v>0</v>
      </c>
      <c r="Z642" s="33">
        <f>IF($Y642&gt;0,VLOOKUP($J642,Ruimtegroepen[],3,FALSE)*VLOOKUP($K642,Vloersoorten[],3,FALSE)*VLOOKUP($X642,Frequenties[],3,FALSE)*VLOOKUP(#REF!,Locaties[],3,FALSE),0)</f>
        <v>0</v>
      </c>
      <c r="AA642" s="33"/>
      <c r="AB642" s="33"/>
      <c r="AC642" s="33">
        <f>Ruimtestaat[[#This Row],[uren / jaar weekend]]*Tariefsopbouw!$D$40</f>
        <v>0</v>
      </c>
      <c r="AD642" s="88">
        <f>Ruimtestaat[[#This Row],[Prest. (m2 /jaar) weekend]]+Ruimtestaat[[#This Row],[Prest. (m2 /jaar) werkdagen]]</f>
        <v>0</v>
      </c>
      <c r="AE642" s="88">
        <f>Ruimtestaat[[#This Row],[uren / jaar weekend]]+Ruimtestaat[[#This Row],[uren / jaar werkdagen]]</f>
        <v>0</v>
      </c>
      <c r="AF642" s="89">
        <f>Ruimtestaat[[#This Row],[kosten / jaar weekend]]+Ruimtestaat[[#This Row],[kosten / jaar werkdagen]]</f>
        <v>0</v>
      </c>
    </row>
    <row r="643" spans="1:32" ht="15" customHeight="1">
      <c r="A643" s="280">
        <v>5</v>
      </c>
      <c r="B643" s="21" t="str">
        <f>VLOOKUP(Ruimtestaat[[#This Row],[Code]],Locaties[#All],2,FALSE)</f>
        <v>SGC Almelo</v>
      </c>
      <c r="C643" s="281" t="str">
        <f>VLOOKUP(Ruimtestaat[[#This Row],[Code]],Locaties[#All],4,FALSE)</f>
        <v>Slot 31</v>
      </c>
      <c r="D643" s="281" t="str">
        <f>VLOOKUP(Ruimtestaat[[#This Row],[Code]],Locaties[#All],5,FALSE)</f>
        <v>7608 ND</v>
      </c>
      <c r="E643" s="281" t="str">
        <f>VLOOKUP(Ruimtestaat[[#This Row],[Code]],Locaties[#All],6,FALSE)</f>
        <v>Almelo</v>
      </c>
      <c r="F643" s="282"/>
      <c r="G643" s="283" t="s">
        <v>444</v>
      </c>
      <c r="H643" s="280" t="s">
        <v>802</v>
      </c>
      <c r="I643" s="282" t="s">
        <v>459</v>
      </c>
      <c r="J643" s="200">
        <v>21</v>
      </c>
      <c r="K643" s="243" t="s">
        <v>110</v>
      </c>
      <c r="L643" s="291" t="s">
        <v>132</v>
      </c>
      <c r="M643" s="213"/>
      <c r="N643" s="202">
        <v>4.91</v>
      </c>
      <c r="O643" s="243" t="str">
        <f>VLOOKUP(Ruimtestaat[[#This Row],[Ruimte code]],Ruimtegroepen[#All],4,FALSE)</f>
        <v>Niet in onderhoud</v>
      </c>
      <c r="P643" s="214"/>
      <c r="Q643" s="215"/>
      <c r="R643" s="215"/>
      <c r="S643" s="215">
        <f>IF(R643&gt;0,IF(RIGHT(Ruimtestaat[[#This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43" s="215">
        <f>IF(S643&gt;0,VLOOKUP($J643,Ruimtegroepen[],3,FALSE)*VLOOKUP($K643,Vloersoorten[],3,FALSE)*VLOOKUP($R643,Frequenties[],3,FALSE)*VLOOKUP($A643,Locaties[],3,FALSE),0)</f>
        <v>0</v>
      </c>
      <c r="U643" s="215">
        <f>Ruimtestaat[[#This Row],[Uitvoeringen werkdagen]]*Ruimtestaat[[#This Row],[Oppervlak (netto)]]</f>
        <v>0</v>
      </c>
      <c r="V643" s="259">
        <f>IF(T643&gt;0,Ruimtestaat[[#This Row],[Prest. (m2 /jaar) werkdagen]]/Ruimtestaat[[#This Row],[Norm (m2/uur) werkdagen]],0)</f>
        <v>0</v>
      </c>
      <c r="W643" s="260">
        <f>Ruimtestaat[[#This Row],[uren / jaar werkdagen]]*Tariefsopbouw!$D$38</f>
        <v>0</v>
      </c>
      <c r="X643" s="33"/>
      <c r="Y643" s="33">
        <f>IF(Ruimtestaat[[#This Row],[Frequentie weekend]]&gt;0,VALUE(LEFT(X643,1))*Q643,0)</f>
        <v>0</v>
      </c>
      <c r="Z643" s="33">
        <f>IF($Y643&gt;0,VLOOKUP($J643,Ruimtegroepen[],3,FALSE)*VLOOKUP($K643,Vloersoorten[],3,FALSE)*VLOOKUP($X643,Frequenties[],3,FALSE)*VLOOKUP(#REF!,Locaties[],3,FALSE),0)</f>
        <v>0</v>
      </c>
      <c r="AA643" s="33"/>
      <c r="AB643" s="33"/>
      <c r="AC643" s="33">
        <f>Ruimtestaat[[#This Row],[uren / jaar weekend]]*Tariefsopbouw!$D$40</f>
        <v>0</v>
      </c>
      <c r="AD643" s="88">
        <f>Ruimtestaat[[#This Row],[Prest. (m2 /jaar) weekend]]+Ruimtestaat[[#This Row],[Prest. (m2 /jaar) werkdagen]]</f>
        <v>0</v>
      </c>
      <c r="AE643" s="88">
        <f>Ruimtestaat[[#This Row],[uren / jaar weekend]]+Ruimtestaat[[#This Row],[uren / jaar werkdagen]]</f>
        <v>0</v>
      </c>
      <c r="AF643" s="89">
        <f>Ruimtestaat[[#This Row],[kosten / jaar weekend]]+Ruimtestaat[[#This Row],[kosten / jaar werkdagen]]</f>
        <v>0</v>
      </c>
    </row>
    <row r="644" spans="1:32" ht="15" customHeight="1">
      <c r="A644" s="280">
        <v>5</v>
      </c>
      <c r="B644" s="21" t="str">
        <f>VLOOKUP(Ruimtestaat[[#This Row],[Code]],Locaties[#All],2,FALSE)</f>
        <v>SGC Almelo</v>
      </c>
      <c r="C644" s="281" t="str">
        <f>VLOOKUP(Ruimtestaat[[#This Row],[Code]],Locaties[#All],4,FALSE)</f>
        <v>Slot 31</v>
      </c>
      <c r="D644" s="281" t="str">
        <f>VLOOKUP(Ruimtestaat[[#This Row],[Code]],Locaties[#All],5,FALSE)</f>
        <v>7608 ND</v>
      </c>
      <c r="E644" s="281" t="str">
        <f>VLOOKUP(Ruimtestaat[[#This Row],[Code]],Locaties[#All],6,FALSE)</f>
        <v>Almelo</v>
      </c>
      <c r="F644" s="282"/>
      <c r="G644" s="283" t="s">
        <v>444</v>
      </c>
      <c r="H644" s="280" t="s">
        <v>803</v>
      </c>
      <c r="I644" s="282" t="s">
        <v>721</v>
      </c>
      <c r="J644" s="200">
        <v>5</v>
      </c>
      <c r="K644" s="281" t="s">
        <v>111</v>
      </c>
      <c r="L644" s="284" t="s">
        <v>913</v>
      </c>
      <c r="M644" s="213">
        <v>4.91</v>
      </c>
      <c r="N644" s="213"/>
      <c r="O644" s="243" t="str">
        <f>VLOOKUP(Ruimtestaat[[#This Row],[Ruimte code]],Ruimtegroepen[#All],4,FALSE)</f>
        <v>S  (Sanitair)</v>
      </c>
      <c r="P644" s="214"/>
      <c r="Q644" s="215">
        <v>40</v>
      </c>
      <c r="R644" s="215" t="s">
        <v>2</v>
      </c>
      <c r="S644" s="215">
        <f>IF(R644&gt;0,IF(RIGHT(Ruimtestaat[[#This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4" s="215">
        <f>IF(S644&gt;0,VLOOKUP($J644,Ruimtegroepen[],3,FALSE)*VLOOKUP($K644,Vloersoorten[],3,FALSE)*VLOOKUP($R644,Frequenties[],3,FALSE)*VLOOKUP($A644,Locaties[],3,FALSE),0)</f>
        <v>0</v>
      </c>
      <c r="U644" s="215">
        <f>Ruimtestaat[[#This Row],[Uitvoeringen werkdagen]]*Ruimtestaat[[#This Row],[Oppervlak (netto)]]</f>
        <v>982</v>
      </c>
      <c r="V644" s="259">
        <f>IF(T644&gt;0,Ruimtestaat[[#This Row],[Prest. (m2 /jaar) werkdagen]]/Ruimtestaat[[#This Row],[Norm (m2/uur) werkdagen]],0)</f>
        <v>0</v>
      </c>
      <c r="W644" s="260">
        <f>Ruimtestaat[[#This Row],[uren / jaar werkdagen]]*Tariefsopbouw!$D$38</f>
        <v>0</v>
      </c>
      <c r="X644" s="33"/>
      <c r="Y644" s="33">
        <f>IF(Ruimtestaat[[#This Row],[Frequentie weekend]]&gt;0,VALUE(LEFT(X644,1))*Q644,0)</f>
        <v>0</v>
      </c>
      <c r="Z644" s="33">
        <f>IF($Y644&gt;0,VLOOKUP($J644,Ruimtegroepen[],3,FALSE)*VLOOKUP($K644,Vloersoorten[],3,FALSE)*VLOOKUP($X644,Frequenties[],3,FALSE)*VLOOKUP(#REF!,Locaties[],3,FALSE),0)</f>
        <v>0</v>
      </c>
      <c r="AA644" s="33"/>
      <c r="AB644" s="33"/>
      <c r="AC644" s="33">
        <f>Ruimtestaat[[#This Row],[uren / jaar weekend]]*Tariefsopbouw!$D$40</f>
        <v>0</v>
      </c>
      <c r="AD644" s="88">
        <f>Ruimtestaat[[#This Row],[Prest. (m2 /jaar) weekend]]+Ruimtestaat[[#This Row],[Prest. (m2 /jaar) werkdagen]]</f>
        <v>982</v>
      </c>
      <c r="AE644" s="88">
        <f>Ruimtestaat[[#This Row],[uren / jaar weekend]]+Ruimtestaat[[#This Row],[uren / jaar werkdagen]]</f>
        <v>0</v>
      </c>
      <c r="AF644" s="89">
        <f>Ruimtestaat[[#This Row],[kosten / jaar weekend]]+Ruimtestaat[[#This Row],[kosten / jaar werkdagen]]</f>
        <v>0</v>
      </c>
    </row>
    <row r="645" spans="1:32" ht="15" customHeight="1">
      <c r="A645" s="280">
        <v>5</v>
      </c>
      <c r="B645" s="21" t="str">
        <f>VLOOKUP(Ruimtestaat[[#This Row],[Code]],Locaties[#All],2,FALSE)</f>
        <v>SGC Almelo</v>
      </c>
      <c r="C645" s="281" t="str">
        <f>VLOOKUP(Ruimtestaat[[#This Row],[Code]],Locaties[#All],4,FALSE)</f>
        <v>Slot 31</v>
      </c>
      <c r="D645" s="281" t="str">
        <f>VLOOKUP(Ruimtestaat[[#This Row],[Code]],Locaties[#All],5,FALSE)</f>
        <v>7608 ND</v>
      </c>
      <c r="E645" s="281" t="str">
        <f>VLOOKUP(Ruimtestaat[[#This Row],[Code]],Locaties[#All],6,FALSE)</f>
        <v>Almelo</v>
      </c>
      <c r="F645" s="282"/>
      <c r="G645" s="283" t="s">
        <v>444</v>
      </c>
      <c r="H645" s="280" t="s">
        <v>804</v>
      </c>
      <c r="I645" s="282" t="s">
        <v>552</v>
      </c>
      <c r="J645" s="200">
        <v>21</v>
      </c>
      <c r="K645" s="243"/>
      <c r="L645" s="291"/>
      <c r="M645" s="213"/>
      <c r="N645" s="202">
        <v>0.46</v>
      </c>
      <c r="O645" s="243" t="str">
        <f>VLOOKUP(Ruimtestaat[[#This Row],[Ruimte code]],Ruimtegroepen[#All],4,FALSE)</f>
        <v>Niet in onderhoud</v>
      </c>
      <c r="P645" s="214"/>
      <c r="Q645" s="215"/>
      <c r="R645" s="215"/>
      <c r="S645" s="215">
        <f>IF(R645&gt;0,IF(RIGHT(Ruimtestaat[[#This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45" s="215">
        <f>IF(S645&gt;0,VLOOKUP($J645,Ruimtegroepen[],3,FALSE)*VLOOKUP($K645,Vloersoorten[],3,FALSE)*VLOOKUP($R645,Frequenties[],3,FALSE)*VLOOKUP($A645,Locaties[],3,FALSE),0)</f>
        <v>0</v>
      </c>
      <c r="U645" s="215">
        <f>Ruimtestaat[[#This Row],[Uitvoeringen werkdagen]]*Ruimtestaat[[#This Row],[Oppervlak (netto)]]</f>
        <v>0</v>
      </c>
      <c r="V645" s="259">
        <f>IF(T645&gt;0,Ruimtestaat[[#This Row],[Prest. (m2 /jaar) werkdagen]]/Ruimtestaat[[#This Row],[Norm (m2/uur) werkdagen]],0)</f>
        <v>0</v>
      </c>
      <c r="W645" s="260">
        <f>Ruimtestaat[[#This Row],[uren / jaar werkdagen]]*Tariefsopbouw!$D$38</f>
        <v>0</v>
      </c>
      <c r="X645" s="33"/>
      <c r="Y645" s="33">
        <f>IF(Ruimtestaat[[#This Row],[Frequentie weekend]]&gt;0,VALUE(LEFT(X645,1))*Q645,0)</f>
        <v>0</v>
      </c>
      <c r="Z645" s="33">
        <f>IF($Y645&gt;0,VLOOKUP($J645,Ruimtegroepen[],3,FALSE)*VLOOKUP($K645,Vloersoorten[],3,FALSE)*VLOOKUP($X645,Frequenties[],3,FALSE)*VLOOKUP(#REF!,Locaties[],3,FALSE),0)</f>
        <v>0</v>
      </c>
      <c r="AA645" s="33"/>
      <c r="AB645" s="33"/>
      <c r="AC645" s="33">
        <f>Ruimtestaat[[#This Row],[uren / jaar weekend]]*Tariefsopbouw!$D$40</f>
        <v>0</v>
      </c>
      <c r="AD645" s="88">
        <f>Ruimtestaat[[#This Row],[Prest. (m2 /jaar) weekend]]+Ruimtestaat[[#This Row],[Prest. (m2 /jaar) werkdagen]]</f>
        <v>0</v>
      </c>
      <c r="AE645" s="88">
        <f>Ruimtestaat[[#This Row],[uren / jaar weekend]]+Ruimtestaat[[#This Row],[uren / jaar werkdagen]]</f>
        <v>0</v>
      </c>
      <c r="AF645" s="89">
        <f>Ruimtestaat[[#This Row],[kosten / jaar weekend]]+Ruimtestaat[[#This Row],[kosten / jaar werkdagen]]</f>
        <v>0</v>
      </c>
    </row>
    <row r="646" spans="1:32" ht="15" customHeight="1">
      <c r="A646" s="280">
        <v>5</v>
      </c>
      <c r="B646" s="21" t="str">
        <f>VLOOKUP(Ruimtestaat[[#This Row],[Code]],Locaties[#All],2,FALSE)</f>
        <v>SGC Almelo</v>
      </c>
      <c r="C646" s="281" t="str">
        <f>VLOOKUP(Ruimtestaat[[#This Row],[Code]],Locaties[#All],4,FALSE)</f>
        <v>Slot 31</v>
      </c>
      <c r="D646" s="281" t="str">
        <f>VLOOKUP(Ruimtestaat[[#This Row],[Code]],Locaties[#All],5,FALSE)</f>
        <v>7608 ND</v>
      </c>
      <c r="E646" s="281" t="str">
        <f>VLOOKUP(Ruimtestaat[[#This Row],[Code]],Locaties[#All],6,FALSE)</f>
        <v>Almelo</v>
      </c>
      <c r="F646" s="282"/>
      <c r="G646" s="283" t="s">
        <v>444</v>
      </c>
      <c r="H646" s="280" t="s">
        <v>805</v>
      </c>
      <c r="I646" s="244" t="s">
        <v>721</v>
      </c>
      <c r="J646" s="215">
        <v>5</v>
      </c>
      <c r="K646" s="243" t="s">
        <v>111</v>
      </c>
      <c r="L646" s="291" t="s">
        <v>913</v>
      </c>
      <c r="M646" s="213">
        <v>4.9000000000000004</v>
      </c>
      <c r="N646" s="202"/>
      <c r="O646" s="243" t="str">
        <f>VLOOKUP(Ruimtestaat[[#This Row],[Ruimte code]],Ruimtegroepen[#All],4,FALSE)</f>
        <v>S  (Sanitair)</v>
      </c>
      <c r="P646" s="214"/>
      <c r="Q646" s="215">
        <v>40</v>
      </c>
      <c r="R646" s="215" t="s">
        <v>2</v>
      </c>
      <c r="S646" s="215">
        <f>IF(R646&gt;0,IF(RIGHT(Ruimtestaat[[#This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6" s="215">
        <f>IF(S646&gt;0,VLOOKUP($J646,Ruimtegroepen[],3,FALSE)*VLOOKUP($K646,Vloersoorten[],3,FALSE)*VLOOKUP($R646,Frequenties[],3,FALSE)*VLOOKUP($A646,Locaties[],3,FALSE),0)</f>
        <v>0</v>
      </c>
      <c r="U646" s="215">
        <f>Ruimtestaat[[#This Row],[Uitvoeringen werkdagen]]*Ruimtestaat[[#This Row],[Oppervlak (netto)]]</f>
        <v>980.00000000000011</v>
      </c>
      <c r="V646" s="259">
        <f>IF(T646&gt;0,Ruimtestaat[[#This Row],[Prest. (m2 /jaar) werkdagen]]/Ruimtestaat[[#This Row],[Norm (m2/uur) werkdagen]],0)</f>
        <v>0</v>
      </c>
      <c r="W646" s="260">
        <f>Ruimtestaat[[#This Row],[uren / jaar werkdagen]]*Tariefsopbouw!$D$38</f>
        <v>0</v>
      </c>
      <c r="X646" s="33"/>
      <c r="Y646" s="33">
        <f>IF(Ruimtestaat[[#This Row],[Frequentie weekend]]&gt;0,VALUE(LEFT(X646,1))*Q646,0)</f>
        <v>0</v>
      </c>
      <c r="Z646" s="33">
        <f>IF($Y646&gt;0,VLOOKUP($J646,Ruimtegroepen[],3,FALSE)*VLOOKUP($K646,Vloersoorten[],3,FALSE)*VLOOKUP($X646,Frequenties[],3,FALSE)*VLOOKUP(#REF!,Locaties[],3,FALSE),0)</f>
        <v>0</v>
      </c>
      <c r="AA646" s="33"/>
      <c r="AB646" s="33"/>
      <c r="AC646" s="33">
        <f>Ruimtestaat[[#This Row],[uren / jaar weekend]]*Tariefsopbouw!$D$40</f>
        <v>0</v>
      </c>
      <c r="AD646" s="88">
        <f>Ruimtestaat[[#This Row],[Prest. (m2 /jaar) weekend]]+Ruimtestaat[[#This Row],[Prest. (m2 /jaar) werkdagen]]</f>
        <v>980.00000000000011</v>
      </c>
      <c r="AE646" s="88">
        <f>Ruimtestaat[[#This Row],[uren / jaar weekend]]+Ruimtestaat[[#This Row],[uren / jaar werkdagen]]</f>
        <v>0</v>
      </c>
      <c r="AF646" s="89">
        <f>Ruimtestaat[[#This Row],[kosten / jaar weekend]]+Ruimtestaat[[#This Row],[kosten / jaar werkdagen]]</f>
        <v>0</v>
      </c>
    </row>
    <row r="647" spans="1:32" ht="15" customHeight="1">
      <c r="A647" s="280">
        <v>5</v>
      </c>
      <c r="B647" s="21" t="str">
        <f>VLOOKUP(Ruimtestaat[[#This Row],[Code]],Locaties[#All],2,FALSE)</f>
        <v>SGC Almelo</v>
      </c>
      <c r="C647" s="281" t="str">
        <f>VLOOKUP(Ruimtestaat[[#This Row],[Code]],Locaties[#All],4,FALSE)</f>
        <v>Slot 31</v>
      </c>
      <c r="D647" s="281" t="str">
        <f>VLOOKUP(Ruimtestaat[[#This Row],[Code]],Locaties[#All],5,FALSE)</f>
        <v>7608 ND</v>
      </c>
      <c r="E647" s="281" t="str">
        <f>VLOOKUP(Ruimtestaat[[#This Row],[Code]],Locaties[#All],6,FALSE)</f>
        <v>Almelo</v>
      </c>
      <c r="F647" s="282"/>
      <c r="G647" s="283" t="s">
        <v>444</v>
      </c>
      <c r="H647" s="280" t="s">
        <v>483</v>
      </c>
      <c r="I647" s="282" t="s">
        <v>735</v>
      </c>
      <c r="J647" s="200">
        <v>8</v>
      </c>
      <c r="K647" s="243" t="s">
        <v>109</v>
      </c>
      <c r="L647" s="291" t="s">
        <v>1046</v>
      </c>
      <c r="M647" s="213">
        <v>334.14</v>
      </c>
      <c r="N647" s="202"/>
      <c r="O647" s="243" t="str">
        <f>VLOOKUP(Ruimtestaat[[#This Row],[Ruimte code]],Ruimtegroepen[#All],4,FALSE)</f>
        <v>L  (Lesruimte)</v>
      </c>
      <c r="P647" s="214"/>
      <c r="Q647" s="215">
        <v>40</v>
      </c>
      <c r="R647" s="215" t="s">
        <v>2</v>
      </c>
      <c r="S647" s="215">
        <f>IF(R647&gt;0,IF(RIGHT(Ruimtestaat[[#This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7" s="215">
        <f>IF(S647&gt;0,VLOOKUP($J647,Ruimtegroepen[],3,FALSE)*VLOOKUP($K647,Vloersoorten[],3,FALSE)*VLOOKUP($R647,Frequenties[],3,FALSE)*VLOOKUP($A647,Locaties[],3,FALSE),0)</f>
        <v>0</v>
      </c>
      <c r="U647" s="215">
        <f>Ruimtestaat[[#This Row],[Uitvoeringen werkdagen]]*Ruimtestaat[[#This Row],[Oppervlak (netto)]]</f>
        <v>66828</v>
      </c>
      <c r="V647" s="259">
        <f>IF(T647&gt;0,Ruimtestaat[[#This Row],[Prest. (m2 /jaar) werkdagen]]/Ruimtestaat[[#This Row],[Norm (m2/uur) werkdagen]],0)</f>
        <v>0</v>
      </c>
      <c r="W647" s="260">
        <f>Ruimtestaat[[#This Row],[uren / jaar werkdagen]]*Tariefsopbouw!$D$38</f>
        <v>0</v>
      </c>
      <c r="X647" s="33"/>
      <c r="Y647" s="33">
        <f>IF(Ruimtestaat[[#This Row],[Frequentie weekend]]&gt;0,VALUE(LEFT(X647,1))*Q647,0)</f>
        <v>0</v>
      </c>
      <c r="Z647" s="33">
        <f>IF($Y647&gt;0,VLOOKUP($J647,Ruimtegroepen[],3,FALSE)*VLOOKUP($K647,Vloersoorten[],3,FALSE)*VLOOKUP($X647,Frequenties[],3,FALSE)*VLOOKUP(#REF!,Locaties[],3,FALSE),0)</f>
        <v>0</v>
      </c>
      <c r="AA647" s="33"/>
      <c r="AB647" s="33"/>
      <c r="AC647" s="33">
        <f>Ruimtestaat[[#This Row],[uren / jaar weekend]]*Tariefsopbouw!$D$40</f>
        <v>0</v>
      </c>
      <c r="AD647" s="88">
        <f>Ruimtestaat[[#This Row],[Prest. (m2 /jaar) weekend]]+Ruimtestaat[[#This Row],[Prest. (m2 /jaar) werkdagen]]</f>
        <v>66828</v>
      </c>
      <c r="AE647" s="88">
        <f>Ruimtestaat[[#This Row],[uren / jaar weekend]]+Ruimtestaat[[#This Row],[uren / jaar werkdagen]]</f>
        <v>0</v>
      </c>
      <c r="AF647" s="89">
        <f>Ruimtestaat[[#This Row],[kosten / jaar weekend]]+Ruimtestaat[[#This Row],[kosten / jaar werkdagen]]</f>
        <v>0</v>
      </c>
    </row>
    <row r="648" spans="1:32" ht="15" customHeight="1">
      <c r="A648" s="280">
        <v>5</v>
      </c>
      <c r="B648" s="21" t="str">
        <f>VLOOKUP(Ruimtestaat[[#This Row],[Code]],Locaties[#All],2,FALSE)</f>
        <v>SGC Almelo</v>
      </c>
      <c r="C648" s="281" t="str">
        <f>VLOOKUP(Ruimtestaat[[#This Row],[Code]],Locaties[#All],4,FALSE)</f>
        <v>Slot 31</v>
      </c>
      <c r="D648" s="281" t="str">
        <f>VLOOKUP(Ruimtestaat[[#This Row],[Code]],Locaties[#All],5,FALSE)</f>
        <v>7608 ND</v>
      </c>
      <c r="E648" s="281" t="str">
        <f>VLOOKUP(Ruimtestaat[[#This Row],[Code]],Locaties[#All],6,FALSE)</f>
        <v>Almelo</v>
      </c>
      <c r="F648" s="282"/>
      <c r="G648" s="283" t="s">
        <v>444</v>
      </c>
      <c r="H648" s="280" t="s">
        <v>807</v>
      </c>
      <c r="I648" s="282" t="s">
        <v>396</v>
      </c>
      <c r="J648" s="200">
        <v>16</v>
      </c>
      <c r="K648" s="243" t="s">
        <v>109</v>
      </c>
      <c r="L648" s="291" t="s">
        <v>1046</v>
      </c>
      <c r="M648" s="213">
        <v>38.380000000000003</v>
      </c>
      <c r="N648" s="202"/>
      <c r="O648" s="243" t="str">
        <f>VLOOKUP(Ruimtestaat[[#This Row],[Ruimte code]],Ruimtegroepen[#All],4,FALSE)</f>
        <v>L  (Lesruimte)</v>
      </c>
      <c r="P648" s="214"/>
      <c r="Q648" s="215">
        <v>40</v>
      </c>
      <c r="R648" s="215" t="s">
        <v>2</v>
      </c>
      <c r="S648" s="215">
        <f>IF(R648&gt;0,IF(RIGHT(Ruimtestaat[[#This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48" s="215">
        <f>IF(S648&gt;0,VLOOKUP($J648,Ruimtegroepen[],3,FALSE)*VLOOKUP($K648,Vloersoorten[],3,FALSE)*VLOOKUP($R648,Frequenties[],3,FALSE)*VLOOKUP($A648,Locaties[],3,FALSE),0)</f>
        <v>0</v>
      </c>
      <c r="U648" s="215">
        <f>Ruimtestaat[[#This Row],[Uitvoeringen werkdagen]]*Ruimtestaat[[#This Row],[Oppervlak (netto)]]</f>
        <v>7676.0000000000009</v>
      </c>
      <c r="V648" s="259">
        <f>IF(T648&gt;0,Ruimtestaat[[#This Row],[Prest. (m2 /jaar) werkdagen]]/Ruimtestaat[[#This Row],[Norm (m2/uur) werkdagen]],0)</f>
        <v>0</v>
      </c>
      <c r="W648" s="260">
        <f>Ruimtestaat[[#This Row],[uren / jaar werkdagen]]*Tariefsopbouw!$D$38</f>
        <v>0</v>
      </c>
      <c r="X648" s="33"/>
      <c r="Y648" s="33">
        <f>IF(Ruimtestaat[[#This Row],[Frequentie weekend]]&gt;0,VALUE(LEFT(X648,1))*Q648,0)</f>
        <v>0</v>
      </c>
      <c r="Z648" s="33">
        <f>IF($Y648&gt;0,VLOOKUP($J648,Ruimtegroepen[],3,FALSE)*VLOOKUP($K648,Vloersoorten[],3,FALSE)*VLOOKUP($X648,Frequenties[],3,FALSE)*VLOOKUP(#REF!,Locaties[],3,FALSE),0)</f>
        <v>0</v>
      </c>
      <c r="AA648" s="33"/>
      <c r="AB648" s="33"/>
      <c r="AC648" s="33">
        <f>Ruimtestaat[[#This Row],[uren / jaar weekend]]*Tariefsopbouw!$D$40</f>
        <v>0</v>
      </c>
      <c r="AD648" s="88">
        <f>Ruimtestaat[[#This Row],[Prest. (m2 /jaar) weekend]]+Ruimtestaat[[#This Row],[Prest. (m2 /jaar) werkdagen]]</f>
        <v>7676.0000000000009</v>
      </c>
      <c r="AE648" s="88">
        <f>Ruimtestaat[[#This Row],[uren / jaar weekend]]+Ruimtestaat[[#This Row],[uren / jaar werkdagen]]</f>
        <v>0</v>
      </c>
      <c r="AF648" s="89">
        <f>Ruimtestaat[[#This Row],[kosten / jaar weekend]]+Ruimtestaat[[#This Row],[kosten / jaar werkdagen]]</f>
        <v>0</v>
      </c>
    </row>
    <row r="649" spans="1:32" ht="15" customHeight="1">
      <c r="A649" s="280">
        <v>5</v>
      </c>
      <c r="B649" s="21" t="str">
        <f>VLOOKUP(Ruimtestaat[[#This Row],[Code]],Locaties[#All],2,FALSE)</f>
        <v>SGC Almelo</v>
      </c>
      <c r="C649" s="281" t="str">
        <f>VLOOKUP(Ruimtestaat[[#This Row],[Code]],Locaties[#All],4,FALSE)</f>
        <v>Slot 31</v>
      </c>
      <c r="D649" s="281" t="str">
        <f>VLOOKUP(Ruimtestaat[[#This Row],[Code]],Locaties[#All],5,FALSE)</f>
        <v>7608 ND</v>
      </c>
      <c r="E649" s="281" t="str">
        <f>VLOOKUP(Ruimtestaat[[#This Row],[Code]],Locaties[#All],6,FALSE)</f>
        <v>Almelo</v>
      </c>
      <c r="F649" s="282"/>
      <c r="G649" s="283" t="s">
        <v>444</v>
      </c>
      <c r="H649" s="280" t="s">
        <v>808</v>
      </c>
      <c r="I649" s="282" t="s">
        <v>487</v>
      </c>
      <c r="J649" s="200">
        <v>2</v>
      </c>
      <c r="K649" s="243" t="s">
        <v>109</v>
      </c>
      <c r="L649" s="291" t="s">
        <v>1046</v>
      </c>
      <c r="M649" s="213">
        <v>16.809999999999999</v>
      </c>
      <c r="N649" s="213"/>
      <c r="O649" s="243" t="str">
        <f>VLOOKUP(Ruimtestaat[[#This Row],[Ruimte code]],Ruimtegroepen[#All],4,FALSE)</f>
        <v>B  (Bureauruimte)</v>
      </c>
      <c r="P649" s="214"/>
      <c r="Q649" s="215">
        <v>40</v>
      </c>
      <c r="R649" s="215" t="s">
        <v>17</v>
      </c>
      <c r="S649" s="215">
        <f>IF(R649&gt;0,IF(RIGHT(Ruimtestaat[[#This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49" s="215">
        <f>IF(S649&gt;0,VLOOKUP($J649,Ruimtegroepen[],3,FALSE)*VLOOKUP($K649,Vloersoorten[],3,FALSE)*VLOOKUP($R649,Frequenties[],3,FALSE)*VLOOKUP($A649,Locaties[],3,FALSE),0)</f>
        <v>0</v>
      </c>
      <c r="U649" s="215">
        <f>Ruimtestaat[[#This Row],[Uitvoeringen werkdagen]]*Ruimtestaat[[#This Row],[Oppervlak (netto)]]</f>
        <v>1344.8</v>
      </c>
      <c r="V649" s="259">
        <f>IF(T649&gt;0,Ruimtestaat[[#This Row],[Prest. (m2 /jaar) werkdagen]]/Ruimtestaat[[#This Row],[Norm (m2/uur) werkdagen]],0)</f>
        <v>0</v>
      </c>
      <c r="W649" s="260">
        <f>Ruimtestaat[[#This Row],[uren / jaar werkdagen]]*Tariefsopbouw!$D$38</f>
        <v>0</v>
      </c>
      <c r="X649" s="33"/>
      <c r="Y649" s="33">
        <f>IF(Ruimtestaat[[#This Row],[Frequentie weekend]]&gt;0,VALUE(LEFT(X649,1))*Q649,0)</f>
        <v>0</v>
      </c>
      <c r="Z649" s="33">
        <f>IF($Y649&gt;0,VLOOKUP($J649,Ruimtegroepen[],3,FALSE)*VLOOKUP($K649,Vloersoorten[],3,FALSE)*VLOOKUP($X649,Frequenties[],3,FALSE)*VLOOKUP(#REF!,Locaties[],3,FALSE),0)</f>
        <v>0</v>
      </c>
      <c r="AA649" s="33"/>
      <c r="AB649" s="33"/>
      <c r="AC649" s="33">
        <f>Ruimtestaat[[#This Row],[uren / jaar weekend]]*Tariefsopbouw!$D$40</f>
        <v>0</v>
      </c>
      <c r="AD649" s="88">
        <f>Ruimtestaat[[#This Row],[Prest. (m2 /jaar) weekend]]+Ruimtestaat[[#This Row],[Prest. (m2 /jaar) werkdagen]]</f>
        <v>1344.8</v>
      </c>
      <c r="AE649" s="88">
        <f>Ruimtestaat[[#This Row],[uren / jaar weekend]]+Ruimtestaat[[#This Row],[uren / jaar werkdagen]]</f>
        <v>0</v>
      </c>
      <c r="AF649" s="89">
        <f>Ruimtestaat[[#This Row],[kosten / jaar weekend]]+Ruimtestaat[[#This Row],[kosten / jaar werkdagen]]</f>
        <v>0</v>
      </c>
    </row>
    <row r="650" spans="1:32" ht="15" customHeight="1">
      <c r="A650" s="280">
        <v>5</v>
      </c>
      <c r="B650" s="21" t="str">
        <f>VLOOKUP(Ruimtestaat[[#This Row],[Code]],Locaties[#All],2,FALSE)</f>
        <v>SGC Almelo</v>
      </c>
      <c r="C650" s="281" t="str">
        <f>VLOOKUP(Ruimtestaat[[#This Row],[Code]],Locaties[#All],4,FALSE)</f>
        <v>Slot 31</v>
      </c>
      <c r="D650" s="281" t="str">
        <f>VLOOKUP(Ruimtestaat[[#This Row],[Code]],Locaties[#All],5,FALSE)</f>
        <v>7608 ND</v>
      </c>
      <c r="E650" s="281" t="str">
        <f>VLOOKUP(Ruimtestaat[[#This Row],[Code]],Locaties[#All],6,FALSE)</f>
        <v>Almelo</v>
      </c>
      <c r="F650" s="282"/>
      <c r="G650" s="283" t="s">
        <v>444</v>
      </c>
      <c r="H650" s="280" t="s">
        <v>809</v>
      </c>
      <c r="I650" s="282" t="s">
        <v>702</v>
      </c>
      <c r="J650" s="200">
        <v>21</v>
      </c>
      <c r="K650" s="243" t="s">
        <v>111</v>
      </c>
      <c r="L650" s="291" t="s">
        <v>909</v>
      </c>
      <c r="M650" s="213"/>
      <c r="N650" s="202">
        <v>1.62</v>
      </c>
      <c r="O650" s="243" t="str">
        <f>VLOOKUP(Ruimtestaat[[#This Row],[Ruimte code]],Ruimtegroepen[#All],4,FALSE)</f>
        <v>Niet in onderhoud</v>
      </c>
      <c r="P650" s="214"/>
      <c r="Q650" s="215"/>
      <c r="R650" s="215"/>
      <c r="S650" s="215">
        <f>IF(R650&gt;0,IF(RIGHT(Ruimtestaat[[#This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50" s="215">
        <f>IF(S650&gt;0,VLOOKUP($J650,Ruimtegroepen[],3,FALSE)*VLOOKUP($K650,Vloersoorten[],3,FALSE)*VLOOKUP($R650,Frequenties[],3,FALSE)*VLOOKUP($A650,Locaties[],3,FALSE),0)</f>
        <v>0</v>
      </c>
      <c r="U650" s="215">
        <f>Ruimtestaat[[#This Row],[Uitvoeringen werkdagen]]*Ruimtestaat[[#This Row],[Oppervlak (netto)]]</f>
        <v>0</v>
      </c>
      <c r="V650" s="259">
        <f>IF(T650&gt;0,Ruimtestaat[[#This Row],[Prest. (m2 /jaar) werkdagen]]/Ruimtestaat[[#This Row],[Norm (m2/uur) werkdagen]],0)</f>
        <v>0</v>
      </c>
      <c r="W650" s="260">
        <f>Ruimtestaat[[#This Row],[uren / jaar werkdagen]]*Tariefsopbouw!$D$38</f>
        <v>0</v>
      </c>
      <c r="X650" s="33"/>
      <c r="Y650" s="33">
        <f>IF(Ruimtestaat[[#This Row],[Frequentie weekend]]&gt;0,VALUE(LEFT(X650,1))*Q650,0)</f>
        <v>0</v>
      </c>
      <c r="Z650" s="33">
        <f>IF($Y650&gt;0,VLOOKUP($J650,Ruimtegroepen[],3,FALSE)*VLOOKUP($K650,Vloersoorten[],3,FALSE)*VLOOKUP($X650,Frequenties[],3,FALSE)*VLOOKUP(#REF!,Locaties[],3,FALSE),0)</f>
        <v>0</v>
      </c>
      <c r="AA650" s="33"/>
      <c r="AB650" s="33"/>
      <c r="AC650" s="33">
        <f>Ruimtestaat[[#This Row],[uren / jaar weekend]]*Tariefsopbouw!$D$40</f>
        <v>0</v>
      </c>
      <c r="AD650" s="88">
        <f>Ruimtestaat[[#This Row],[Prest. (m2 /jaar) weekend]]+Ruimtestaat[[#This Row],[Prest. (m2 /jaar) werkdagen]]</f>
        <v>0</v>
      </c>
      <c r="AE650" s="88">
        <f>Ruimtestaat[[#This Row],[uren / jaar weekend]]+Ruimtestaat[[#This Row],[uren / jaar werkdagen]]</f>
        <v>0</v>
      </c>
      <c r="AF650" s="89">
        <f>Ruimtestaat[[#This Row],[kosten / jaar weekend]]+Ruimtestaat[[#This Row],[kosten / jaar werkdagen]]</f>
        <v>0</v>
      </c>
    </row>
    <row r="651" spans="1:32" ht="15" customHeight="1">
      <c r="A651" s="280">
        <v>5</v>
      </c>
      <c r="B651" s="21" t="str">
        <f>VLOOKUP(Ruimtestaat[[#This Row],[Code]],Locaties[#All],2,FALSE)</f>
        <v>SGC Almelo</v>
      </c>
      <c r="C651" s="281" t="str">
        <f>VLOOKUP(Ruimtestaat[[#This Row],[Code]],Locaties[#All],4,FALSE)</f>
        <v>Slot 31</v>
      </c>
      <c r="D651" s="281" t="str">
        <f>VLOOKUP(Ruimtestaat[[#This Row],[Code]],Locaties[#All],5,FALSE)</f>
        <v>7608 ND</v>
      </c>
      <c r="E651" s="281" t="str">
        <f>VLOOKUP(Ruimtestaat[[#This Row],[Code]],Locaties[#All],6,FALSE)</f>
        <v>Almelo</v>
      </c>
      <c r="F651" s="282"/>
      <c r="G651" s="283" t="s">
        <v>444</v>
      </c>
      <c r="H651" s="280" t="s">
        <v>484</v>
      </c>
      <c r="I651" s="244" t="s">
        <v>396</v>
      </c>
      <c r="J651" s="200">
        <v>16</v>
      </c>
      <c r="K651" s="243" t="s">
        <v>109</v>
      </c>
      <c r="L651" s="291" t="s">
        <v>1046</v>
      </c>
      <c r="M651" s="213">
        <v>82.11</v>
      </c>
      <c r="N651" s="202"/>
      <c r="O651" s="243" t="str">
        <f>VLOOKUP(Ruimtestaat[[#This Row],[Ruimte code]],Ruimtegroepen[#All],4,FALSE)</f>
        <v>L  (Lesruimte)</v>
      </c>
      <c r="P651" s="214"/>
      <c r="Q651" s="215">
        <v>40</v>
      </c>
      <c r="R651" s="215" t="s">
        <v>2</v>
      </c>
      <c r="S651" s="215">
        <f>IF(R651&gt;0,IF(RIGHT(Ruimtestaat[[#This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1" s="215">
        <f>IF(S651&gt;0,VLOOKUP($J651,Ruimtegroepen[],3,FALSE)*VLOOKUP($K651,Vloersoorten[],3,FALSE)*VLOOKUP($R651,Frequenties[],3,FALSE)*VLOOKUP($A651,Locaties[],3,FALSE),0)</f>
        <v>0</v>
      </c>
      <c r="U651" s="215">
        <f>Ruimtestaat[[#This Row],[Uitvoeringen werkdagen]]*Ruimtestaat[[#This Row],[Oppervlak (netto)]]</f>
        <v>16422</v>
      </c>
      <c r="V651" s="259">
        <f>IF(T651&gt;0,Ruimtestaat[[#This Row],[Prest. (m2 /jaar) werkdagen]]/Ruimtestaat[[#This Row],[Norm (m2/uur) werkdagen]],0)</f>
        <v>0</v>
      </c>
      <c r="W651" s="260">
        <f>Ruimtestaat[[#This Row],[uren / jaar werkdagen]]*Tariefsopbouw!$D$38</f>
        <v>0</v>
      </c>
      <c r="X651" s="33"/>
      <c r="Y651" s="33">
        <f>IF(Ruimtestaat[[#This Row],[Frequentie weekend]]&gt;0,VALUE(LEFT(X651,1))*Q651,0)</f>
        <v>0</v>
      </c>
      <c r="Z651" s="33">
        <f>IF($Y651&gt;0,VLOOKUP($J651,Ruimtegroepen[],3,FALSE)*VLOOKUP($K651,Vloersoorten[],3,FALSE)*VLOOKUP($X651,Frequenties[],3,FALSE)*VLOOKUP(#REF!,Locaties[],3,FALSE),0)</f>
        <v>0</v>
      </c>
      <c r="AA651" s="33"/>
      <c r="AB651" s="33"/>
      <c r="AC651" s="33">
        <f>Ruimtestaat[[#This Row],[uren / jaar weekend]]*Tariefsopbouw!$D$40</f>
        <v>0</v>
      </c>
      <c r="AD651" s="88">
        <f>Ruimtestaat[[#This Row],[Prest. (m2 /jaar) weekend]]+Ruimtestaat[[#This Row],[Prest. (m2 /jaar) werkdagen]]</f>
        <v>16422</v>
      </c>
      <c r="AE651" s="88">
        <f>Ruimtestaat[[#This Row],[uren / jaar weekend]]+Ruimtestaat[[#This Row],[uren / jaar werkdagen]]</f>
        <v>0</v>
      </c>
      <c r="AF651" s="89">
        <f>Ruimtestaat[[#This Row],[kosten / jaar weekend]]+Ruimtestaat[[#This Row],[kosten / jaar werkdagen]]</f>
        <v>0</v>
      </c>
    </row>
    <row r="652" spans="1:32" ht="15" customHeight="1">
      <c r="A652" s="280">
        <v>5</v>
      </c>
      <c r="B652" s="21" t="str">
        <f>VLOOKUP(Ruimtestaat[[#This Row],[Code]],Locaties[#All],2,FALSE)</f>
        <v>SGC Almelo</v>
      </c>
      <c r="C652" s="281" t="str">
        <f>VLOOKUP(Ruimtestaat[[#This Row],[Code]],Locaties[#All],4,FALSE)</f>
        <v>Slot 31</v>
      </c>
      <c r="D652" s="281" t="str">
        <f>VLOOKUP(Ruimtestaat[[#This Row],[Code]],Locaties[#All],5,FALSE)</f>
        <v>7608 ND</v>
      </c>
      <c r="E652" s="281" t="str">
        <f>VLOOKUP(Ruimtestaat[[#This Row],[Code]],Locaties[#All],6,FALSE)</f>
        <v>Almelo</v>
      </c>
      <c r="F652" s="282"/>
      <c r="G652" s="283" t="s">
        <v>444</v>
      </c>
      <c r="H652" s="280" t="s">
        <v>486</v>
      </c>
      <c r="I652" s="282" t="s">
        <v>487</v>
      </c>
      <c r="J652" s="200">
        <v>2</v>
      </c>
      <c r="K652" s="243" t="s">
        <v>109</v>
      </c>
      <c r="L652" s="291" t="s">
        <v>1046</v>
      </c>
      <c r="M652" s="213">
        <v>42.54</v>
      </c>
      <c r="N652" s="202"/>
      <c r="O652" s="243" t="str">
        <f>VLOOKUP(Ruimtestaat[[#This Row],[Ruimte code]],Ruimtegroepen[#All],4,FALSE)</f>
        <v>B  (Bureauruimte)</v>
      </c>
      <c r="P652" s="214"/>
      <c r="Q652" s="215">
        <v>40</v>
      </c>
      <c r="R652" s="215" t="s">
        <v>17</v>
      </c>
      <c r="S652" s="215">
        <f>IF(R652&gt;0,IF(RIGHT(Ruimtestaat[[#This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52" s="215">
        <f>IF(S652&gt;0,VLOOKUP($J652,Ruimtegroepen[],3,FALSE)*VLOOKUP($K652,Vloersoorten[],3,FALSE)*VLOOKUP($R652,Frequenties[],3,FALSE)*VLOOKUP($A652,Locaties[],3,FALSE),0)</f>
        <v>0</v>
      </c>
      <c r="U652" s="215">
        <f>Ruimtestaat[[#This Row],[Uitvoeringen werkdagen]]*Ruimtestaat[[#This Row],[Oppervlak (netto)]]</f>
        <v>3403.2</v>
      </c>
      <c r="V652" s="259">
        <f>IF(T652&gt;0,Ruimtestaat[[#This Row],[Prest. (m2 /jaar) werkdagen]]/Ruimtestaat[[#This Row],[Norm (m2/uur) werkdagen]],0)</f>
        <v>0</v>
      </c>
      <c r="W652" s="260">
        <f>Ruimtestaat[[#This Row],[uren / jaar werkdagen]]*Tariefsopbouw!$D$38</f>
        <v>0</v>
      </c>
      <c r="X652" s="33"/>
      <c r="Y652" s="33">
        <f>IF(Ruimtestaat[[#This Row],[Frequentie weekend]]&gt;0,VALUE(LEFT(X652,1))*Q652,0)</f>
        <v>0</v>
      </c>
      <c r="Z652" s="33">
        <f>IF($Y652&gt;0,VLOOKUP($J652,Ruimtegroepen[],3,FALSE)*VLOOKUP($K652,Vloersoorten[],3,FALSE)*VLOOKUP($X652,Frequenties[],3,FALSE)*VLOOKUP(#REF!,Locaties[],3,FALSE),0)</f>
        <v>0</v>
      </c>
      <c r="AA652" s="33"/>
      <c r="AB652" s="33"/>
      <c r="AC652" s="33">
        <f>Ruimtestaat[[#This Row],[uren / jaar weekend]]*Tariefsopbouw!$D$40</f>
        <v>0</v>
      </c>
      <c r="AD652" s="88">
        <f>Ruimtestaat[[#This Row],[Prest. (m2 /jaar) weekend]]+Ruimtestaat[[#This Row],[Prest. (m2 /jaar) werkdagen]]</f>
        <v>3403.2</v>
      </c>
      <c r="AE652" s="88">
        <f>Ruimtestaat[[#This Row],[uren / jaar weekend]]+Ruimtestaat[[#This Row],[uren / jaar werkdagen]]</f>
        <v>0</v>
      </c>
      <c r="AF652" s="89">
        <f>Ruimtestaat[[#This Row],[kosten / jaar weekend]]+Ruimtestaat[[#This Row],[kosten / jaar werkdagen]]</f>
        <v>0</v>
      </c>
    </row>
    <row r="653" spans="1:32" ht="15" customHeight="1">
      <c r="A653" s="280">
        <v>5</v>
      </c>
      <c r="B653" s="21" t="str">
        <f>VLOOKUP(Ruimtestaat[[#This Row],[Code]],Locaties[#All],2,FALSE)</f>
        <v>SGC Almelo</v>
      </c>
      <c r="C653" s="281" t="str">
        <f>VLOOKUP(Ruimtestaat[[#This Row],[Code]],Locaties[#All],4,FALSE)</f>
        <v>Slot 31</v>
      </c>
      <c r="D653" s="281" t="str">
        <f>VLOOKUP(Ruimtestaat[[#This Row],[Code]],Locaties[#All],5,FALSE)</f>
        <v>7608 ND</v>
      </c>
      <c r="E653" s="281" t="str">
        <f>VLOOKUP(Ruimtestaat[[#This Row],[Code]],Locaties[#All],6,FALSE)</f>
        <v>Almelo</v>
      </c>
      <c r="F653" s="282"/>
      <c r="G653" s="283" t="s">
        <v>444</v>
      </c>
      <c r="H653" s="280" t="s">
        <v>810</v>
      </c>
      <c r="I653" s="282" t="s">
        <v>487</v>
      </c>
      <c r="J653" s="200">
        <v>2</v>
      </c>
      <c r="K653" s="243" t="s">
        <v>109</v>
      </c>
      <c r="L653" s="291" t="s">
        <v>1046</v>
      </c>
      <c r="M653" s="213">
        <v>20.82</v>
      </c>
      <c r="N653" s="202"/>
      <c r="O653" s="243" t="str">
        <f>VLOOKUP(Ruimtestaat[[#This Row],[Ruimte code]],Ruimtegroepen[#All],4,FALSE)</f>
        <v>B  (Bureauruimte)</v>
      </c>
      <c r="P653" s="214"/>
      <c r="Q653" s="215">
        <v>40</v>
      </c>
      <c r="R653" s="215" t="s">
        <v>2</v>
      </c>
      <c r="S653" s="215">
        <f>IF(R653&gt;0,IF(RIGHT(Ruimtestaat[[#This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3" s="215">
        <f>IF(S653&gt;0,VLOOKUP($J653,Ruimtegroepen[],3,FALSE)*VLOOKUP($K653,Vloersoorten[],3,FALSE)*VLOOKUP($R653,Frequenties[],3,FALSE)*VLOOKUP($A653,Locaties[],3,FALSE),0)</f>
        <v>0</v>
      </c>
      <c r="U653" s="215">
        <f>Ruimtestaat[[#This Row],[Uitvoeringen werkdagen]]*Ruimtestaat[[#This Row],[Oppervlak (netto)]]</f>
        <v>4164</v>
      </c>
      <c r="V653" s="259">
        <f>IF(T653&gt;0,Ruimtestaat[[#This Row],[Prest. (m2 /jaar) werkdagen]]/Ruimtestaat[[#This Row],[Norm (m2/uur) werkdagen]],0)</f>
        <v>0</v>
      </c>
      <c r="W653" s="260">
        <f>Ruimtestaat[[#This Row],[uren / jaar werkdagen]]*Tariefsopbouw!$D$38</f>
        <v>0</v>
      </c>
      <c r="X653" s="33"/>
      <c r="Y653" s="33">
        <f>IF(Ruimtestaat[[#This Row],[Frequentie weekend]]&gt;0,VALUE(LEFT(X653,1))*Q653,0)</f>
        <v>0</v>
      </c>
      <c r="Z653" s="33">
        <f>IF($Y653&gt;0,VLOOKUP($J653,Ruimtegroepen[],3,FALSE)*VLOOKUP($K653,Vloersoorten[],3,FALSE)*VLOOKUP($X653,Frequenties[],3,FALSE)*VLOOKUP(#REF!,Locaties[],3,FALSE),0)</f>
        <v>0</v>
      </c>
      <c r="AA653" s="33"/>
      <c r="AB653" s="33"/>
      <c r="AC653" s="33">
        <f>Ruimtestaat[[#This Row],[uren / jaar weekend]]*Tariefsopbouw!$D$40</f>
        <v>0</v>
      </c>
      <c r="AD653" s="88">
        <f>Ruimtestaat[[#This Row],[Prest. (m2 /jaar) weekend]]+Ruimtestaat[[#This Row],[Prest. (m2 /jaar) werkdagen]]</f>
        <v>4164</v>
      </c>
      <c r="AE653" s="88">
        <f>Ruimtestaat[[#This Row],[uren / jaar weekend]]+Ruimtestaat[[#This Row],[uren / jaar werkdagen]]</f>
        <v>0</v>
      </c>
      <c r="AF653" s="89">
        <f>Ruimtestaat[[#This Row],[kosten / jaar weekend]]+Ruimtestaat[[#This Row],[kosten / jaar werkdagen]]</f>
        <v>0</v>
      </c>
    </row>
    <row r="654" spans="1:32" ht="15" customHeight="1">
      <c r="A654" s="280">
        <v>5</v>
      </c>
      <c r="B654" s="21" t="str">
        <f>VLOOKUP(Ruimtestaat[[#This Row],[Code]],Locaties[#All],2,FALSE)</f>
        <v>SGC Almelo</v>
      </c>
      <c r="C654" s="281" t="str">
        <f>VLOOKUP(Ruimtestaat[[#This Row],[Code]],Locaties[#All],4,FALSE)</f>
        <v>Slot 31</v>
      </c>
      <c r="D654" s="281" t="str">
        <f>VLOOKUP(Ruimtestaat[[#This Row],[Code]],Locaties[#All],5,FALSE)</f>
        <v>7608 ND</v>
      </c>
      <c r="E654" s="281" t="str">
        <f>VLOOKUP(Ruimtestaat[[#This Row],[Code]],Locaties[#All],6,FALSE)</f>
        <v>Almelo</v>
      </c>
      <c r="F654" s="282"/>
      <c r="G654" s="283" t="s">
        <v>444</v>
      </c>
      <c r="H654" s="280" t="s">
        <v>811</v>
      </c>
      <c r="I654" s="282" t="s">
        <v>487</v>
      </c>
      <c r="J654" s="200">
        <v>2</v>
      </c>
      <c r="K654" s="243" t="s">
        <v>109</v>
      </c>
      <c r="L654" s="291" t="s">
        <v>1046</v>
      </c>
      <c r="M654" s="213">
        <v>26.56</v>
      </c>
      <c r="N654" s="202"/>
      <c r="O654" s="243" t="str">
        <f>VLOOKUP(Ruimtestaat[[#This Row],[Ruimte code]],Ruimtegroepen[#All],4,FALSE)</f>
        <v>B  (Bureauruimte)</v>
      </c>
      <c r="P654" s="214"/>
      <c r="Q654" s="215">
        <v>40</v>
      </c>
      <c r="R654" s="215" t="s">
        <v>17</v>
      </c>
      <c r="S654" s="215">
        <f>IF(R654&gt;0,IF(RIGHT(Ruimtestaat[[#This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654" s="215">
        <f>IF(S654&gt;0,VLOOKUP($J654,Ruimtegroepen[],3,FALSE)*VLOOKUP($K654,Vloersoorten[],3,FALSE)*VLOOKUP($R654,Frequenties[],3,FALSE)*VLOOKUP($A654,Locaties[],3,FALSE),0)</f>
        <v>0</v>
      </c>
      <c r="U654" s="215">
        <f>Ruimtestaat[[#This Row],[Uitvoeringen werkdagen]]*Ruimtestaat[[#This Row],[Oppervlak (netto)]]</f>
        <v>2124.7999999999997</v>
      </c>
      <c r="V654" s="259">
        <f>IF(T654&gt;0,Ruimtestaat[[#This Row],[Prest. (m2 /jaar) werkdagen]]/Ruimtestaat[[#This Row],[Norm (m2/uur) werkdagen]],0)</f>
        <v>0</v>
      </c>
      <c r="W654" s="260">
        <f>Ruimtestaat[[#This Row],[uren / jaar werkdagen]]*Tariefsopbouw!$D$38</f>
        <v>0</v>
      </c>
      <c r="X654" s="33"/>
      <c r="Y654" s="33">
        <f>IF(Ruimtestaat[[#This Row],[Frequentie weekend]]&gt;0,VALUE(LEFT(X654,1))*Q654,0)</f>
        <v>0</v>
      </c>
      <c r="Z654" s="33">
        <f>IF($Y654&gt;0,VLOOKUP($J654,Ruimtegroepen[],3,FALSE)*VLOOKUP($K654,Vloersoorten[],3,FALSE)*VLOOKUP($X654,Frequenties[],3,FALSE)*VLOOKUP(#REF!,Locaties[],3,FALSE),0)</f>
        <v>0</v>
      </c>
      <c r="AA654" s="33"/>
      <c r="AB654" s="33"/>
      <c r="AC654" s="33">
        <f>Ruimtestaat[[#This Row],[uren / jaar weekend]]*Tariefsopbouw!$D$40</f>
        <v>0</v>
      </c>
      <c r="AD654" s="88">
        <f>Ruimtestaat[[#This Row],[Prest. (m2 /jaar) weekend]]+Ruimtestaat[[#This Row],[Prest. (m2 /jaar) werkdagen]]</f>
        <v>2124.7999999999997</v>
      </c>
      <c r="AE654" s="88">
        <f>Ruimtestaat[[#This Row],[uren / jaar weekend]]+Ruimtestaat[[#This Row],[uren / jaar werkdagen]]</f>
        <v>0</v>
      </c>
      <c r="AF654" s="89">
        <f>Ruimtestaat[[#This Row],[kosten / jaar weekend]]+Ruimtestaat[[#This Row],[kosten / jaar werkdagen]]</f>
        <v>0</v>
      </c>
    </row>
    <row r="655" spans="1:32" ht="15" customHeight="1">
      <c r="A655" s="280">
        <v>5</v>
      </c>
      <c r="B655" s="21" t="str">
        <f>VLOOKUP(Ruimtestaat[[#This Row],[Code]],Locaties[#All],2,FALSE)</f>
        <v>SGC Almelo</v>
      </c>
      <c r="C655" s="281" t="str">
        <f>VLOOKUP(Ruimtestaat[[#This Row],[Code]],Locaties[#All],4,FALSE)</f>
        <v>Slot 31</v>
      </c>
      <c r="D655" s="281" t="str">
        <f>VLOOKUP(Ruimtestaat[[#This Row],[Code]],Locaties[#All],5,FALSE)</f>
        <v>7608 ND</v>
      </c>
      <c r="E655" s="281" t="str">
        <f>VLOOKUP(Ruimtestaat[[#This Row],[Code]],Locaties[#All],6,FALSE)</f>
        <v>Almelo</v>
      </c>
      <c r="F655" s="282"/>
      <c r="G655" s="283" t="s">
        <v>444</v>
      </c>
      <c r="H655" s="280" t="s">
        <v>488</v>
      </c>
      <c r="I655" s="282" t="s">
        <v>469</v>
      </c>
      <c r="J655" s="200">
        <v>6</v>
      </c>
      <c r="K655" s="243" t="s">
        <v>109</v>
      </c>
      <c r="L655" s="291" t="s">
        <v>1046</v>
      </c>
      <c r="M655" s="213">
        <v>5.09</v>
      </c>
      <c r="N655" s="202"/>
      <c r="O655" s="243" t="str">
        <f>VLOOKUP(Ruimtestaat[[#This Row],[Ruimte code]],Ruimtegroepen[#All],4,FALSE)</f>
        <v>V  (Verkeersruimte)</v>
      </c>
      <c r="P655" s="214"/>
      <c r="Q655" s="215">
        <v>40</v>
      </c>
      <c r="R655" s="215" t="s">
        <v>2</v>
      </c>
      <c r="S655" s="215">
        <f>IF(R655&gt;0,IF(RIGHT(Ruimtestaat[[#This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5" s="215">
        <f>IF(S655&gt;0,VLOOKUP($J655,Ruimtegroepen[],3,FALSE)*VLOOKUP($K655,Vloersoorten[],3,FALSE)*VLOOKUP($R655,Frequenties[],3,FALSE)*VLOOKUP($A655,Locaties[],3,FALSE),0)</f>
        <v>0</v>
      </c>
      <c r="U655" s="215">
        <f>Ruimtestaat[[#This Row],[Uitvoeringen werkdagen]]*Ruimtestaat[[#This Row],[Oppervlak (netto)]]</f>
        <v>1018</v>
      </c>
      <c r="V655" s="259">
        <f>IF(T655&gt;0,Ruimtestaat[[#This Row],[Prest. (m2 /jaar) werkdagen]]/Ruimtestaat[[#This Row],[Norm (m2/uur) werkdagen]],0)</f>
        <v>0</v>
      </c>
      <c r="W655" s="260">
        <f>Ruimtestaat[[#This Row],[uren / jaar werkdagen]]*Tariefsopbouw!$D$38</f>
        <v>0</v>
      </c>
      <c r="X655" s="33"/>
      <c r="Y655" s="33">
        <f>IF(Ruimtestaat[[#This Row],[Frequentie weekend]]&gt;0,VALUE(LEFT(X655,1))*Q655,0)</f>
        <v>0</v>
      </c>
      <c r="Z655" s="33">
        <f>IF($Y655&gt;0,VLOOKUP($J655,Ruimtegroepen[],3,FALSE)*VLOOKUP($K655,Vloersoorten[],3,FALSE)*VLOOKUP($X655,Frequenties[],3,FALSE)*VLOOKUP(#REF!,Locaties[],3,FALSE),0)</f>
        <v>0</v>
      </c>
      <c r="AA655" s="33"/>
      <c r="AB655" s="33"/>
      <c r="AC655" s="33">
        <f>Ruimtestaat[[#This Row],[uren / jaar weekend]]*Tariefsopbouw!$D$40</f>
        <v>0</v>
      </c>
      <c r="AD655" s="88">
        <f>Ruimtestaat[[#This Row],[Prest. (m2 /jaar) weekend]]+Ruimtestaat[[#This Row],[Prest. (m2 /jaar) werkdagen]]</f>
        <v>1018</v>
      </c>
      <c r="AE655" s="88">
        <f>Ruimtestaat[[#This Row],[uren / jaar weekend]]+Ruimtestaat[[#This Row],[uren / jaar werkdagen]]</f>
        <v>0</v>
      </c>
      <c r="AF655" s="89">
        <f>Ruimtestaat[[#This Row],[kosten / jaar weekend]]+Ruimtestaat[[#This Row],[kosten / jaar werkdagen]]</f>
        <v>0</v>
      </c>
    </row>
    <row r="656" spans="1:32" ht="15" customHeight="1">
      <c r="A656" s="280">
        <v>5</v>
      </c>
      <c r="B656" s="21" t="str">
        <f>VLOOKUP(Ruimtestaat[[#This Row],[Code]],Locaties[#All],2,FALSE)</f>
        <v>SGC Almelo</v>
      </c>
      <c r="C656" s="281" t="str">
        <f>VLOOKUP(Ruimtestaat[[#This Row],[Code]],Locaties[#All],4,FALSE)</f>
        <v>Slot 31</v>
      </c>
      <c r="D656" s="281" t="str">
        <f>VLOOKUP(Ruimtestaat[[#This Row],[Code]],Locaties[#All],5,FALSE)</f>
        <v>7608 ND</v>
      </c>
      <c r="E656" s="281" t="str">
        <f>VLOOKUP(Ruimtestaat[[#This Row],[Code]],Locaties[#All],6,FALSE)</f>
        <v>Almelo</v>
      </c>
      <c r="F656" s="282"/>
      <c r="G656" s="283" t="s">
        <v>444</v>
      </c>
      <c r="H656" s="280" t="s">
        <v>812</v>
      </c>
      <c r="I656" s="282" t="s">
        <v>487</v>
      </c>
      <c r="J656" s="200">
        <v>2</v>
      </c>
      <c r="K656" s="243" t="s">
        <v>109</v>
      </c>
      <c r="L656" s="291" t="s">
        <v>1046</v>
      </c>
      <c r="M656" s="213">
        <v>19.07</v>
      </c>
      <c r="N656" s="202"/>
      <c r="O656" s="243" t="str">
        <f>VLOOKUP(Ruimtestaat[[#This Row],[Ruimte code]],Ruimtegroepen[#All],4,FALSE)</f>
        <v>B  (Bureauruimte)</v>
      </c>
      <c r="P656" s="214"/>
      <c r="Q656" s="215">
        <v>40</v>
      </c>
      <c r="R656" s="215" t="s">
        <v>2</v>
      </c>
      <c r="S656" s="215">
        <f>IF(R656&gt;0,IF(RIGHT(Ruimtestaat[[#This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6" s="215">
        <f>IF(S656&gt;0,VLOOKUP($J656,Ruimtegroepen[],3,FALSE)*VLOOKUP($K656,Vloersoorten[],3,FALSE)*VLOOKUP($R656,Frequenties[],3,FALSE)*VLOOKUP($A656,Locaties[],3,FALSE),0)</f>
        <v>0</v>
      </c>
      <c r="U656" s="215">
        <f>Ruimtestaat[[#This Row],[Uitvoeringen werkdagen]]*Ruimtestaat[[#This Row],[Oppervlak (netto)]]</f>
        <v>3814</v>
      </c>
      <c r="V656" s="259">
        <f>IF(T656&gt;0,Ruimtestaat[[#This Row],[Prest. (m2 /jaar) werkdagen]]/Ruimtestaat[[#This Row],[Norm (m2/uur) werkdagen]],0)</f>
        <v>0</v>
      </c>
      <c r="W656" s="260">
        <f>Ruimtestaat[[#This Row],[uren / jaar werkdagen]]*Tariefsopbouw!$D$38</f>
        <v>0</v>
      </c>
      <c r="X656" s="33"/>
      <c r="Y656" s="33">
        <f>IF(Ruimtestaat[[#This Row],[Frequentie weekend]]&gt;0,VALUE(LEFT(X656,1))*Q656,0)</f>
        <v>0</v>
      </c>
      <c r="Z656" s="33">
        <f>IF($Y656&gt;0,VLOOKUP($J656,Ruimtegroepen[],3,FALSE)*VLOOKUP($K656,Vloersoorten[],3,FALSE)*VLOOKUP($X656,Frequenties[],3,FALSE)*VLOOKUP(#REF!,Locaties[],3,FALSE),0)</f>
        <v>0</v>
      </c>
      <c r="AA656" s="33"/>
      <c r="AB656" s="33"/>
      <c r="AC656" s="33">
        <f>Ruimtestaat[[#This Row],[uren / jaar weekend]]*Tariefsopbouw!$D$40</f>
        <v>0</v>
      </c>
      <c r="AD656" s="88">
        <f>Ruimtestaat[[#This Row],[Prest. (m2 /jaar) weekend]]+Ruimtestaat[[#This Row],[Prest. (m2 /jaar) werkdagen]]</f>
        <v>3814</v>
      </c>
      <c r="AE656" s="88">
        <f>Ruimtestaat[[#This Row],[uren / jaar weekend]]+Ruimtestaat[[#This Row],[uren / jaar werkdagen]]</f>
        <v>0</v>
      </c>
      <c r="AF656" s="89">
        <f>Ruimtestaat[[#This Row],[kosten / jaar weekend]]+Ruimtestaat[[#This Row],[kosten / jaar werkdagen]]</f>
        <v>0</v>
      </c>
    </row>
    <row r="657" spans="1:32" ht="15" customHeight="1">
      <c r="A657" s="280">
        <v>5</v>
      </c>
      <c r="B657" s="21" t="str">
        <f>VLOOKUP(Ruimtestaat[[#This Row],[Code]],Locaties[#All],2,FALSE)</f>
        <v>SGC Almelo</v>
      </c>
      <c r="C657" s="281" t="str">
        <f>VLOOKUP(Ruimtestaat[[#This Row],[Code]],Locaties[#All],4,FALSE)</f>
        <v>Slot 31</v>
      </c>
      <c r="D657" s="281" t="str">
        <f>VLOOKUP(Ruimtestaat[[#This Row],[Code]],Locaties[#All],5,FALSE)</f>
        <v>7608 ND</v>
      </c>
      <c r="E657" s="281" t="str">
        <f>VLOOKUP(Ruimtestaat[[#This Row],[Code]],Locaties[#All],6,FALSE)</f>
        <v>Almelo</v>
      </c>
      <c r="F657" s="282"/>
      <c r="G657" s="283" t="s">
        <v>444</v>
      </c>
      <c r="H657" s="280" t="s">
        <v>813</v>
      </c>
      <c r="I657" s="244" t="s">
        <v>487</v>
      </c>
      <c r="J657" s="200">
        <v>2</v>
      </c>
      <c r="K657" s="243" t="s">
        <v>109</v>
      </c>
      <c r="L657" s="291" t="s">
        <v>1046</v>
      </c>
      <c r="M657" s="213">
        <v>15.87</v>
      </c>
      <c r="N657" s="202"/>
      <c r="O657" s="243" t="str">
        <f>VLOOKUP(Ruimtestaat[[#This Row],[Ruimte code]],Ruimtegroepen[#All],4,FALSE)</f>
        <v>B  (Bureauruimte)</v>
      </c>
      <c r="P657" s="214"/>
      <c r="Q657" s="215">
        <v>40</v>
      </c>
      <c r="R657" s="215" t="s">
        <v>2</v>
      </c>
      <c r="S657" s="215">
        <f>IF(R657&gt;0,IF(RIGHT(Ruimtestaat[[#This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7" s="215">
        <f>IF(S657&gt;0,VLOOKUP($J657,Ruimtegroepen[],3,FALSE)*VLOOKUP($K657,Vloersoorten[],3,FALSE)*VLOOKUP($R657,Frequenties[],3,FALSE)*VLOOKUP($A657,Locaties[],3,FALSE),0)</f>
        <v>0</v>
      </c>
      <c r="U657" s="215">
        <f>Ruimtestaat[[#This Row],[Uitvoeringen werkdagen]]*Ruimtestaat[[#This Row],[Oppervlak (netto)]]</f>
        <v>3174</v>
      </c>
      <c r="V657" s="259">
        <f>IF(T657&gt;0,Ruimtestaat[[#This Row],[Prest. (m2 /jaar) werkdagen]]/Ruimtestaat[[#This Row],[Norm (m2/uur) werkdagen]],0)</f>
        <v>0</v>
      </c>
      <c r="W657" s="260">
        <f>Ruimtestaat[[#This Row],[uren / jaar werkdagen]]*Tariefsopbouw!$D$38</f>
        <v>0</v>
      </c>
      <c r="X657" s="33"/>
      <c r="Y657" s="33">
        <f>IF(Ruimtestaat[[#This Row],[Frequentie weekend]]&gt;0,VALUE(LEFT(X657,1))*Q657,0)</f>
        <v>0</v>
      </c>
      <c r="Z657" s="33">
        <f>IF($Y657&gt;0,VLOOKUP($J657,Ruimtegroepen[],3,FALSE)*VLOOKUP($K657,Vloersoorten[],3,FALSE)*VLOOKUP($X657,Frequenties[],3,FALSE)*VLOOKUP(#REF!,Locaties[],3,FALSE),0)</f>
        <v>0</v>
      </c>
      <c r="AA657" s="33"/>
      <c r="AB657" s="33"/>
      <c r="AC657" s="33">
        <f>Ruimtestaat[[#This Row],[uren / jaar weekend]]*Tariefsopbouw!$D$40</f>
        <v>0</v>
      </c>
      <c r="AD657" s="88">
        <f>Ruimtestaat[[#This Row],[Prest. (m2 /jaar) weekend]]+Ruimtestaat[[#This Row],[Prest. (m2 /jaar) werkdagen]]</f>
        <v>3174</v>
      </c>
      <c r="AE657" s="88">
        <f>Ruimtestaat[[#This Row],[uren / jaar weekend]]+Ruimtestaat[[#This Row],[uren / jaar werkdagen]]</f>
        <v>0</v>
      </c>
      <c r="AF657" s="89">
        <f>Ruimtestaat[[#This Row],[kosten / jaar weekend]]+Ruimtestaat[[#This Row],[kosten / jaar werkdagen]]</f>
        <v>0</v>
      </c>
    </row>
    <row r="658" spans="1:32" ht="15" customHeight="1">
      <c r="A658" s="280">
        <v>5</v>
      </c>
      <c r="B658" s="21" t="str">
        <f>VLOOKUP(Ruimtestaat[[#This Row],[Code]],Locaties[#All],2,FALSE)</f>
        <v>SGC Almelo</v>
      </c>
      <c r="C658" s="281" t="str">
        <f>VLOOKUP(Ruimtestaat[[#This Row],[Code]],Locaties[#All],4,FALSE)</f>
        <v>Slot 31</v>
      </c>
      <c r="D658" s="281" t="str">
        <f>VLOOKUP(Ruimtestaat[[#This Row],[Code]],Locaties[#All],5,FALSE)</f>
        <v>7608 ND</v>
      </c>
      <c r="E658" s="281" t="str">
        <f>VLOOKUP(Ruimtestaat[[#This Row],[Code]],Locaties[#All],6,FALSE)</f>
        <v>Almelo</v>
      </c>
      <c r="F658" s="282"/>
      <c r="G658" s="283" t="s">
        <v>444</v>
      </c>
      <c r="H658" s="280" t="s">
        <v>490</v>
      </c>
      <c r="I658" s="282" t="s">
        <v>396</v>
      </c>
      <c r="J658" s="281">
        <v>16</v>
      </c>
      <c r="K658" s="243" t="s">
        <v>109</v>
      </c>
      <c r="L658" s="291" t="s">
        <v>1046</v>
      </c>
      <c r="M658" s="213">
        <v>41.14</v>
      </c>
      <c r="N658" s="202"/>
      <c r="O658" s="243" t="str">
        <f>VLOOKUP(Ruimtestaat[[#This Row],[Ruimte code]],Ruimtegroepen[#All],4,FALSE)</f>
        <v>L  (Lesruimte)</v>
      </c>
      <c r="P658" s="214"/>
      <c r="Q658" s="215">
        <v>40</v>
      </c>
      <c r="R658" s="215" t="s">
        <v>2</v>
      </c>
      <c r="S658" s="215">
        <f>IF(R658&gt;0,IF(RIGHT(Ruimtestaat[[#This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58" s="215">
        <f>IF(S658&gt;0,VLOOKUP($J658,Ruimtegroepen[],3,FALSE)*VLOOKUP($K658,Vloersoorten[],3,FALSE)*VLOOKUP($R658,Frequenties[],3,FALSE)*VLOOKUP($A658,Locaties[],3,FALSE),0)</f>
        <v>0</v>
      </c>
      <c r="U658" s="215">
        <f>Ruimtestaat[[#This Row],[Uitvoeringen werkdagen]]*Ruimtestaat[[#This Row],[Oppervlak (netto)]]</f>
        <v>8228</v>
      </c>
      <c r="V658" s="259">
        <f>IF(T658&gt;0,Ruimtestaat[[#This Row],[Prest. (m2 /jaar) werkdagen]]/Ruimtestaat[[#This Row],[Norm (m2/uur) werkdagen]],0)</f>
        <v>0</v>
      </c>
      <c r="W658" s="260">
        <f>Ruimtestaat[[#This Row],[uren / jaar werkdagen]]*Tariefsopbouw!$D$38</f>
        <v>0</v>
      </c>
      <c r="X658" s="33"/>
      <c r="Y658" s="33">
        <f>IF(Ruimtestaat[[#This Row],[Frequentie weekend]]&gt;0,VALUE(LEFT(X658,1))*Q658,0)</f>
        <v>0</v>
      </c>
      <c r="Z658" s="33">
        <f>IF($Y658&gt;0,VLOOKUP($J658,Ruimtegroepen[],3,FALSE)*VLOOKUP($K658,Vloersoorten[],3,FALSE)*VLOOKUP($X658,Frequenties[],3,FALSE)*VLOOKUP(#REF!,Locaties[],3,FALSE),0)</f>
        <v>0</v>
      </c>
      <c r="AA658" s="33"/>
      <c r="AB658" s="33"/>
      <c r="AC658" s="33">
        <f>Ruimtestaat[[#This Row],[uren / jaar weekend]]*Tariefsopbouw!$D$40</f>
        <v>0</v>
      </c>
      <c r="AD658" s="88">
        <f>Ruimtestaat[[#This Row],[Prest. (m2 /jaar) weekend]]+Ruimtestaat[[#This Row],[Prest. (m2 /jaar) werkdagen]]</f>
        <v>8228</v>
      </c>
      <c r="AE658" s="88">
        <f>Ruimtestaat[[#This Row],[uren / jaar weekend]]+Ruimtestaat[[#This Row],[uren / jaar werkdagen]]</f>
        <v>0</v>
      </c>
      <c r="AF658" s="89">
        <f>Ruimtestaat[[#This Row],[kosten / jaar weekend]]+Ruimtestaat[[#This Row],[kosten / jaar werkdagen]]</f>
        <v>0</v>
      </c>
    </row>
    <row r="659" spans="1:32" ht="15" customHeight="1">
      <c r="A659" s="280">
        <v>5</v>
      </c>
      <c r="B659" s="21" t="str">
        <f>VLOOKUP(Ruimtestaat[[#This Row],[Code]],Locaties[#All],2,FALSE)</f>
        <v>SGC Almelo</v>
      </c>
      <c r="C659" s="281" t="str">
        <f>VLOOKUP(Ruimtestaat[[#This Row],[Code]],Locaties[#All],4,FALSE)</f>
        <v>Slot 31</v>
      </c>
      <c r="D659" s="281" t="str">
        <f>VLOOKUP(Ruimtestaat[[#This Row],[Code]],Locaties[#All],5,FALSE)</f>
        <v>7608 ND</v>
      </c>
      <c r="E659" s="281" t="str">
        <f>VLOOKUP(Ruimtestaat[[#This Row],[Code]],Locaties[#All],6,FALSE)</f>
        <v>Almelo</v>
      </c>
      <c r="F659" s="282"/>
      <c r="G659" s="283" t="s">
        <v>444</v>
      </c>
      <c r="H659" s="280" t="s">
        <v>814</v>
      </c>
      <c r="I659" s="282" t="s">
        <v>815</v>
      </c>
      <c r="J659" s="200">
        <v>21</v>
      </c>
      <c r="K659" s="243" t="s">
        <v>110</v>
      </c>
      <c r="L659" s="291" t="s">
        <v>132</v>
      </c>
      <c r="M659" s="213"/>
      <c r="N659" s="202">
        <v>36.28</v>
      </c>
      <c r="O659" s="243" t="str">
        <f>VLOOKUP(Ruimtestaat[[#This Row],[Ruimte code]],Ruimtegroepen[#All],4,FALSE)</f>
        <v>Niet in onderhoud</v>
      </c>
      <c r="P659" s="214"/>
      <c r="Q659" s="215"/>
      <c r="R659" s="215"/>
      <c r="S659" s="215">
        <f>IF(R659&gt;0,IF(RIGHT(Ruimtestaat[[#This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59" s="215">
        <f>IF(S659&gt;0,VLOOKUP($J659,Ruimtegroepen[],3,FALSE)*VLOOKUP($K659,Vloersoorten[],3,FALSE)*VLOOKUP($R659,Frequenties[],3,FALSE)*VLOOKUP($A659,Locaties[],3,FALSE),0)</f>
        <v>0</v>
      </c>
      <c r="U659" s="215">
        <f>Ruimtestaat[[#This Row],[Uitvoeringen werkdagen]]*Ruimtestaat[[#This Row],[Oppervlak (netto)]]</f>
        <v>0</v>
      </c>
      <c r="V659" s="259">
        <f>IF(T659&gt;0,Ruimtestaat[[#This Row],[Prest. (m2 /jaar) werkdagen]]/Ruimtestaat[[#This Row],[Norm (m2/uur) werkdagen]],0)</f>
        <v>0</v>
      </c>
      <c r="W659" s="260">
        <f>Ruimtestaat[[#This Row],[uren / jaar werkdagen]]*Tariefsopbouw!$D$38</f>
        <v>0</v>
      </c>
      <c r="X659" s="33"/>
      <c r="Y659" s="33">
        <f>IF(Ruimtestaat[[#This Row],[Frequentie weekend]]&gt;0,VALUE(LEFT(X659,1))*Q659,0)</f>
        <v>0</v>
      </c>
      <c r="Z659" s="33">
        <f>IF($Y659&gt;0,VLOOKUP($J659,Ruimtegroepen[],3,FALSE)*VLOOKUP($K659,Vloersoorten[],3,FALSE)*VLOOKUP($X659,Frequenties[],3,FALSE)*VLOOKUP(#REF!,Locaties[],3,FALSE),0)</f>
        <v>0</v>
      </c>
      <c r="AA659" s="33"/>
      <c r="AB659" s="33"/>
      <c r="AC659" s="33">
        <f>Ruimtestaat[[#This Row],[uren / jaar weekend]]*Tariefsopbouw!$D$40</f>
        <v>0</v>
      </c>
      <c r="AD659" s="88">
        <f>Ruimtestaat[[#This Row],[Prest. (m2 /jaar) weekend]]+Ruimtestaat[[#This Row],[Prest. (m2 /jaar) werkdagen]]</f>
        <v>0</v>
      </c>
      <c r="AE659" s="88">
        <f>Ruimtestaat[[#This Row],[uren / jaar weekend]]+Ruimtestaat[[#This Row],[uren / jaar werkdagen]]</f>
        <v>0</v>
      </c>
      <c r="AF659" s="89">
        <f>Ruimtestaat[[#This Row],[kosten / jaar weekend]]+Ruimtestaat[[#This Row],[kosten / jaar werkdagen]]</f>
        <v>0</v>
      </c>
    </row>
    <row r="660" spans="1:32" ht="15" customHeight="1">
      <c r="A660" s="280">
        <v>5</v>
      </c>
      <c r="B660" s="21" t="str">
        <f>VLOOKUP(Ruimtestaat[[#This Row],[Code]],Locaties[#All],2,FALSE)</f>
        <v>SGC Almelo</v>
      </c>
      <c r="C660" s="281" t="str">
        <f>VLOOKUP(Ruimtestaat[[#This Row],[Code]],Locaties[#All],4,FALSE)</f>
        <v>Slot 31</v>
      </c>
      <c r="D660" s="281" t="str">
        <f>VLOOKUP(Ruimtestaat[[#This Row],[Code]],Locaties[#All],5,FALSE)</f>
        <v>7608 ND</v>
      </c>
      <c r="E660" s="281" t="str">
        <f>VLOOKUP(Ruimtestaat[[#This Row],[Code]],Locaties[#All],6,FALSE)</f>
        <v>Almelo</v>
      </c>
      <c r="F660" s="282"/>
      <c r="G660" s="283" t="s">
        <v>444</v>
      </c>
      <c r="H660" s="280" t="s">
        <v>816</v>
      </c>
      <c r="I660" s="282" t="s">
        <v>469</v>
      </c>
      <c r="J660" s="200">
        <v>6</v>
      </c>
      <c r="K660" s="243" t="s">
        <v>109</v>
      </c>
      <c r="L660" s="291" t="s">
        <v>1046</v>
      </c>
      <c r="M660" s="213">
        <v>7.61</v>
      </c>
      <c r="N660" s="202"/>
      <c r="O660" s="243" t="str">
        <f>VLOOKUP(Ruimtestaat[[#This Row],[Ruimte code]],Ruimtegroepen[#All],4,FALSE)</f>
        <v>V  (Verkeersruimte)</v>
      </c>
      <c r="P660" s="214"/>
      <c r="Q660" s="215">
        <v>40</v>
      </c>
      <c r="R660" s="215" t="s">
        <v>2</v>
      </c>
      <c r="S660" s="215">
        <f>IF(R660&gt;0,IF(RIGHT(Ruimtestaat[[#This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0" s="215">
        <f>IF(S660&gt;0,VLOOKUP($J660,Ruimtegroepen[],3,FALSE)*VLOOKUP($K660,Vloersoorten[],3,FALSE)*VLOOKUP($R660,Frequenties[],3,FALSE)*VLOOKUP($A660,Locaties[],3,FALSE),0)</f>
        <v>0</v>
      </c>
      <c r="U660" s="215">
        <f>Ruimtestaat[[#This Row],[Uitvoeringen werkdagen]]*Ruimtestaat[[#This Row],[Oppervlak (netto)]]</f>
        <v>1522</v>
      </c>
      <c r="V660" s="259">
        <f>IF(T660&gt;0,Ruimtestaat[[#This Row],[Prest. (m2 /jaar) werkdagen]]/Ruimtestaat[[#This Row],[Norm (m2/uur) werkdagen]],0)</f>
        <v>0</v>
      </c>
      <c r="W660" s="260">
        <f>Ruimtestaat[[#This Row],[uren / jaar werkdagen]]*Tariefsopbouw!$D$38</f>
        <v>0</v>
      </c>
      <c r="X660" s="33"/>
      <c r="Y660" s="33">
        <f>IF(Ruimtestaat[[#This Row],[Frequentie weekend]]&gt;0,VALUE(LEFT(X660,1))*Q660,0)</f>
        <v>0</v>
      </c>
      <c r="Z660" s="33">
        <f>IF($Y660&gt;0,VLOOKUP($J660,Ruimtegroepen[],3,FALSE)*VLOOKUP($K660,Vloersoorten[],3,FALSE)*VLOOKUP($X660,Frequenties[],3,FALSE)*VLOOKUP(#REF!,Locaties[],3,FALSE),0)</f>
        <v>0</v>
      </c>
      <c r="AA660" s="33"/>
      <c r="AB660" s="33"/>
      <c r="AC660" s="33">
        <f>Ruimtestaat[[#This Row],[uren / jaar weekend]]*Tariefsopbouw!$D$40</f>
        <v>0</v>
      </c>
      <c r="AD660" s="88">
        <f>Ruimtestaat[[#This Row],[Prest. (m2 /jaar) weekend]]+Ruimtestaat[[#This Row],[Prest. (m2 /jaar) werkdagen]]</f>
        <v>1522</v>
      </c>
      <c r="AE660" s="88">
        <f>Ruimtestaat[[#This Row],[uren / jaar weekend]]+Ruimtestaat[[#This Row],[uren / jaar werkdagen]]</f>
        <v>0</v>
      </c>
      <c r="AF660" s="89">
        <f>Ruimtestaat[[#This Row],[kosten / jaar weekend]]+Ruimtestaat[[#This Row],[kosten / jaar werkdagen]]</f>
        <v>0</v>
      </c>
    </row>
    <row r="661" spans="1:32" ht="15" customHeight="1">
      <c r="A661" s="280">
        <v>5</v>
      </c>
      <c r="B661" s="21" t="str">
        <f>VLOOKUP(Ruimtestaat[[#This Row],[Code]],Locaties[#All],2,FALSE)</f>
        <v>SGC Almelo</v>
      </c>
      <c r="C661" s="281" t="str">
        <f>VLOOKUP(Ruimtestaat[[#This Row],[Code]],Locaties[#All],4,FALSE)</f>
        <v>Slot 31</v>
      </c>
      <c r="D661" s="281" t="str">
        <f>VLOOKUP(Ruimtestaat[[#This Row],[Code]],Locaties[#All],5,FALSE)</f>
        <v>7608 ND</v>
      </c>
      <c r="E661" s="281" t="str">
        <f>VLOOKUP(Ruimtestaat[[#This Row],[Code]],Locaties[#All],6,FALSE)</f>
        <v>Almelo</v>
      </c>
      <c r="F661" s="282"/>
      <c r="G661" s="283" t="s">
        <v>444</v>
      </c>
      <c r="H661" s="280" t="s">
        <v>817</v>
      </c>
      <c r="I661" s="282" t="s">
        <v>469</v>
      </c>
      <c r="J661" s="200">
        <v>6</v>
      </c>
      <c r="K661" s="243" t="s">
        <v>109</v>
      </c>
      <c r="L661" s="291" t="s">
        <v>1046</v>
      </c>
      <c r="M661" s="213">
        <v>80.27</v>
      </c>
      <c r="N661" s="202"/>
      <c r="O661" s="243" t="str">
        <f>VLOOKUP(Ruimtestaat[[#This Row],[Ruimte code]],Ruimtegroepen[#All],4,FALSE)</f>
        <v>V  (Verkeersruimte)</v>
      </c>
      <c r="P661" s="214"/>
      <c r="Q661" s="215">
        <v>40</v>
      </c>
      <c r="R661" s="215" t="s">
        <v>2</v>
      </c>
      <c r="S661" s="215">
        <f>IF(R661&gt;0,IF(RIGHT(Ruimtestaat[[#This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1" s="215">
        <f>IF(S661&gt;0,VLOOKUP($J661,Ruimtegroepen[],3,FALSE)*VLOOKUP($K661,Vloersoorten[],3,FALSE)*VLOOKUP($R661,Frequenties[],3,FALSE)*VLOOKUP($A661,Locaties[],3,FALSE),0)</f>
        <v>0</v>
      </c>
      <c r="U661" s="215">
        <f>Ruimtestaat[[#This Row],[Uitvoeringen werkdagen]]*Ruimtestaat[[#This Row],[Oppervlak (netto)]]</f>
        <v>16054</v>
      </c>
      <c r="V661" s="259">
        <f>IF(T661&gt;0,Ruimtestaat[[#This Row],[Prest. (m2 /jaar) werkdagen]]/Ruimtestaat[[#This Row],[Norm (m2/uur) werkdagen]],0)</f>
        <v>0</v>
      </c>
      <c r="W661" s="260">
        <f>Ruimtestaat[[#This Row],[uren / jaar werkdagen]]*Tariefsopbouw!$D$38</f>
        <v>0</v>
      </c>
      <c r="X661" s="33"/>
      <c r="Y661" s="33">
        <f>IF(Ruimtestaat[[#This Row],[Frequentie weekend]]&gt;0,VALUE(LEFT(X661,1))*Q661,0)</f>
        <v>0</v>
      </c>
      <c r="Z661" s="33">
        <f>IF($Y661&gt;0,VLOOKUP($J661,Ruimtegroepen[],3,FALSE)*VLOOKUP($K661,Vloersoorten[],3,FALSE)*VLOOKUP($X661,Frequenties[],3,FALSE)*VLOOKUP(#REF!,Locaties[],3,FALSE),0)</f>
        <v>0</v>
      </c>
      <c r="AA661" s="33"/>
      <c r="AB661" s="33"/>
      <c r="AC661" s="33">
        <f>Ruimtestaat[[#This Row],[uren / jaar weekend]]*Tariefsopbouw!$D$40</f>
        <v>0</v>
      </c>
      <c r="AD661" s="88">
        <f>Ruimtestaat[[#This Row],[Prest. (m2 /jaar) weekend]]+Ruimtestaat[[#This Row],[Prest. (m2 /jaar) werkdagen]]</f>
        <v>16054</v>
      </c>
      <c r="AE661" s="88">
        <f>Ruimtestaat[[#This Row],[uren / jaar weekend]]+Ruimtestaat[[#This Row],[uren / jaar werkdagen]]</f>
        <v>0</v>
      </c>
      <c r="AF661" s="89">
        <f>Ruimtestaat[[#This Row],[kosten / jaar weekend]]+Ruimtestaat[[#This Row],[kosten / jaar werkdagen]]</f>
        <v>0</v>
      </c>
    </row>
    <row r="662" spans="1:32" ht="15" customHeight="1">
      <c r="A662" s="280">
        <v>5</v>
      </c>
      <c r="B662" s="21" t="str">
        <f>VLOOKUP(Ruimtestaat[[#This Row],[Code]],Locaties[#All],2,FALSE)</f>
        <v>SGC Almelo</v>
      </c>
      <c r="C662" s="281" t="str">
        <f>VLOOKUP(Ruimtestaat[[#This Row],[Code]],Locaties[#All],4,FALSE)</f>
        <v>Slot 31</v>
      </c>
      <c r="D662" s="281" t="str">
        <f>VLOOKUP(Ruimtestaat[[#This Row],[Code]],Locaties[#All],5,FALSE)</f>
        <v>7608 ND</v>
      </c>
      <c r="E662" s="281" t="str">
        <f>VLOOKUP(Ruimtestaat[[#This Row],[Code]],Locaties[#All],6,FALSE)</f>
        <v>Almelo</v>
      </c>
      <c r="F662" s="282"/>
      <c r="G662" s="283" t="s">
        <v>444</v>
      </c>
      <c r="H662" s="280" t="s">
        <v>818</v>
      </c>
      <c r="I662" s="282" t="s">
        <v>487</v>
      </c>
      <c r="J662" s="200">
        <v>21</v>
      </c>
      <c r="K662" s="243" t="s">
        <v>110</v>
      </c>
      <c r="L662" s="291" t="s">
        <v>132</v>
      </c>
      <c r="M662" s="213"/>
      <c r="N662" s="202">
        <v>11.62</v>
      </c>
      <c r="O662" s="243" t="str">
        <f>VLOOKUP(Ruimtestaat[[#This Row],[Ruimte code]],Ruimtegroepen[#All],4,FALSE)</f>
        <v>Niet in onderhoud</v>
      </c>
      <c r="P662" s="214"/>
      <c r="Q662" s="215"/>
      <c r="R662" s="215"/>
      <c r="S662" s="215">
        <f>IF(R662&gt;0,IF(RIGHT(Ruimtestaat[[#This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2" s="215">
        <f>IF(S662&gt;0,VLOOKUP($J662,Ruimtegroepen[],3,FALSE)*VLOOKUP($K662,Vloersoorten[],3,FALSE)*VLOOKUP($R662,Frequenties[],3,FALSE)*VLOOKUP($A662,Locaties[],3,FALSE),0)</f>
        <v>0</v>
      </c>
      <c r="U662" s="215">
        <f>Ruimtestaat[[#This Row],[Uitvoeringen werkdagen]]*Ruimtestaat[[#This Row],[Oppervlak (netto)]]</f>
        <v>0</v>
      </c>
      <c r="V662" s="259">
        <f>IF(T662&gt;0,Ruimtestaat[[#This Row],[Prest. (m2 /jaar) werkdagen]]/Ruimtestaat[[#This Row],[Norm (m2/uur) werkdagen]],0)</f>
        <v>0</v>
      </c>
      <c r="W662" s="260">
        <f>Ruimtestaat[[#This Row],[uren / jaar werkdagen]]*Tariefsopbouw!$D$38</f>
        <v>0</v>
      </c>
      <c r="X662" s="33"/>
      <c r="Y662" s="33">
        <f>IF(Ruimtestaat[[#This Row],[Frequentie weekend]]&gt;0,VALUE(LEFT(X662,1))*Q662,0)</f>
        <v>0</v>
      </c>
      <c r="Z662" s="33">
        <f>IF($Y662&gt;0,VLOOKUP($J662,Ruimtegroepen[],3,FALSE)*VLOOKUP($K662,Vloersoorten[],3,FALSE)*VLOOKUP($X662,Frequenties[],3,FALSE)*VLOOKUP(#REF!,Locaties[],3,FALSE),0)</f>
        <v>0</v>
      </c>
      <c r="AA662" s="33"/>
      <c r="AB662" s="33"/>
      <c r="AC662" s="33">
        <f>Ruimtestaat[[#This Row],[uren / jaar weekend]]*Tariefsopbouw!$D$40</f>
        <v>0</v>
      </c>
      <c r="AD662" s="88">
        <f>Ruimtestaat[[#This Row],[Prest. (m2 /jaar) weekend]]+Ruimtestaat[[#This Row],[Prest. (m2 /jaar) werkdagen]]</f>
        <v>0</v>
      </c>
      <c r="AE662" s="88">
        <f>Ruimtestaat[[#This Row],[uren / jaar weekend]]+Ruimtestaat[[#This Row],[uren / jaar werkdagen]]</f>
        <v>0</v>
      </c>
      <c r="AF662" s="89">
        <f>Ruimtestaat[[#This Row],[kosten / jaar weekend]]+Ruimtestaat[[#This Row],[kosten / jaar werkdagen]]</f>
        <v>0</v>
      </c>
    </row>
    <row r="663" spans="1:32" ht="15" customHeight="1">
      <c r="A663" s="280">
        <v>5</v>
      </c>
      <c r="B663" s="21" t="str">
        <f>VLOOKUP(Ruimtestaat[[#This Row],[Code]],Locaties[#All],2,FALSE)</f>
        <v>SGC Almelo</v>
      </c>
      <c r="C663" s="281" t="str">
        <f>VLOOKUP(Ruimtestaat[[#This Row],[Code]],Locaties[#All],4,FALSE)</f>
        <v>Slot 31</v>
      </c>
      <c r="D663" s="281" t="str">
        <f>VLOOKUP(Ruimtestaat[[#This Row],[Code]],Locaties[#All],5,FALSE)</f>
        <v>7608 ND</v>
      </c>
      <c r="E663" s="281" t="str">
        <f>VLOOKUP(Ruimtestaat[[#This Row],[Code]],Locaties[#All],6,FALSE)</f>
        <v>Almelo</v>
      </c>
      <c r="F663" s="282"/>
      <c r="G663" s="283" t="s">
        <v>444</v>
      </c>
      <c r="H663" s="280" t="s">
        <v>491</v>
      </c>
      <c r="I663" s="282" t="s">
        <v>396</v>
      </c>
      <c r="J663" s="200">
        <v>16</v>
      </c>
      <c r="K663" s="243" t="s">
        <v>109</v>
      </c>
      <c r="L663" s="291" t="s">
        <v>1046</v>
      </c>
      <c r="M663" s="213">
        <v>50.83</v>
      </c>
      <c r="N663" s="202"/>
      <c r="O663" s="243" t="str">
        <f>VLOOKUP(Ruimtestaat[[#This Row],[Ruimte code]],Ruimtegroepen[#All],4,FALSE)</f>
        <v>L  (Lesruimte)</v>
      </c>
      <c r="P663" s="214"/>
      <c r="Q663" s="215">
        <v>40</v>
      </c>
      <c r="R663" s="215" t="s">
        <v>2</v>
      </c>
      <c r="S663" s="215">
        <f>IF(R663&gt;0,IF(RIGHT(Ruimtestaat[[#This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3" s="215">
        <f>IF(S663&gt;0,VLOOKUP($J663,Ruimtegroepen[],3,FALSE)*VLOOKUP($K663,Vloersoorten[],3,FALSE)*VLOOKUP($R663,Frequenties[],3,FALSE)*VLOOKUP($A663,Locaties[],3,FALSE),0)</f>
        <v>0</v>
      </c>
      <c r="U663" s="215">
        <f>Ruimtestaat[[#This Row],[Uitvoeringen werkdagen]]*Ruimtestaat[[#This Row],[Oppervlak (netto)]]</f>
        <v>10166</v>
      </c>
      <c r="V663" s="259">
        <f>IF(T663&gt;0,Ruimtestaat[[#This Row],[Prest. (m2 /jaar) werkdagen]]/Ruimtestaat[[#This Row],[Norm (m2/uur) werkdagen]],0)</f>
        <v>0</v>
      </c>
      <c r="W663" s="260">
        <f>Ruimtestaat[[#This Row],[uren / jaar werkdagen]]*Tariefsopbouw!$D$38</f>
        <v>0</v>
      </c>
      <c r="X663" s="33"/>
      <c r="Y663" s="33">
        <f>IF(Ruimtestaat[[#This Row],[Frequentie weekend]]&gt;0,VALUE(LEFT(X663,1))*Q663,0)</f>
        <v>0</v>
      </c>
      <c r="Z663" s="33">
        <f>IF($Y663&gt;0,VLOOKUP($J663,Ruimtegroepen[],3,FALSE)*VLOOKUP($K663,Vloersoorten[],3,FALSE)*VLOOKUP($X663,Frequenties[],3,FALSE)*VLOOKUP(#REF!,Locaties[],3,FALSE),0)</f>
        <v>0</v>
      </c>
      <c r="AA663" s="33"/>
      <c r="AB663" s="33"/>
      <c r="AC663" s="33">
        <f>Ruimtestaat[[#This Row],[uren / jaar weekend]]*Tariefsopbouw!$D$40</f>
        <v>0</v>
      </c>
      <c r="AD663" s="88">
        <f>Ruimtestaat[[#This Row],[Prest. (m2 /jaar) weekend]]+Ruimtestaat[[#This Row],[Prest. (m2 /jaar) werkdagen]]</f>
        <v>10166</v>
      </c>
      <c r="AE663" s="88">
        <f>Ruimtestaat[[#This Row],[uren / jaar weekend]]+Ruimtestaat[[#This Row],[uren / jaar werkdagen]]</f>
        <v>0</v>
      </c>
      <c r="AF663" s="89">
        <f>Ruimtestaat[[#This Row],[kosten / jaar weekend]]+Ruimtestaat[[#This Row],[kosten / jaar werkdagen]]</f>
        <v>0</v>
      </c>
    </row>
    <row r="664" spans="1:32" ht="15" customHeight="1">
      <c r="A664" s="280">
        <v>5</v>
      </c>
      <c r="B664" s="21" t="str">
        <f>VLOOKUP(Ruimtestaat[[#This Row],[Code]],Locaties[#All],2,FALSE)</f>
        <v>SGC Almelo</v>
      </c>
      <c r="C664" s="281" t="str">
        <f>VLOOKUP(Ruimtestaat[[#This Row],[Code]],Locaties[#All],4,FALSE)</f>
        <v>Slot 31</v>
      </c>
      <c r="D664" s="281" t="str">
        <f>VLOOKUP(Ruimtestaat[[#This Row],[Code]],Locaties[#All],5,FALSE)</f>
        <v>7608 ND</v>
      </c>
      <c r="E664" s="281" t="str">
        <f>VLOOKUP(Ruimtestaat[[#This Row],[Code]],Locaties[#All],6,FALSE)</f>
        <v>Almelo</v>
      </c>
      <c r="F664" s="282"/>
      <c r="G664" s="283" t="s">
        <v>444</v>
      </c>
      <c r="H664" s="280" t="s">
        <v>819</v>
      </c>
      <c r="I664" s="282" t="s">
        <v>469</v>
      </c>
      <c r="J664" s="200">
        <v>6</v>
      </c>
      <c r="K664" s="243" t="s">
        <v>109</v>
      </c>
      <c r="L664" s="291" t="s">
        <v>1046</v>
      </c>
      <c r="M664" s="213">
        <v>114.61</v>
      </c>
      <c r="N664" s="202"/>
      <c r="O664" s="243" t="str">
        <f>VLOOKUP(Ruimtestaat[[#This Row],[Ruimte code]],Ruimtegroepen[#All],4,FALSE)</f>
        <v>V  (Verkeersruimte)</v>
      </c>
      <c r="P664" s="214"/>
      <c r="Q664" s="215">
        <v>40</v>
      </c>
      <c r="R664" s="215" t="s">
        <v>2</v>
      </c>
      <c r="S664" s="215">
        <f>IF(R664&gt;0,IF(RIGHT(Ruimtestaat[[#This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4" s="215">
        <f>IF(S664&gt;0,VLOOKUP($J664,Ruimtegroepen[],3,FALSE)*VLOOKUP($K664,Vloersoorten[],3,FALSE)*VLOOKUP($R664,Frequenties[],3,FALSE)*VLOOKUP($A664,Locaties[],3,FALSE),0)</f>
        <v>0</v>
      </c>
      <c r="U664" s="215">
        <f>Ruimtestaat[[#This Row],[Uitvoeringen werkdagen]]*Ruimtestaat[[#This Row],[Oppervlak (netto)]]</f>
        <v>22922</v>
      </c>
      <c r="V664" s="259">
        <f>IF(T664&gt;0,Ruimtestaat[[#This Row],[Prest. (m2 /jaar) werkdagen]]/Ruimtestaat[[#This Row],[Norm (m2/uur) werkdagen]],0)</f>
        <v>0</v>
      </c>
      <c r="W664" s="260">
        <f>Ruimtestaat[[#This Row],[uren / jaar werkdagen]]*Tariefsopbouw!$D$38</f>
        <v>0</v>
      </c>
      <c r="X664" s="33"/>
      <c r="Y664" s="33">
        <f>IF(Ruimtestaat[[#This Row],[Frequentie weekend]]&gt;0,VALUE(LEFT(X664,1))*Q664,0)</f>
        <v>0</v>
      </c>
      <c r="Z664" s="33">
        <f>IF($Y664&gt;0,VLOOKUP($J664,Ruimtegroepen[],3,FALSE)*VLOOKUP($K664,Vloersoorten[],3,FALSE)*VLOOKUP($X664,Frequenties[],3,FALSE)*VLOOKUP(#REF!,Locaties[],3,FALSE),0)</f>
        <v>0</v>
      </c>
      <c r="AA664" s="33"/>
      <c r="AB664" s="33"/>
      <c r="AC664" s="33">
        <f>Ruimtestaat[[#This Row],[uren / jaar weekend]]*Tariefsopbouw!$D$40</f>
        <v>0</v>
      </c>
      <c r="AD664" s="88">
        <f>Ruimtestaat[[#This Row],[Prest. (m2 /jaar) weekend]]+Ruimtestaat[[#This Row],[Prest. (m2 /jaar) werkdagen]]</f>
        <v>22922</v>
      </c>
      <c r="AE664" s="88">
        <f>Ruimtestaat[[#This Row],[uren / jaar weekend]]+Ruimtestaat[[#This Row],[uren / jaar werkdagen]]</f>
        <v>0</v>
      </c>
      <c r="AF664" s="89">
        <f>Ruimtestaat[[#This Row],[kosten / jaar weekend]]+Ruimtestaat[[#This Row],[kosten / jaar werkdagen]]</f>
        <v>0</v>
      </c>
    </row>
    <row r="665" spans="1:32" ht="15" customHeight="1">
      <c r="A665" s="280">
        <v>5</v>
      </c>
      <c r="B665" s="21" t="str">
        <f>VLOOKUP(Ruimtestaat[[#This Row],[Code]],Locaties[#All],2,FALSE)</f>
        <v>SGC Almelo</v>
      </c>
      <c r="C665" s="281" t="str">
        <f>VLOOKUP(Ruimtestaat[[#This Row],[Code]],Locaties[#All],4,FALSE)</f>
        <v>Slot 31</v>
      </c>
      <c r="D665" s="281" t="str">
        <f>VLOOKUP(Ruimtestaat[[#This Row],[Code]],Locaties[#All],5,FALSE)</f>
        <v>7608 ND</v>
      </c>
      <c r="E665" s="281" t="str">
        <f>VLOOKUP(Ruimtestaat[[#This Row],[Code]],Locaties[#All],6,FALSE)</f>
        <v>Almelo</v>
      </c>
      <c r="F665" s="282"/>
      <c r="G665" s="283" t="s">
        <v>444</v>
      </c>
      <c r="H665" s="280" t="s">
        <v>820</v>
      </c>
      <c r="I665" s="282" t="s">
        <v>469</v>
      </c>
      <c r="J665" s="200">
        <v>6</v>
      </c>
      <c r="K665" s="243" t="s">
        <v>109</v>
      </c>
      <c r="L665" s="291" t="s">
        <v>1046</v>
      </c>
      <c r="M665" s="213">
        <v>16.52</v>
      </c>
      <c r="N665" s="202"/>
      <c r="O665" s="243" t="str">
        <f>VLOOKUP(Ruimtestaat[[#This Row],[Ruimte code]],Ruimtegroepen[#All],4,FALSE)</f>
        <v>V  (Verkeersruimte)</v>
      </c>
      <c r="P665" s="214"/>
      <c r="Q665" s="215">
        <v>40</v>
      </c>
      <c r="R665" s="215" t="s">
        <v>2</v>
      </c>
      <c r="S665" s="215">
        <f>IF(R665&gt;0,IF(RIGHT(Ruimtestaat[[#This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5" s="215">
        <f>IF(S665&gt;0,VLOOKUP($J665,Ruimtegroepen[],3,FALSE)*VLOOKUP($K665,Vloersoorten[],3,FALSE)*VLOOKUP($R665,Frequenties[],3,FALSE)*VLOOKUP($A665,Locaties[],3,FALSE),0)</f>
        <v>0</v>
      </c>
      <c r="U665" s="215">
        <f>Ruimtestaat[[#This Row],[Uitvoeringen werkdagen]]*Ruimtestaat[[#This Row],[Oppervlak (netto)]]</f>
        <v>3304</v>
      </c>
      <c r="V665" s="259">
        <f>IF(T665&gt;0,Ruimtestaat[[#This Row],[Prest. (m2 /jaar) werkdagen]]/Ruimtestaat[[#This Row],[Norm (m2/uur) werkdagen]],0)</f>
        <v>0</v>
      </c>
      <c r="W665" s="260">
        <f>Ruimtestaat[[#This Row],[uren / jaar werkdagen]]*Tariefsopbouw!$D$38</f>
        <v>0</v>
      </c>
      <c r="X665" s="33"/>
      <c r="Y665" s="33">
        <f>IF(Ruimtestaat[[#This Row],[Frequentie weekend]]&gt;0,VALUE(LEFT(X665,1))*Q665,0)</f>
        <v>0</v>
      </c>
      <c r="Z665" s="33">
        <f>IF($Y665&gt;0,VLOOKUP($J665,Ruimtegroepen[],3,FALSE)*VLOOKUP($K665,Vloersoorten[],3,FALSE)*VLOOKUP($X665,Frequenties[],3,FALSE)*VLOOKUP(#REF!,Locaties[],3,FALSE),0)</f>
        <v>0</v>
      </c>
      <c r="AA665" s="33"/>
      <c r="AB665" s="33"/>
      <c r="AC665" s="33">
        <f>Ruimtestaat[[#This Row],[uren / jaar weekend]]*Tariefsopbouw!$D$40</f>
        <v>0</v>
      </c>
      <c r="AD665" s="88">
        <f>Ruimtestaat[[#This Row],[Prest. (m2 /jaar) weekend]]+Ruimtestaat[[#This Row],[Prest. (m2 /jaar) werkdagen]]</f>
        <v>3304</v>
      </c>
      <c r="AE665" s="88">
        <f>Ruimtestaat[[#This Row],[uren / jaar weekend]]+Ruimtestaat[[#This Row],[uren / jaar werkdagen]]</f>
        <v>0</v>
      </c>
      <c r="AF665" s="89">
        <f>Ruimtestaat[[#This Row],[kosten / jaar weekend]]+Ruimtestaat[[#This Row],[kosten / jaar werkdagen]]</f>
        <v>0</v>
      </c>
    </row>
    <row r="666" spans="1:32" ht="15" customHeight="1">
      <c r="A666" s="280">
        <v>5</v>
      </c>
      <c r="B666" s="21" t="str">
        <f>VLOOKUP(Ruimtestaat[[#This Row],[Code]],Locaties[#All],2,FALSE)</f>
        <v>SGC Almelo</v>
      </c>
      <c r="C666" s="281" t="str">
        <f>VLOOKUP(Ruimtestaat[[#This Row],[Code]],Locaties[#All],4,FALSE)</f>
        <v>Slot 31</v>
      </c>
      <c r="D666" s="281" t="str">
        <f>VLOOKUP(Ruimtestaat[[#This Row],[Code]],Locaties[#All],5,FALSE)</f>
        <v>7608 ND</v>
      </c>
      <c r="E666" s="281" t="str">
        <f>VLOOKUP(Ruimtestaat[[#This Row],[Code]],Locaties[#All],6,FALSE)</f>
        <v>Almelo</v>
      </c>
      <c r="F666" s="282"/>
      <c r="G666" s="283" t="s">
        <v>444</v>
      </c>
      <c r="H666" s="280" t="s">
        <v>821</v>
      </c>
      <c r="I666" s="282" t="s">
        <v>469</v>
      </c>
      <c r="J666" s="200">
        <v>6</v>
      </c>
      <c r="K666" s="243" t="s">
        <v>109</v>
      </c>
      <c r="L666" s="291" t="s">
        <v>1046</v>
      </c>
      <c r="M666" s="213">
        <v>9.4</v>
      </c>
      <c r="N666" s="202"/>
      <c r="O666" s="243" t="str">
        <f>VLOOKUP(Ruimtestaat[[#This Row],[Ruimte code]],Ruimtegroepen[#All],4,FALSE)</f>
        <v>V  (Verkeersruimte)</v>
      </c>
      <c r="P666" s="214"/>
      <c r="Q666" s="215">
        <v>40</v>
      </c>
      <c r="R666" s="215" t="s">
        <v>2</v>
      </c>
      <c r="S666" s="215">
        <f>IF(R666&gt;0,IF(RIGHT(Ruimtestaat[[#This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6" s="215">
        <f>IF(S666&gt;0,VLOOKUP($J666,Ruimtegroepen[],3,FALSE)*VLOOKUP($K666,Vloersoorten[],3,FALSE)*VLOOKUP($R666,Frequenties[],3,FALSE)*VLOOKUP($A666,Locaties[],3,FALSE),0)</f>
        <v>0</v>
      </c>
      <c r="U666" s="215">
        <f>Ruimtestaat[[#This Row],[Uitvoeringen werkdagen]]*Ruimtestaat[[#This Row],[Oppervlak (netto)]]</f>
        <v>1880</v>
      </c>
      <c r="V666" s="259">
        <f>IF(T666&gt;0,Ruimtestaat[[#This Row],[Prest. (m2 /jaar) werkdagen]]/Ruimtestaat[[#This Row],[Norm (m2/uur) werkdagen]],0)</f>
        <v>0</v>
      </c>
      <c r="W666" s="260">
        <f>Ruimtestaat[[#This Row],[uren / jaar werkdagen]]*Tariefsopbouw!$D$38</f>
        <v>0</v>
      </c>
      <c r="X666" s="33"/>
      <c r="Y666" s="33">
        <f>IF(Ruimtestaat[[#This Row],[Frequentie weekend]]&gt;0,VALUE(LEFT(X666,1))*Q666,0)</f>
        <v>0</v>
      </c>
      <c r="Z666" s="33">
        <f>IF($Y666&gt;0,VLOOKUP($J666,Ruimtegroepen[],3,FALSE)*VLOOKUP($K666,Vloersoorten[],3,FALSE)*VLOOKUP($X666,Frequenties[],3,FALSE)*VLOOKUP(#REF!,Locaties[],3,FALSE),0)</f>
        <v>0</v>
      </c>
      <c r="AA666" s="33"/>
      <c r="AB666" s="33"/>
      <c r="AC666" s="33">
        <f>Ruimtestaat[[#This Row],[uren / jaar weekend]]*Tariefsopbouw!$D$40</f>
        <v>0</v>
      </c>
      <c r="AD666" s="88">
        <f>Ruimtestaat[[#This Row],[Prest. (m2 /jaar) weekend]]+Ruimtestaat[[#This Row],[Prest. (m2 /jaar) werkdagen]]</f>
        <v>1880</v>
      </c>
      <c r="AE666" s="88">
        <f>Ruimtestaat[[#This Row],[uren / jaar weekend]]+Ruimtestaat[[#This Row],[uren / jaar werkdagen]]</f>
        <v>0</v>
      </c>
      <c r="AF666" s="89">
        <f>Ruimtestaat[[#This Row],[kosten / jaar weekend]]+Ruimtestaat[[#This Row],[kosten / jaar werkdagen]]</f>
        <v>0</v>
      </c>
    </row>
    <row r="667" spans="1:32" ht="15" customHeight="1">
      <c r="A667" s="280">
        <v>5</v>
      </c>
      <c r="B667" s="21" t="str">
        <f>VLOOKUP(Ruimtestaat[[#This Row],[Code]],Locaties[#All],2,FALSE)</f>
        <v>SGC Almelo</v>
      </c>
      <c r="C667" s="281" t="str">
        <f>VLOOKUP(Ruimtestaat[[#This Row],[Code]],Locaties[#All],4,FALSE)</f>
        <v>Slot 31</v>
      </c>
      <c r="D667" s="281" t="str">
        <f>VLOOKUP(Ruimtestaat[[#This Row],[Code]],Locaties[#All],5,FALSE)</f>
        <v>7608 ND</v>
      </c>
      <c r="E667" s="281" t="str">
        <f>VLOOKUP(Ruimtestaat[[#This Row],[Code]],Locaties[#All],6,FALSE)</f>
        <v>Almelo</v>
      </c>
      <c r="F667" s="282"/>
      <c r="G667" s="283" t="s">
        <v>444</v>
      </c>
      <c r="H667" s="280" t="s">
        <v>492</v>
      </c>
      <c r="I667" s="282" t="s">
        <v>396</v>
      </c>
      <c r="J667" s="200">
        <v>16</v>
      </c>
      <c r="K667" s="243" t="s">
        <v>109</v>
      </c>
      <c r="L667" s="291" t="s">
        <v>1046</v>
      </c>
      <c r="M667" s="213">
        <v>50.84</v>
      </c>
      <c r="N667" s="213"/>
      <c r="O667" s="243" t="str">
        <f>VLOOKUP(Ruimtestaat[[#This Row],[Ruimte code]],Ruimtegroepen[#All],4,FALSE)</f>
        <v>L  (Lesruimte)</v>
      </c>
      <c r="P667" s="214"/>
      <c r="Q667" s="215">
        <v>40</v>
      </c>
      <c r="R667" s="215" t="s">
        <v>2</v>
      </c>
      <c r="S667" s="215">
        <f>IF(R667&gt;0,IF(RIGHT(Ruimtestaat[[#This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7" s="215">
        <f>IF(S667&gt;0,VLOOKUP($J667,Ruimtegroepen[],3,FALSE)*VLOOKUP($K667,Vloersoorten[],3,FALSE)*VLOOKUP($R667,Frequenties[],3,FALSE)*VLOOKUP($A667,Locaties[],3,FALSE),0)</f>
        <v>0</v>
      </c>
      <c r="U667" s="215">
        <f>Ruimtestaat[[#This Row],[Uitvoeringen werkdagen]]*Ruimtestaat[[#This Row],[Oppervlak (netto)]]</f>
        <v>10168</v>
      </c>
      <c r="V667" s="259">
        <f>IF(T667&gt;0,Ruimtestaat[[#This Row],[Prest. (m2 /jaar) werkdagen]]/Ruimtestaat[[#This Row],[Norm (m2/uur) werkdagen]],0)</f>
        <v>0</v>
      </c>
      <c r="W667" s="260">
        <f>Ruimtestaat[[#This Row],[uren / jaar werkdagen]]*Tariefsopbouw!$D$38</f>
        <v>0</v>
      </c>
      <c r="X667" s="33"/>
      <c r="Y667" s="33">
        <f>IF(Ruimtestaat[[#This Row],[Frequentie weekend]]&gt;0,VALUE(LEFT(X667,1))*Q667,0)</f>
        <v>0</v>
      </c>
      <c r="Z667" s="33">
        <f>IF($Y667&gt;0,VLOOKUP($J667,Ruimtegroepen[],3,FALSE)*VLOOKUP($K667,Vloersoorten[],3,FALSE)*VLOOKUP($X667,Frequenties[],3,FALSE)*VLOOKUP(#REF!,Locaties[],3,FALSE),0)</f>
        <v>0</v>
      </c>
      <c r="AA667" s="33"/>
      <c r="AB667" s="33"/>
      <c r="AC667" s="33">
        <f>Ruimtestaat[[#This Row],[uren / jaar weekend]]*Tariefsopbouw!$D$40</f>
        <v>0</v>
      </c>
      <c r="AD667" s="88">
        <f>Ruimtestaat[[#This Row],[Prest. (m2 /jaar) weekend]]+Ruimtestaat[[#This Row],[Prest. (m2 /jaar) werkdagen]]</f>
        <v>10168</v>
      </c>
      <c r="AE667" s="88">
        <f>Ruimtestaat[[#This Row],[uren / jaar weekend]]+Ruimtestaat[[#This Row],[uren / jaar werkdagen]]</f>
        <v>0</v>
      </c>
      <c r="AF667" s="89">
        <f>Ruimtestaat[[#This Row],[kosten / jaar weekend]]+Ruimtestaat[[#This Row],[kosten / jaar werkdagen]]</f>
        <v>0</v>
      </c>
    </row>
    <row r="668" spans="1:32" ht="15" customHeight="1">
      <c r="A668" s="280">
        <v>5</v>
      </c>
      <c r="B668" s="21" t="str">
        <f>VLOOKUP(Ruimtestaat[[#This Row],[Code]],Locaties[#All],2,FALSE)</f>
        <v>SGC Almelo</v>
      </c>
      <c r="C668" s="281" t="str">
        <f>VLOOKUP(Ruimtestaat[[#This Row],[Code]],Locaties[#All],4,FALSE)</f>
        <v>Slot 31</v>
      </c>
      <c r="D668" s="281" t="str">
        <f>VLOOKUP(Ruimtestaat[[#This Row],[Code]],Locaties[#All],5,FALSE)</f>
        <v>7608 ND</v>
      </c>
      <c r="E668" s="281" t="str">
        <f>VLOOKUP(Ruimtestaat[[#This Row],[Code]],Locaties[#All],6,FALSE)</f>
        <v>Almelo</v>
      </c>
      <c r="F668" s="282"/>
      <c r="G668" s="283" t="s">
        <v>444</v>
      </c>
      <c r="H668" s="280" t="s">
        <v>494</v>
      </c>
      <c r="I668" s="282" t="s">
        <v>447</v>
      </c>
      <c r="J668" s="200">
        <v>21</v>
      </c>
      <c r="K668" s="243" t="s">
        <v>110</v>
      </c>
      <c r="L668" s="291" t="s">
        <v>132</v>
      </c>
      <c r="M668" s="213"/>
      <c r="N668" s="202">
        <v>10.34</v>
      </c>
      <c r="O668" s="243" t="str">
        <f>VLOOKUP(Ruimtestaat[[#This Row],[Ruimte code]],Ruimtegroepen[#All],4,FALSE)</f>
        <v>Niet in onderhoud</v>
      </c>
      <c r="P668" s="214"/>
      <c r="Q668" s="215"/>
      <c r="R668" s="215"/>
      <c r="S668" s="215">
        <f>IF(R668&gt;0,IF(RIGHT(Ruimtestaat[[#This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68" s="215">
        <f>IF(S668&gt;0,VLOOKUP($J668,Ruimtegroepen[],3,FALSE)*VLOOKUP($K668,Vloersoorten[],3,FALSE)*VLOOKUP($R668,Frequenties[],3,FALSE)*VLOOKUP($A668,Locaties[],3,FALSE),0)</f>
        <v>0</v>
      </c>
      <c r="U668" s="215">
        <f>Ruimtestaat[[#This Row],[Uitvoeringen werkdagen]]*Ruimtestaat[[#This Row],[Oppervlak (netto)]]</f>
        <v>0</v>
      </c>
      <c r="V668" s="259">
        <f>IF(T668&gt;0,Ruimtestaat[[#This Row],[Prest. (m2 /jaar) werkdagen]]/Ruimtestaat[[#This Row],[Norm (m2/uur) werkdagen]],0)</f>
        <v>0</v>
      </c>
      <c r="W668" s="260">
        <f>Ruimtestaat[[#This Row],[uren / jaar werkdagen]]*Tariefsopbouw!$D$38</f>
        <v>0</v>
      </c>
      <c r="X668" s="33"/>
      <c r="Y668" s="33">
        <f>IF(Ruimtestaat[[#This Row],[Frequentie weekend]]&gt;0,VALUE(LEFT(X668,1))*Q668,0)</f>
        <v>0</v>
      </c>
      <c r="Z668" s="33">
        <f>IF($Y668&gt;0,VLOOKUP($J668,Ruimtegroepen[],3,FALSE)*VLOOKUP($K668,Vloersoorten[],3,FALSE)*VLOOKUP($X668,Frequenties[],3,FALSE)*VLOOKUP(#REF!,Locaties[],3,FALSE),0)</f>
        <v>0</v>
      </c>
      <c r="AA668" s="33"/>
      <c r="AB668" s="33"/>
      <c r="AC668" s="33">
        <f>Ruimtestaat[[#This Row],[uren / jaar weekend]]*Tariefsopbouw!$D$40</f>
        <v>0</v>
      </c>
      <c r="AD668" s="88">
        <f>Ruimtestaat[[#This Row],[Prest. (m2 /jaar) weekend]]+Ruimtestaat[[#This Row],[Prest. (m2 /jaar) werkdagen]]</f>
        <v>0</v>
      </c>
      <c r="AE668" s="88">
        <f>Ruimtestaat[[#This Row],[uren / jaar weekend]]+Ruimtestaat[[#This Row],[uren / jaar werkdagen]]</f>
        <v>0</v>
      </c>
      <c r="AF668" s="89">
        <f>Ruimtestaat[[#This Row],[kosten / jaar weekend]]+Ruimtestaat[[#This Row],[kosten / jaar werkdagen]]</f>
        <v>0</v>
      </c>
    </row>
    <row r="669" spans="1:32" ht="15" customHeight="1">
      <c r="A669" s="280">
        <v>5</v>
      </c>
      <c r="B669" s="21" t="str">
        <f>VLOOKUP(Ruimtestaat[[#This Row],[Code]],Locaties[#All],2,FALSE)</f>
        <v>SGC Almelo</v>
      </c>
      <c r="C669" s="281" t="str">
        <f>VLOOKUP(Ruimtestaat[[#This Row],[Code]],Locaties[#All],4,FALSE)</f>
        <v>Slot 31</v>
      </c>
      <c r="D669" s="281" t="str">
        <f>VLOOKUP(Ruimtestaat[[#This Row],[Code]],Locaties[#All],5,FALSE)</f>
        <v>7608 ND</v>
      </c>
      <c r="E669" s="281" t="str">
        <f>VLOOKUP(Ruimtestaat[[#This Row],[Code]],Locaties[#All],6,FALSE)</f>
        <v>Almelo</v>
      </c>
      <c r="F669" s="282"/>
      <c r="G669" s="283" t="s">
        <v>444</v>
      </c>
      <c r="H669" s="280" t="s">
        <v>822</v>
      </c>
      <c r="I669" s="282" t="s">
        <v>697</v>
      </c>
      <c r="J669" s="200">
        <v>5</v>
      </c>
      <c r="K669" s="243" t="s">
        <v>111</v>
      </c>
      <c r="L669" s="291" t="s">
        <v>913</v>
      </c>
      <c r="M669" s="213">
        <v>9.7200000000000006</v>
      </c>
      <c r="N669" s="202"/>
      <c r="O669" s="243" t="str">
        <f>VLOOKUP(Ruimtestaat[[#This Row],[Ruimte code]],Ruimtegroepen[#All],4,FALSE)</f>
        <v>S  (Sanitair)</v>
      </c>
      <c r="P669" s="214"/>
      <c r="Q669" s="215">
        <v>40</v>
      </c>
      <c r="R669" s="215" t="s">
        <v>2</v>
      </c>
      <c r="S669" s="215">
        <f>IF(R669&gt;0,IF(RIGHT(Ruimtestaat[[#This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69" s="215">
        <f>IF(S669&gt;0,VLOOKUP($J669,Ruimtegroepen[],3,FALSE)*VLOOKUP($K669,Vloersoorten[],3,FALSE)*VLOOKUP($R669,Frequenties[],3,FALSE)*VLOOKUP($A669,Locaties[],3,FALSE),0)</f>
        <v>0</v>
      </c>
      <c r="U669" s="215">
        <f>Ruimtestaat[[#This Row],[Uitvoeringen werkdagen]]*Ruimtestaat[[#This Row],[Oppervlak (netto)]]</f>
        <v>1944.0000000000002</v>
      </c>
      <c r="V669" s="259">
        <f>IF(T669&gt;0,Ruimtestaat[[#This Row],[Prest. (m2 /jaar) werkdagen]]/Ruimtestaat[[#This Row],[Norm (m2/uur) werkdagen]],0)</f>
        <v>0</v>
      </c>
      <c r="W669" s="260">
        <f>Ruimtestaat[[#This Row],[uren / jaar werkdagen]]*Tariefsopbouw!$D$38</f>
        <v>0</v>
      </c>
      <c r="X669" s="33"/>
      <c r="Y669" s="33">
        <f>IF(Ruimtestaat[[#This Row],[Frequentie weekend]]&gt;0,VALUE(LEFT(X669,1))*Q669,0)</f>
        <v>0</v>
      </c>
      <c r="Z669" s="33">
        <f>IF($Y669&gt;0,VLOOKUP($J669,Ruimtegroepen[],3,FALSE)*VLOOKUP($K669,Vloersoorten[],3,FALSE)*VLOOKUP($X669,Frequenties[],3,FALSE)*VLOOKUP(#REF!,Locaties[],3,FALSE),0)</f>
        <v>0</v>
      </c>
      <c r="AA669" s="33"/>
      <c r="AB669" s="33"/>
      <c r="AC669" s="33">
        <f>Ruimtestaat[[#This Row],[uren / jaar weekend]]*Tariefsopbouw!$D$40</f>
        <v>0</v>
      </c>
      <c r="AD669" s="88">
        <f>Ruimtestaat[[#This Row],[Prest. (m2 /jaar) weekend]]+Ruimtestaat[[#This Row],[Prest. (m2 /jaar) werkdagen]]</f>
        <v>1944.0000000000002</v>
      </c>
      <c r="AE669" s="88">
        <f>Ruimtestaat[[#This Row],[uren / jaar weekend]]+Ruimtestaat[[#This Row],[uren / jaar werkdagen]]</f>
        <v>0</v>
      </c>
      <c r="AF669" s="89">
        <f>Ruimtestaat[[#This Row],[kosten / jaar weekend]]+Ruimtestaat[[#This Row],[kosten / jaar werkdagen]]</f>
        <v>0</v>
      </c>
    </row>
    <row r="670" spans="1:32" ht="15" customHeight="1">
      <c r="A670" s="280">
        <v>5</v>
      </c>
      <c r="B670" s="21" t="str">
        <f>VLOOKUP(Ruimtestaat[[#This Row],[Code]],Locaties[#All],2,FALSE)</f>
        <v>SGC Almelo</v>
      </c>
      <c r="C670" s="281" t="str">
        <f>VLOOKUP(Ruimtestaat[[#This Row],[Code]],Locaties[#All],4,FALSE)</f>
        <v>Slot 31</v>
      </c>
      <c r="D670" s="281" t="str">
        <f>VLOOKUP(Ruimtestaat[[#This Row],[Code]],Locaties[#All],5,FALSE)</f>
        <v>7608 ND</v>
      </c>
      <c r="E670" s="281" t="str">
        <f>VLOOKUP(Ruimtestaat[[#This Row],[Code]],Locaties[#All],6,FALSE)</f>
        <v>Almelo</v>
      </c>
      <c r="F670" s="282"/>
      <c r="G670" s="283" t="s">
        <v>444</v>
      </c>
      <c r="H670" s="280" t="s">
        <v>823</v>
      </c>
      <c r="I670" s="282" t="s">
        <v>697</v>
      </c>
      <c r="J670" s="200">
        <v>5</v>
      </c>
      <c r="K670" s="243" t="s">
        <v>111</v>
      </c>
      <c r="L670" s="291" t="s">
        <v>913</v>
      </c>
      <c r="M670" s="213">
        <v>9.7200000000000006</v>
      </c>
      <c r="N670" s="202"/>
      <c r="O670" s="243" t="str">
        <f>VLOOKUP(Ruimtestaat[[#This Row],[Ruimte code]],Ruimtegroepen[#All],4,FALSE)</f>
        <v>S  (Sanitair)</v>
      </c>
      <c r="P670" s="214"/>
      <c r="Q670" s="215">
        <v>40</v>
      </c>
      <c r="R670" s="215" t="s">
        <v>2</v>
      </c>
      <c r="S670" s="215">
        <f>IF(R670&gt;0,IF(RIGHT(Ruimtestaat[[#This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0" s="215">
        <f>IF(S670&gt;0,VLOOKUP($J670,Ruimtegroepen[],3,FALSE)*VLOOKUP($K670,Vloersoorten[],3,FALSE)*VLOOKUP($R670,Frequenties[],3,FALSE)*VLOOKUP($A670,Locaties[],3,FALSE),0)</f>
        <v>0</v>
      </c>
      <c r="U670" s="215">
        <f>Ruimtestaat[[#This Row],[Uitvoeringen werkdagen]]*Ruimtestaat[[#This Row],[Oppervlak (netto)]]</f>
        <v>1944.0000000000002</v>
      </c>
      <c r="V670" s="259">
        <f>IF(T670&gt;0,Ruimtestaat[[#This Row],[Prest. (m2 /jaar) werkdagen]]/Ruimtestaat[[#This Row],[Norm (m2/uur) werkdagen]],0)</f>
        <v>0</v>
      </c>
      <c r="W670" s="260">
        <f>Ruimtestaat[[#This Row],[uren / jaar werkdagen]]*Tariefsopbouw!$D$38</f>
        <v>0</v>
      </c>
      <c r="X670" s="33"/>
      <c r="Y670" s="33">
        <f>IF(Ruimtestaat[[#This Row],[Frequentie weekend]]&gt;0,VALUE(LEFT(X670,1))*Q670,0)</f>
        <v>0</v>
      </c>
      <c r="Z670" s="33">
        <f>IF($Y670&gt;0,VLOOKUP($J670,Ruimtegroepen[],3,FALSE)*VLOOKUP($K670,Vloersoorten[],3,FALSE)*VLOOKUP($X670,Frequenties[],3,FALSE)*VLOOKUP(#REF!,Locaties[],3,FALSE),0)</f>
        <v>0</v>
      </c>
      <c r="AA670" s="33"/>
      <c r="AB670" s="33"/>
      <c r="AC670" s="33">
        <f>Ruimtestaat[[#This Row],[uren / jaar weekend]]*Tariefsopbouw!$D$40</f>
        <v>0</v>
      </c>
      <c r="AD670" s="88">
        <f>Ruimtestaat[[#This Row],[Prest. (m2 /jaar) weekend]]+Ruimtestaat[[#This Row],[Prest. (m2 /jaar) werkdagen]]</f>
        <v>1944.0000000000002</v>
      </c>
      <c r="AE670" s="88">
        <f>Ruimtestaat[[#This Row],[uren / jaar weekend]]+Ruimtestaat[[#This Row],[uren / jaar werkdagen]]</f>
        <v>0</v>
      </c>
      <c r="AF670" s="89">
        <f>Ruimtestaat[[#This Row],[kosten / jaar weekend]]+Ruimtestaat[[#This Row],[kosten / jaar werkdagen]]</f>
        <v>0</v>
      </c>
    </row>
    <row r="671" spans="1:32" ht="15" customHeight="1">
      <c r="A671" s="280">
        <v>5</v>
      </c>
      <c r="B671" s="21" t="str">
        <f>VLOOKUP(Ruimtestaat[[#This Row],[Code]],Locaties[#All],2,FALSE)</f>
        <v>SGC Almelo</v>
      </c>
      <c r="C671" s="281" t="str">
        <f>VLOOKUP(Ruimtestaat[[#This Row],[Code]],Locaties[#All],4,FALSE)</f>
        <v>Slot 31</v>
      </c>
      <c r="D671" s="281" t="str">
        <f>VLOOKUP(Ruimtestaat[[#This Row],[Code]],Locaties[#All],5,FALSE)</f>
        <v>7608 ND</v>
      </c>
      <c r="E671" s="281" t="str">
        <f>VLOOKUP(Ruimtestaat[[#This Row],[Code]],Locaties[#All],6,FALSE)</f>
        <v>Almelo</v>
      </c>
      <c r="F671" s="282"/>
      <c r="G671" s="283" t="s">
        <v>444</v>
      </c>
      <c r="H671" s="280" t="s">
        <v>742</v>
      </c>
      <c r="I671" s="282" t="s">
        <v>747</v>
      </c>
      <c r="J671" s="200">
        <v>14</v>
      </c>
      <c r="K671" s="243" t="s">
        <v>109</v>
      </c>
      <c r="L671" s="291" t="s">
        <v>919</v>
      </c>
      <c r="M671" s="213">
        <v>143.83000000000001</v>
      </c>
      <c r="N671" s="213"/>
      <c r="O671" s="243" t="str">
        <f>VLOOKUP(Ruimtestaat[[#This Row],[Ruimte code]],Ruimtegroepen[#All],4,FALSE)</f>
        <v>V  (Verkeersruimte)</v>
      </c>
      <c r="P671" s="214"/>
      <c r="Q671" s="215">
        <v>40</v>
      </c>
      <c r="R671" s="215" t="s">
        <v>2</v>
      </c>
      <c r="S671" s="215">
        <f>IF(R671&gt;0,IF(RIGHT(Ruimtestaat[[#This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1" s="215">
        <f>IF(S671&gt;0,VLOOKUP($J671,Ruimtegroepen[],3,FALSE)*VLOOKUP($K671,Vloersoorten[],3,FALSE)*VLOOKUP($R671,Frequenties[],3,FALSE)*VLOOKUP($A671,Locaties[],3,FALSE),0)</f>
        <v>0</v>
      </c>
      <c r="U671" s="215">
        <f>Ruimtestaat[[#This Row],[Uitvoeringen werkdagen]]*Ruimtestaat[[#This Row],[Oppervlak (netto)]]</f>
        <v>28766.000000000004</v>
      </c>
      <c r="V671" s="259">
        <f>IF(T671&gt;0,Ruimtestaat[[#This Row],[Prest. (m2 /jaar) werkdagen]]/Ruimtestaat[[#This Row],[Norm (m2/uur) werkdagen]],0)</f>
        <v>0</v>
      </c>
      <c r="W671" s="260">
        <f>Ruimtestaat[[#This Row],[uren / jaar werkdagen]]*Tariefsopbouw!$D$38</f>
        <v>0</v>
      </c>
      <c r="X671" s="33"/>
      <c r="Y671" s="33">
        <f>IF(Ruimtestaat[[#This Row],[Frequentie weekend]]&gt;0,VALUE(LEFT(X671,1))*Q671,0)</f>
        <v>0</v>
      </c>
      <c r="Z671" s="33">
        <f>IF($Y671&gt;0,VLOOKUP($J671,Ruimtegroepen[],3,FALSE)*VLOOKUP($K671,Vloersoorten[],3,FALSE)*VLOOKUP($X671,Frequenties[],3,FALSE)*VLOOKUP(#REF!,Locaties[],3,FALSE),0)</f>
        <v>0</v>
      </c>
      <c r="AA671" s="33"/>
      <c r="AB671" s="33"/>
      <c r="AC671" s="33">
        <f>Ruimtestaat[[#This Row],[uren / jaar weekend]]*Tariefsopbouw!$D$40</f>
        <v>0</v>
      </c>
      <c r="AD671" s="88">
        <f>Ruimtestaat[[#This Row],[Prest. (m2 /jaar) weekend]]+Ruimtestaat[[#This Row],[Prest. (m2 /jaar) werkdagen]]</f>
        <v>28766.000000000004</v>
      </c>
      <c r="AE671" s="88">
        <f>Ruimtestaat[[#This Row],[uren / jaar weekend]]+Ruimtestaat[[#This Row],[uren / jaar werkdagen]]</f>
        <v>0</v>
      </c>
      <c r="AF671" s="89">
        <f>Ruimtestaat[[#This Row],[kosten / jaar weekend]]+Ruimtestaat[[#This Row],[kosten / jaar werkdagen]]</f>
        <v>0</v>
      </c>
    </row>
    <row r="672" spans="1:32" ht="15" customHeight="1">
      <c r="A672" s="280">
        <v>5</v>
      </c>
      <c r="B672" s="21" t="str">
        <f>VLOOKUP(Ruimtestaat[[#This Row],[Code]],Locaties[#All],2,FALSE)</f>
        <v>SGC Almelo</v>
      </c>
      <c r="C672" s="281" t="str">
        <f>VLOOKUP(Ruimtestaat[[#This Row],[Code]],Locaties[#All],4,FALSE)</f>
        <v>Slot 31</v>
      </c>
      <c r="D672" s="281" t="str">
        <f>VLOOKUP(Ruimtestaat[[#This Row],[Code]],Locaties[#All],5,FALSE)</f>
        <v>7608 ND</v>
      </c>
      <c r="E672" s="281" t="str">
        <f>VLOOKUP(Ruimtestaat[[#This Row],[Code]],Locaties[#All],6,FALSE)</f>
        <v>Almelo</v>
      </c>
      <c r="F672" s="282"/>
      <c r="G672" s="283" t="s">
        <v>444</v>
      </c>
      <c r="H672" s="280" t="s">
        <v>824</v>
      </c>
      <c r="I672" s="282" t="s">
        <v>447</v>
      </c>
      <c r="J672" s="200">
        <v>21</v>
      </c>
      <c r="K672" s="243" t="s">
        <v>110</v>
      </c>
      <c r="L672" s="291" t="s">
        <v>132</v>
      </c>
      <c r="M672" s="213"/>
      <c r="N672" s="202">
        <v>12.1</v>
      </c>
      <c r="O672" s="243" t="str">
        <f>VLOOKUP(Ruimtestaat[[#This Row],[Ruimte code]],Ruimtegroepen[#All],4,FALSE)</f>
        <v>Niet in onderhoud</v>
      </c>
      <c r="P672" s="214"/>
      <c r="Q672" s="215"/>
      <c r="R672" s="215"/>
      <c r="S672" s="215">
        <f>IF(R672&gt;0,IF(RIGHT(Ruimtestaat[[#This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72" s="215">
        <f>IF(S672&gt;0,VLOOKUP($J672,Ruimtegroepen[],3,FALSE)*VLOOKUP($K672,Vloersoorten[],3,FALSE)*VLOOKUP($R672,Frequenties[],3,FALSE)*VLOOKUP($A672,Locaties[],3,FALSE),0)</f>
        <v>0</v>
      </c>
      <c r="U672" s="215">
        <f>Ruimtestaat[[#This Row],[Uitvoeringen werkdagen]]*Ruimtestaat[[#This Row],[Oppervlak (netto)]]</f>
        <v>0</v>
      </c>
      <c r="V672" s="259">
        <f>IF(T672&gt;0,Ruimtestaat[[#This Row],[Prest. (m2 /jaar) werkdagen]]/Ruimtestaat[[#This Row],[Norm (m2/uur) werkdagen]],0)</f>
        <v>0</v>
      </c>
      <c r="W672" s="260">
        <f>Ruimtestaat[[#This Row],[uren / jaar werkdagen]]*Tariefsopbouw!$D$38</f>
        <v>0</v>
      </c>
      <c r="X672" s="33"/>
      <c r="Y672" s="33">
        <f>IF(Ruimtestaat[[#This Row],[Frequentie weekend]]&gt;0,VALUE(LEFT(X672,1))*Q672,0)</f>
        <v>0</v>
      </c>
      <c r="Z672" s="33">
        <f>IF($Y672&gt;0,VLOOKUP($J672,Ruimtegroepen[],3,FALSE)*VLOOKUP($K672,Vloersoorten[],3,FALSE)*VLOOKUP($X672,Frequenties[],3,FALSE)*VLOOKUP(#REF!,Locaties[],3,FALSE),0)</f>
        <v>0</v>
      </c>
      <c r="AA672" s="33"/>
      <c r="AB672" s="33"/>
      <c r="AC672" s="33">
        <f>Ruimtestaat[[#This Row],[uren / jaar weekend]]*Tariefsopbouw!$D$40</f>
        <v>0</v>
      </c>
      <c r="AD672" s="88">
        <f>Ruimtestaat[[#This Row],[Prest. (m2 /jaar) weekend]]+Ruimtestaat[[#This Row],[Prest. (m2 /jaar) werkdagen]]</f>
        <v>0</v>
      </c>
      <c r="AE672" s="88">
        <f>Ruimtestaat[[#This Row],[uren / jaar weekend]]+Ruimtestaat[[#This Row],[uren / jaar werkdagen]]</f>
        <v>0</v>
      </c>
      <c r="AF672" s="89">
        <f>Ruimtestaat[[#This Row],[kosten / jaar weekend]]+Ruimtestaat[[#This Row],[kosten / jaar werkdagen]]</f>
        <v>0</v>
      </c>
    </row>
    <row r="673" spans="1:32" ht="15" customHeight="1">
      <c r="A673" s="280">
        <v>5</v>
      </c>
      <c r="B673" s="21" t="str">
        <f>VLOOKUP(Ruimtestaat[[#This Row],[Code]],Locaties[#All],2,FALSE)</f>
        <v>SGC Almelo</v>
      </c>
      <c r="C673" s="281" t="str">
        <f>VLOOKUP(Ruimtestaat[[#This Row],[Code]],Locaties[#All],4,FALSE)</f>
        <v>Slot 31</v>
      </c>
      <c r="D673" s="281" t="str">
        <f>VLOOKUP(Ruimtestaat[[#This Row],[Code]],Locaties[#All],5,FALSE)</f>
        <v>7608 ND</v>
      </c>
      <c r="E673" s="281" t="str">
        <f>VLOOKUP(Ruimtestaat[[#This Row],[Code]],Locaties[#All],6,FALSE)</f>
        <v>Almelo</v>
      </c>
      <c r="F673" s="282"/>
      <c r="G673" s="283" t="s">
        <v>444</v>
      </c>
      <c r="H673" s="280" t="s">
        <v>825</v>
      </c>
      <c r="I673" s="282" t="s">
        <v>697</v>
      </c>
      <c r="J673" s="200">
        <v>5</v>
      </c>
      <c r="K673" s="243" t="s">
        <v>111</v>
      </c>
      <c r="L673" s="291" t="s">
        <v>913</v>
      </c>
      <c r="M673" s="213">
        <v>9.7200000000000006</v>
      </c>
      <c r="N673" s="202"/>
      <c r="O673" s="243" t="str">
        <f>VLOOKUP(Ruimtestaat[[#This Row],[Ruimte code]],Ruimtegroepen[#All],4,FALSE)</f>
        <v>S  (Sanitair)</v>
      </c>
      <c r="P673" s="214"/>
      <c r="Q673" s="215">
        <v>40</v>
      </c>
      <c r="R673" s="215" t="s">
        <v>2</v>
      </c>
      <c r="S673" s="215">
        <f>IF(R673&gt;0,IF(RIGHT(Ruimtestaat[[#This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3" s="215">
        <f>IF(S673&gt;0,VLOOKUP($J673,Ruimtegroepen[],3,FALSE)*VLOOKUP($K673,Vloersoorten[],3,FALSE)*VLOOKUP($R673,Frequenties[],3,FALSE)*VLOOKUP($A673,Locaties[],3,FALSE),0)</f>
        <v>0</v>
      </c>
      <c r="U673" s="215">
        <f>Ruimtestaat[[#This Row],[Uitvoeringen werkdagen]]*Ruimtestaat[[#This Row],[Oppervlak (netto)]]</f>
        <v>1944.0000000000002</v>
      </c>
      <c r="V673" s="259">
        <f>IF(T673&gt;0,Ruimtestaat[[#This Row],[Prest. (m2 /jaar) werkdagen]]/Ruimtestaat[[#This Row],[Norm (m2/uur) werkdagen]],0)</f>
        <v>0</v>
      </c>
      <c r="W673" s="260">
        <f>Ruimtestaat[[#This Row],[uren / jaar werkdagen]]*Tariefsopbouw!$D$38</f>
        <v>0</v>
      </c>
      <c r="X673" s="33"/>
      <c r="Y673" s="33">
        <f>IF(Ruimtestaat[[#This Row],[Frequentie weekend]]&gt;0,VALUE(LEFT(X673,1))*Q673,0)</f>
        <v>0</v>
      </c>
      <c r="Z673" s="33">
        <f>IF($Y673&gt;0,VLOOKUP($J673,Ruimtegroepen[],3,FALSE)*VLOOKUP($K673,Vloersoorten[],3,FALSE)*VLOOKUP($X673,Frequenties[],3,FALSE)*VLOOKUP(#REF!,Locaties[],3,FALSE),0)</f>
        <v>0</v>
      </c>
      <c r="AA673" s="33"/>
      <c r="AB673" s="33"/>
      <c r="AC673" s="33">
        <f>Ruimtestaat[[#This Row],[uren / jaar weekend]]*Tariefsopbouw!$D$40</f>
        <v>0</v>
      </c>
      <c r="AD673" s="88">
        <f>Ruimtestaat[[#This Row],[Prest. (m2 /jaar) weekend]]+Ruimtestaat[[#This Row],[Prest. (m2 /jaar) werkdagen]]</f>
        <v>1944.0000000000002</v>
      </c>
      <c r="AE673" s="88">
        <f>Ruimtestaat[[#This Row],[uren / jaar weekend]]+Ruimtestaat[[#This Row],[uren / jaar werkdagen]]</f>
        <v>0</v>
      </c>
      <c r="AF673" s="89">
        <f>Ruimtestaat[[#This Row],[kosten / jaar weekend]]+Ruimtestaat[[#This Row],[kosten / jaar werkdagen]]</f>
        <v>0</v>
      </c>
    </row>
    <row r="674" spans="1:32" ht="15" customHeight="1">
      <c r="A674" s="280">
        <v>5</v>
      </c>
      <c r="B674" s="21" t="str">
        <f>VLOOKUP(Ruimtestaat[[#This Row],[Code]],Locaties[#All],2,FALSE)</f>
        <v>SGC Almelo</v>
      </c>
      <c r="C674" s="281" t="str">
        <f>VLOOKUP(Ruimtestaat[[#This Row],[Code]],Locaties[#All],4,FALSE)</f>
        <v>Slot 31</v>
      </c>
      <c r="D674" s="281" t="str">
        <f>VLOOKUP(Ruimtestaat[[#This Row],[Code]],Locaties[#All],5,FALSE)</f>
        <v>7608 ND</v>
      </c>
      <c r="E674" s="281" t="str">
        <f>VLOOKUP(Ruimtestaat[[#This Row],[Code]],Locaties[#All],6,FALSE)</f>
        <v>Almelo</v>
      </c>
      <c r="F674" s="282"/>
      <c r="G674" s="283" t="s">
        <v>444</v>
      </c>
      <c r="H674" s="280" t="s">
        <v>826</v>
      </c>
      <c r="I674" s="244" t="s">
        <v>697</v>
      </c>
      <c r="J674" s="200">
        <v>5</v>
      </c>
      <c r="K674" s="243" t="s">
        <v>111</v>
      </c>
      <c r="L674" s="291" t="s">
        <v>913</v>
      </c>
      <c r="M674" s="213">
        <v>9.7200000000000006</v>
      </c>
      <c r="N674" s="202"/>
      <c r="O674" s="243" t="str">
        <f>VLOOKUP(Ruimtestaat[[#This Row],[Ruimte code]],Ruimtegroepen[#All],4,FALSE)</f>
        <v>S  (Sanitair)</v>
      </c>
      <c r="P674" s="214"/>
      <c r="Q674" s="215">
        <v>40</v>
      </c>
      <c r="R674" s="215" t="s">
        <v>2</v>
      </c>
      <c r="S674" s="215">
        <f>IF(R674&gt;0,IF(RIGHT(Ruimtestaat[[#This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4" s="215">
        <f>IF(S674&gt;0,VLOOKUP($J674,Ruimtegroepen[],3,FALSE)*VLOOKUP($K674,Vloersoorten[],3,FALSE)*VLOOKUP($R674,Frequenties[],3,FALSE)*VLOOKUP($A674,Locaties[],3,FALSE),0)</f>
        <v>0</v>
      </c>
      <c r="U674" s="215">
        <f>Ruimtestaat[[#This Row],[Uitvoeringen werkdagen]]*Ruimtestaat[[#This Row],[Oppervlak (netto)]]</f>
        <v>1944.0000000000002</v>
      </c>
      <c r="V674" s="259">
        <f>IF(T674&gt;0,Ruimtestaat[[#This Row],[Prest. (m2 /jaar) werkdagen]]/Ruimtestaat[[#This Row],[Norm (m2/uur) werkdagen]],0)</f>
        <v>0</v>
      </c>
      <c r="W674" s="260">
        <f>Ruimtestaat[[#This Row],[uren / jaar werkdagen]]*Tariefsopbouw!$D$38</f>
        <v>0</v>
      </c>
      <c r="X674" s="33"/>
      <c r="Y674" s="33">
        <f>IF(Ruimtestaat[[#This Row],[Frequentie weekend]]&gt;0,VALUE(LEFT(X674,1))*Q674,0)</f>
        <v>0</v>
      </c>
      <c r="Z674" s="33">
        <f>IF($Y674&gt;0,VLOOKUP($J674,Ruimtegroepen[],3,FALSE)*VLOOKUP($K674,Vloersoorten[],3,FALSE)*VLOOKUP($X674,Frequenties[],3,FALSE)*VLOOKUP(#REF!,Locaties[],3,FALSE),0)</f>
        <v>0</v>
      </c>
      <c r="AA674" s="33"/>
      <c r="AB674" s="33"/>
      <c r="AC674" s="33">
        <f>Ruimtestaat[[#This Row],[uren / jaar weekend]]*Tariefsopbouw!$D$40</f>
        <v>0</v>
      </c>
      <c r="AD674" s="88">
        <f>Ruimtestaat[[#This Row],[Prest. (m2 /jaar) weekend]]+Ruimtestaat[[#This Row],[Prest. (m2 /jaar) werkdagen]]</f>
        <v>1944.0000000000002</v>
      </c>
      <c r="AE674" s="88">
        <f>Ruimtestaat[[#This Row],[uren / jaar weekend]]+Ruimtestaat[[#This Row],[uren / jaar werkdagen]]</f>
        <v>0</v>
      </c>
      <c r="AF674" s="89">
        <f>Ruimtestaat[[#This Row],[kosten / jaar weekend]]+Ruimtestaat[[#This Row],[kosten / jaar werkdagen]]</f>
        <v>0</v>
      </c>
    </row>
    <row r="675" spans="1:32" ht="15" customHeight="1">
      <c r="A675" s="280">
        <v>5</v>
      </c>
      <c r="B675" s="21" t="str">
        <f>VLOOKUP(Ruimtestaat[[#This Row],[Code]],Locaties[#All],2,FALSE)</f>
        <v>SGC Almelo</v>
      </c>
      <c r="C675" s="281" t="str">
        <f>VLOOKUP(Ruimtestaat[[#This Row],[Code]],Locaties[#All],4,FALSE)</f>
        <v>Slot 31</v>
      </c>
      <c r="D675" s="281" t="str">
        <f>VLOOKUP(Ruimtestaat[[#This Row],[Code]],Locaties[#All],5,FALSE)</f>
        <v>7608 ND</v>
      </c>
      <c r="E675" s="281" t="str">
        <f>VLOOKUP(Ruimtestaat[[#This Row],[Code]],Locaties[#All],6,FALSE)</f>
        <v>Almelo</v>
      </c>
      <c r="F675" s="282"/>
      <c r="G675" s="283" t="s">
        <v>444</v>
      </c>
      <c r="H675" s="280" t="s">
        <v>496</v>
      </c>
      <c r="I675" s="282" t="s">
        <v>1049</v>
      </c>
      <c r="J675" s="200">
        <v>16</v>
      </c>
      <c r="K675" s="243" t="s">
        <v>110</v>
      </c>
      <c r="L675" s="291" t="s">
        <v>132</v>
      </c>
      <c r="M675" s="213">
        <v>85.6</v>
      </c>
      <c r="N675" s="202"/>
      <c r="O675" s="243" t="str">
        <f>VLOOKUP(Ruimtestaat[[#This Row],[Ruimte code]],Ruimtegroepen[#All],4,FALSE)</f>
        <v>L  (Lesruimte)</v>
      </c>
      <c r="P675" s="214"/>
      <c r="Q675" s="215">
        <v>40</v>
      </c>
      <c r="R675" s="215" t="s">
        <v>2</v>
      </c>
      <c r="S675" s="215">
        <f>IF(R675&gt;0,IF(RIGHT(Ruimtestaat[[#This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5" s="215">
        <f>IF(S675&gt;0,VLOOKUP($J675,Ruimtegroepen[],3,FALSE)*VLOOKUP($K675,Vloersoorten[],3,FALSE)*VLOOKUP($R675,Frequenties[],3,FALSE)*VLOOKUP($A675,Locaties[],3,FALSE),0)</f>
        <v>0</v>
      </c>
      <c r="U675" s="215">
        <f>Ruimtestaat[[#This Row],[Uitvoeringen werkdagen]]*Ruimtestaat[[#This Row],[Oppervlak (netto)]]</f>
        <v>17120</v>
      </c>
      <c r="V675" s="259">
        <f>IF(T675&gt;0,Ruimtestaat[[#This Row],[Prest. (m2 /jaar) werkdagen]]/Ruimtestaat[[#This Row],[Norm (m2/uur) werkdagen]],0)</f>
        <v>0</v>
      </c>
      <c r="W675" s="260">
        <f>Ruimtestaat[[#This Row],[uren / jaar werkdagen]]*Tariefsopbouw!$D$38</f>
        <v>0</v>
      </c>
      <c r="X675" s="33"/>
      <c r="Y675" s="33">
        <f>IF(Ruimtestaat[[#This Row],[Frequentie weekend]]&gt;0,VALUE(LEFT(X675,1))*Q675,0)</f>
        <v>0</v>
      </c>
      <c r="Z675" s="33">
        <f>IF($Y675&gt;0,VLOOKUP($J675,Ruimtegroepen[],3,FALSE)*VLOOKUP($K675,Vloersoorten[],3,FALSE)*VLOOKUP($X675,Frequenties[],3,FALSE)*VLOOKUP(#REF!,Locaties[],3,FALSE),0)</f>
        <v>0</v>
      </c>
      <c r="AA675" s="33"/>
      <c r="AB675" s="33"/>
      <c r="AC675" s="33">
        <f>Ruimtestaat[[#This Row],[uren / jaar weekend]]*Tariefsopbouw!$D$40</f>
        <v>0</v>
      </c>
      <c r="AD675" s="88">
        <f>Ruimtestaat[[#This Row],[Prest. (m2 /jaar) weekend]]+Ruimtestaat[[#This Row],[Prest. (m2 /jaar) werkdagen]]</f>
        <v>17120</v>
      </c>
      <c r="AE675" s="88">
        <f>Ruimtestaat[[#This Row],[uren / jaar weekend]]+Ruimtestaat[[#This Row],[uren / jaar werkdagen]]</f>
        <v>0</v>
      </c>
      <c r="AF675" s="89">
        <f>Ruimtestaat[[#This Row],[kosten / jaar weekend]]+Ruimtestaat[[#This Row],[kosten / jaar werkdagen]]</f>
        <v>0</v>
      </c>
    </row>
    <row r="676" spans="1:32" ht="15" customHeight="1">
      <c r="A676" s="280">
        <v>5</v>
      </c>
      <c r="B676" s="21" t="str">
        <f>VLOOKUP(Ruimtestaat[[#This Row],[Code]],Locaties[#All],2,FALSE)</f>
        <v>SGC Almelo</v>
      </c>
      <c r="C676" s="281" t="str">
        <f>VLOOKUP(Ruimtestaat[[#This Row],[Code]],Locaties[#All],4,FALSE)</f>
        <v>Slot 31</v>
      </c>
      <c r="D676" s="281" t="str">
        <f>VLOOKUP(Ruimtestaat[[#This Row],[Code]],Locaties[#All],5,FALSE)</f>
        <v>7608 ND</v>
      </c>
      <c r="E676" s="281" t="str">
        <f>VLOOKUP(Ruimtestaat[[#This Row],[Code]],Locaties[#All],6,FALSE)</f>
        <v>Almelo</v>
      </c>
      <c r="F676" s="282"/>
      <c r="G676" s="283" t="s">
        <v>444</v>
      </c>
      <c r="H676" s="280" t="s">
        <v>827</v>
      </c>
      <c r="I676" s="282" t="s">
        <v>469</v>
      </c>
      <c r="J676" s="200">
        <v>6</v>
      </c>
      <c r="K676" s="243" t="s">
        <v>111</v>
      </c>
      <c r="L676" s="291" t="s">
        <v>890</v>
      </c>
      <c r="M676" s="213">
        <v>19.260000000000002</v>
      </c>
      <c r="N676" s="202"/>
      <c r="O676" s="243" t="str">
        <f>VLOOKUP(Ruimtestaat[[#This Row],[Ruimte code]],Ruimtegroepen[#All],4,FALSE)</f>
        <v>V  (Verkeersruimte)</v>
      </c>
      <c r="P676" s="214"/>
      <c r="Q676" s="215">
        <v>40</v>
      </c>
      <c r="R676" s="215" t="s">
        <v>2</v>
      </c>
      <c r="S676" s="215">
        <f>IF(R676&gt;0,IF(RIGHT(Ruimtestaat[[#This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6" s="215">
        <f>IF(S676&gt;0,VLOOKUP($J676,Ruimtegroepen[],3,FALSE)*VLOOKUP($K676,Vloersoorten[],3,FALSE)*VLOOKUP($R676,Frequenties[],3,FALSE)*VLOOKUP($A676,Locaties[],3,FALSE),0)</f>
        <v>0</v>
      </c>
      <c r="U676" s="215">
        <f>Ruimtestaat[[#This Row],[Uitvoeringen werkdagen]]*Ruimtestaat[[#This Row],[Oppervlak (netto)]]</f>
        <v>3852.0000000000005</v>
      </c>
      <c r="V676" s="259">
        <f>IF(T676&gt;0,Ruimtestaat[[#This Row],[Prest. (m2 /jaar) werkdagen]]/Ruimtestaat[[#This Row],[Norm (m2/uur) werkdagen]],0)</f>
        <v>0</v>
      </c>
      <c r="W676" s="260">
        <f>Ruimtestaat[[#This Row],[uren / jaar werkdagen]]*Tariefsopbouw!$D$38</f>
        <v>0</v>
      </c>
      <c r="X676" s="33"/>
      <c r="Y676" s="33">
        <f>IF(Ruimtestaat[[#This Row],[Frequentie weekend]]&gt;0,VALUE(LEFT(X676,1))*Q676,0)</f>
        <v>0</v>
      </c>
      <c r="Z676" s="33">
        <f>IF($Y676&gt;0,VLOOKUP($J676,Ruimtegroepen[],3,FALSE)*VLOOKUP($K676,Vloersoorten[],3,FALSE)*VLOOKUP($X676,Frequenties[],3,FALSE)*VLOOKUP(#REF!,Locaties[],3,FALSE),0)</f>
        <v>0</v>
      </c>
      <c r="AA676" s="33"/>
      <c r="AB676" s="33"/>
      <c r="AC676" s="33">
        <f>Ruimtestaat[[#This Row],[uren / jaar weekend]]*Tariefsopbouw!$D$40</f>
        <v>0</v>
      </c>
      <c r="AD676" s="88">
        <f>Ruimtestaat[[#This Row],[Prest. (m2 /jaar) weekend]]+Ruimtestaat[[#This Row],[Prest. (m2 /jaar) werkdagen]]</f>
        <v>3852.0000000000005</v>
      </c>
      <c r="AE676" s="88">
        <f>Ruimtestaat[[#This Row],[uren / jaar weekend]]+Ruimtestaat[[#This Row],[uren / jaar werkdagen]]</f>
        <v>0</v>
      </c>
      <c r="AF676" s="89">
        <f>Ruimtestaat[[#This Row],[kosten / jaar weekend]]+Ruimtestaat[[#This Row],[kosten / jaar werkdagen]]</f>
        <v>0</v>
      </c>
    </row>
    <row r="677" spans="1:32" ht="15" customHeight="1">
      <c r="A677" s="280">
        <v>5</v>
      </c>
      <c r="B677" s="21" t="str">
        <f>VLOOKUP(Ruimtestaat[[#This Row],[Code]],Locaties[#All],2,FALSE)</f>
        <v>SGC Almelo</v>
      </c>
      <c r="C677" s="281" t="str">
        <f>VLOOKUP(Ruimtestaat[[#This Row],[Code]],Locaties[#All],4,FALSE)</f>
        <v>Slot 31</v>
      </c>
      <c r="D677" s="281" t="str">
        <f>VLOOKUP(Ruimtestaat[[#This Row],[Code]],Locaties[#All],5,FALSE)</f>
        <v>7608 ND</v>
      </c>
      <c r="E677" s="281" t="str">
        <f>VLOOKUP(Ruimtestaat[[#This Row],[Code]],Locaties[#All],6,FALSE)</f>
        <v>Almelo</v>
      </c>
      <c r="F677" s="282"/>
      <c r="G677" s="283" t="s">
        <v>444</v>
      </c>
      <c r="H677" s="280" t="s">
        <v>828</v>
      </c>
      <c r="I677" s="282" t="s">
        <v>721</v>
      </c>
      <c r="J677" s="200">
        <v>5</v>
      </c>
      <c r="K677" s="243" t="s">
        <v>111</v>
      </c>
      <c r="L677" s="291" t="s">
        <v>913</v>
      </c>
      <c r="M677" s="213">
        <v>4.97</v>
      </c>
      <c r="N677" s="202"/>
      <c r="O677" s="243" t="str">
        <f>VLOOKUP(Ruimtestaat[[#This Row],[Ruimte code]],Ruimtegroepen[#All],4,FALSE)</f>
        <v>S  (Sanitair)</v>
      </c>
      <c r="P677" s="214"/>
      <c r="Q677" s="215">
        <v>40</v>
      </c>
      <c r="R677" s="215" t="s">
        <v>2</v>
      </c>
      <c r="S677" s="215">
        <f>IF(R677&gt;0,IF(RIGHT(Ruimtestaat[[#This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7" s="215">
        <f>IF(S677&gt;0,VLOOKUP($J677,Ruimtegroepen[],3,FALSE)*VLOOKUP($K677,Vloersoorten[],3,FALSE)*VLOOKUP($R677,Frequenties[],3,FALSE)*VLOOKUP($A677,Locaties[],3,FALSE),0)</f>
        <v>0</v>
      </c>
      <c r="U677" s="215">
        <f>Ruimtestaat[[#This Row],[Uitvoeringen werkdagen]]*Ruimtestaat[[#This Row],[Oppervlak (netto)]]</f>
        <v>994</v>
      </c>
      <c r="V677" s="259">
        <f>IF(T677&gt;0,Ruimtestaat[[#This Row],[Prest. (m2 /jaar) werkdagen]]/Ruimtestaat[[#This Row],[Norm (m2/uur) werkdagen]],0)</f>
        <v>0</v>
      </c>
      <c r="W677" s="260">
        <f>Ruimtestaat[[#This Row],[uren / jaar werkdagen]]*Tariefsopbouw!$D$38</f>
        <v>0</v>
      </c>
      <c r="X677" s="33"/>
      <c r="Y677" s="33">
        <f>IF(Ruimtestaat[[#This Row],[Frequentie weekend]]&gt;0,VALUE(LEFT(X677,1))*Q677,0)</f>
        <v>0</v>
      </c>
      <c r="Z677" s="33">
        <f>IF($Y677&gt;0,VLOOKUP($J677,Ruimtegroepen[],3,FALSE)*VLOOKUP($K677,Vloersoorten[],3,FALSE)*VLOOKUP($X677,Frequenties[],3,FALSE)*VLOOKUP(#REF!,Locaties[],3,FALSE),0)</f>
        <v>0</v>
      </c>
      <c r="AA677" s="33"/>
      <c r="AB677" s="33"/>
      <c r="AC677" s="33">
        <f>Ruimtestaat[[#This Row],[uren / jaar weekend]]*Tariefsopbouw!$D$40</f>
        <v>0</v>
      </c>
      <c r="AD677" s="88">
        <f>Ruimtestaat[[#This Row],[Prest. (m2 /jaar) weekend]]+Ruimtestaat[[#This Row],[Prest. (m2 /jaar) werkdagen]]</f>
        <v>994</v>
      </c>
      <c r="AE677" s="88">
        <f>Ruimtestaat[[#This Row],[uren / jaar weekend]]+Ruimtestaat[[#This Row],[uren / jaar werkdagen]]</f>
        <v>0</v>
      </c>
      <c r="AF677" s="89">
        <f>Ruimtestaat[[#This Row],[kosten / jaar weekend]]+Ruimtestaat[[#This Row],[kosten / jaar werkdagen]]</f>
        <v>0</v>
      </c>
    </row>
    <row r="678" spans="1:32" ht="15" customHeight="1">
      <c r="A678" s="280">
        <v>5</v>
      </c>
      <c r="B678" s="21" t="str">
        <f>VLOOKUP(Ruimtestaat[[#This Row],[Code]],Locaties[#All],2,FALSE)</f>
        <v>SGC Almelo</v>
      </c>
      <c r="C678" s="281" t="str">
        <f>VLOOKUP(Ruimtestaat[[#This Row],[Code]],Locaties[#All],4,FALSE)</f>
        <v>Slot 31</v>
      </c>
      <c r="D678" s="281" t="str">
        <f>VLOOKUP(Ruimtestaat[[#This Row],[Code]],Locaties[#All],5,FALSE)</f>
        <v>7608 ND</v>
      </c>
      <c r="E678" s="281" t="str">
        <f>VLOOKUP(Ruimtestaat[[#This Row],[Code]],Locaties[#All],6,FALSE)</f>
        <v>Almelo</v>
      </c>
      <c r="F678" s="282"/>
      <c r="G678" s="283" t="s">
        <v>444</v>
      </c>
      <c r="H678" s="280" t="s">
        <v>829</v>
      </c>
      <c r="I678" s="244" t="s">
        <v>721</v>
      </c>
      <c r="J678" s="200">
        <v>5</v>
      </c>
      <c r="K678" s="243" t="s">
        <v>111</v>
      </c>
      <c r="L678" s="291" t="s">
        <v>913</v>
      </c>
      <c r="M678" s="213">
        <v>4.97</v>
      </c>
      <c r="N678" s="202"/>
      <c r="O678" s="243" t="str">
        <f>VLOOKUP(Ruimtestaat[[#This Row],[Ruimte code]],Ruimtegroepen[#All],4,FALSE)</f>
        <v>S  (Sanitair)</v>
      </c>
      <c r="P678" s="214"/>
      <c r="Q678" s="215">
        <v>40</v>
      </c>
      <c r="R678" s="215" t="s">
        <v>2</v>
      </c>
      <c r="S678" s="215">
        <f>IF(R678&gt;0,IF(RIGHT(Ruimtestaat[[#This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8" s="215">
        <f>IF(S678&gt;0,VLOOKUP($J678,Ruimtegroepen[],3,FALSE)*VLOOKUP($K678,Vloersoorten[],3,FALSE)*VLOOKUP($R678,Frequenties[],3,FALSE)*VLOOKUP($A678,Locaties[],3,FALSE),0)</f>
        <v>0</v>
      </c>
      <c r="U678" s="215">
        <f>Ruimtestaat[[#This Row],[Uitvoeringen werkdagen]]*Ruimtestaat[[#This Row],[Oppervlak (netto)]]</f>
        <v>994</v>
      </c>
      <c r="V678" s="259">
        <f>IF(T678&gt;0,Ruimtestaat[[#This Row],[Prest. (m2 /jaar) werkdagen]]/Ruimtestaat[[#This Row],[Norm (m2/uur) werkdagen]],0)</f>
        <v>0</v>
      </c>
      <c r="W678" s="260">
        <f>Ruimtestaat[[#This Row],[uren / jaar werkdagen]]*Tariefsopbouw!$D$38</f>
        <v>0</v>
      </c>
      <c r="X678" s="33"/>
      <c r="Y678" s="33">
        <f>IF(Ruimtestaat[[#This Row],[Frequentie weekend]]&gt;0,VALUE(LEFT(X678,1))*Q678,0)</f>
        <v>0</v>
      </c>
      <c r="Z678" s="33">
        <f>IF($Y678&gt;0,VLOOKUP($J678,Ruimtegroepen[],3,FALSE)*VLOOKUP($K678,Vloersoorten[],3,FALSE)*VLOOKUP($X678,Frequenties[],3,FALSE)*VLOOKUP(#REF!,Locaties[],3,FALSE),0)</f>
        <v>0</v>
      </c>
      <c r="AA678" s="33"/>
      <c r="AB678" s="33"/>
      <c r="AC678" s="33">
        <f>Ruimtestaat[[#This Row],[uren / jaar weekend]]*Tariefsopbouw!$D$40</f>
        <v>0</v>
      </c>
      <c r="AD678" s="88">
        <f>Ruimtestaat[[#This Row],[Prest. (m2 /jaar) weekend]]+Ruimtestaat[[#This Row],[Prest. (m2 /jaar) werkdagen]]</f>
        <v>994</v>
      </c>
      <c r="AE678" s="88">
        <f>Ruimtestaat[[#This Row],[uren / jaar weekend]]+Ruimtestaat[[#This Row],[uren / jaar werkdagen]]</f>
        <v>0</v>
      </c>
      <c r="AF678" s="89">
        <f>Ruimtestaat[[#This Row],[kosten / jaar weekend]]+Ruimtestaat[[#This Row],[kosten / jaar werkdagen]]</f>
        <v>0</v>
      </c>
    </row>
    <row r="679" spans="1:32" ht="15" customHeight="1">
      <c r="A679" s="280">
        <v>5</v>
      </c>
      <c r="B679" s="21" t="str">
        <f>VLOOKUP(Ruimtestaat[[#This Row],[Code]],Locaties[#All],2,FALSE)</f>
        <v>SGC Almelo</v>
      </c>
      <c r="C679" s="281" t="str">
        <f>VLOOKUP(Ruimtestaat[[#This Row],[Code]],Locaties[#All],4,FALSE)</f>
        <v>Slot 31</v>
      </c>
      <c r="D679" s="281" t="str">
        <f>VLOOKUP(Ruimtestaat[[#This Row],[Code]],Locaties[#All],5,FALSE)</f>
        <v>7608 ND</v>
      </c>
      <c r="E679" s="281" t="str">
        <f>VLOOKUP(Ruimtestaat[[#This Row],[Code]],Locaties[#All],6,FALSE)</f>
        <v>Almelo</v>
      </c>
      <c r="F679" s="282"/>
      <c r="G679" s="283" t="s">
        <v>444</v>
      </c>
      <c r="H679" s="280" t="s">
        <v>498</v>
      </c>
      <c r="I679" s="244" t="s">
        <v>916</v>
      </c>
      <c r="J679" s="200">
        <v>11</v>
      </c>
      <c r="K679" s="243" t="s">
        <v>110</v>
      </c>
      <c r="L679" s="291" t="s">
        <v>132</v>
      </c>
      <c r="M679" s="213">
        <v>70.7</v>
      </c>
      <c r="N679" s="202"/>
      <c r="O679" s="243" t="str">
        <f>VLOOKUP(Ruimtestaat[[#This Row],[Ruimte code]],Ruimtegroepen[#All],4,FALSE)</f>
        <v>L  (Lesruimte)</v>
      </c>
      <c r="P679" s="214"/>
      <c r="Q679" s="215">
        <v>40</v>
      </c>
      <c r="R679" s="215" t="s">
        <v>2</v>
      </c>
      <c r="S679" s="215">
        <f>IF(R679&gt;0,IF(RIGHT(Ruimtestaat[[#This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79" s="215">
        <f>IF(S679&gt;0,VLOOKUP($J679,Ruimtegroepen[],3,FALSE)*VLOOKUP($K679,Vloersoorten[],3,FALSE)*VLOOKUP($R679,Frequenties[],3,FALSE)*VLOOKUP($A679,Locaties[],3,FALSE),0)</f>
        <v>0</v>
      </c>
      <c r="U679" s="215">
        <f>Ruimtestaat[[#This Row],[Uitvoeringen werkdagen]]*Ruimtestaat[[#This Row],[Oppervlak (netto)]]</f>
        <v>14140</v>
      </c>
      <c r="V679" s="259">
        <f>IF(T679&gt;0,Ruimtestaat[[#This Row],[Prest. (m2 /jaar) werkdagen]]/Ruimtestaat[[#This Row],[Norm (m2/uur) werkdagen]],0)</f>
        <v>0</v>
      </c>
      <c r="W679" s="260">
        <f>Ruimtestaat[[#This Row],[uren / jaar werkdagen]]*Tariefsopbouw!$D$38</f>
        <v>0</v>
      </c>
      <c r="X679" s="33"/>
      <c r="Y679" s="33">
        <f>IF(Ruimtestaat[[#This Row],[Frequentie weekend]]&gt;0,VALUE(LEFT(X679,1))*Q679,0)</f>
        <v>0</v>
      </c>
      <c r="Z679" s="33">
        <f>IF($Y679&gt;0,VLOOKUP($J679,Ruimtegroepen[],3,FALSE)*VLOOKUP($K679,Vloersoorten[],3,FALSE)*VLOOKUP($X679,Frequenties[],3,FALSE)*VLOOKUP(#REF!,Locaties[],3,FALSE),0)</f>
        <v>0</v>
      </c>
      <c r="AA679" s="33"/>
      <c r="AB679" s="33"/>
      <c r="AC679" s="33">
        <f>Ruimtestaat[[#This Row],[uren / jaar weekend]]*Tariefsopbouw!$D$40</f>
        <v>0</v>
      </c>
      <c r="AD679" s="88">
        <f>Ruimtestaat[[#This Row],[Prest. (m2 /jaar) weekend]]+Ruimtestaat[[#This Row],[Prest. (m2 /jaar) werkdagen]]</f>
        <v>14140</v>
      </c>
      <c r="AE679" s="88">
        <f>Ruimtestaat[[#This Row],[uren / jaar weekend]]+Ruimtestaat[[#This Row],[uren / jaar werkdagen]]</f>
        <v>0</v>
      </c>
      <c r="AF679" s="89">
        <f>Ruimtestaat[[#This Row],[kosten / jaar weekend]]+Ruimtestaat[[#This Row],[kosten / jaar werkdagen]]</f>
        <v>0</v>
      </c>
    </row>
    <row r="680" spans="1:32" ht="15" customHeight="1">
      <c r="A680" s="280">
        <v>5</v>
      </c>
      <c r="B680" s="21" t="str">
        <f>VLOOKUP(Ruimtestaat[[#This Row],[Code]],Locaties[#All],2,FALSE)</f>
        <v>SGC Almelo</v>
      </c>
      <c r="C680" s="281" t="str">
        <f>VLOOKUP(Ruimtestaat[[#This Row],[Code]],Locaties[#All],4,FALSE)</f>
        <v>Slot 31</v>
      </c>
      <c r="D680" s="281" t="str">
        <f>VLOOKUP(Ruimtestaat[[#This Row],[Code]],Locaties[#All],5,FALSE)</f>
        <v>7608 ND</v>
      </c>
      <c r="E680" s="281" t="str">
        <f>VLOOKUP(Ruimtestaat[[#This Row],[Code]],Locaties[#All],6,FALSE)</f>
        <v>Almelo</v>
      </c>
      <c r="F680" s="282"/>
      <c r="G680" s="283" t="s">
        <v>444</v>
      </c>
      <c r="H680" s="280" t="s">
        <v>499</v>
      </c>
      <c r="I680" s="282" t="s">
        <v>916</v>
      </c>
      <c r="J680" s="200">
        <v>11</v>
      </c>
      <c r="K680" s="243" t="s">
        <v>110</v>
      </c>
      <c r="L680" s="291" t="s">
        <v>132</v>
      </c>
      <c r="M680" s="213">
        <v>92.09</v>
      </c>
      <c r="N680" s="202"/>
      <c r="O680" s="243" t="str">
        <f>VLOOKUP(Ruimtestaat[[#This Row],[Ruimte code]],Ruimtegroepen[#All],4,FALSE)</f>
        <v>L  (Lesruimte)</v>
      </c>
      <c r="P680" s="214"/>
      <c r="Q680" s="215">
        <v>40</v>
      </c>
      <c r="R680" s="215" t="s">
        <v>2</v>
      </c>
      <c r="S680" s="215">
        <f>IF(R680&gt;0,IF(RIGHT(Ruimtestaat[[#This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0" s="215">
        <f>IF(S680&gt;0,VLOOKUP($J680,Ruimtegroepen[],3,FALSE)*VLOOKUP($K680,Vloersoorten[],3,FALSE)*VLOOKUP($R680,Frequenties[],3,FALSE)*VLOOKUP($A680,Locaties[],3,FALSE),0)</f>
        <v>0</v>
      </c>
      <c r="U680" s="215">
        <f>Ruimtestaat[[#This Row],[Uitvoeringen werkdagen]]*Ruimtestaat[[#This Row],[Oppervlak (netto)]]</f>
        <v>18418</v>
      </c>
      <c r="V680" s="259">
        <f>IF(T680&gt;0,Ruimtestaat[[#This Row],[Prest. (m2 /jaar) werkdagen]]/Ruimtestaat[[#This Row],[Norm (m2/uur) werkdagen]],0)</f>
        <v>0</v>
      </c>
      <c r="W680" s="260">
        <f>Ruimtestaat[[#This Row],[uren / jaar werkdagen]]*Tariefsopbouw!$D$38</f>
        <v>0</v>
      </c>
      <c r="X680" s="33"/>
      <c r="Y680" s="33">
        <f>IF(Ruimtestaat[[#This Row],[Frequentie weekend]]&gt;0,VALUE(LEFT(X680,1))*Q680,0)</f>
        <v>0</v>
      </c>
      <c r="Z680" s="33">
        <f>IF($Y680&gt;0,VLOOKUP($J680,Ruimtegroepen[],3,FALSE)*VLOOKUP($K680,Vloersoorten[],3,FALSE)*VLOOKUP($X680,Frequenties[],3,FALSE)*VLOOKUP(#REF!,Locaties[],3,FALSE),0)</f>
        <v>0</v>
      </c>
      <c r="AA680" s="33"/>
      <c r="AB680" s="33"/>
      <c r="AC680" s="33">
        <f>Ruimtestaat[[#This Row],[uren / jaar weekend]]*Tariefsopbouw!$D$40</f>
        <v>0</v>
      </c>
      <c r="AD680" s="88">
        <f>Ruimtestaat[[#This Row],[Prest. (m2 /jaar) weekend]]+Ruimtestaat[[#This Row],[Prest. (m2 /jaar) werkdagen]]</f>
        <v>18418</v>
      </c>
      <c r="AE680" s="88">
        <f>Ruimtestaat[[#This Row],[uren / jaar weekend]]+Ruimtestaat[[#This Row],[uren / jaar werkdagen]]</f>
        <v>0</v>
      </c>
      <c r="AF680" s="89">
        <f>Ruimtestaat[[#This Row],[kosten / jaar weekend]]+Ruimtestaat[[#This Row],[kosten / jaar werkdagen]]</f>
        <v>0</v>
      </c>
    </row>
    <row r="681" spans="1:32" ht="15" customHeight="1">
      <c r="A681" s="280">
        <v>5</v>
      </c>
      <c r="B681" s="21" t="str">
        <f>VLOOKUP(Ruimtestaat[[#This Row],[Code]],Locaties[#All],2,FALSE)</f>
        <v>SGC Almelo</v>
      </c>
      <c r="C681" s="281" t="str">
        <f>VLOOKUP(Ruimtestaat[[#This Row],[Code]],Locaties[#All],4,FALSE)</f>
        <v>Slot 31</v>
      </c>
      <c r="D681" s="281" t="str">
        <f>VLOOKUP(Ruimtestaat[[#This Row],[Code]],Locaties[#All],5,FALSE)</f>
        <v>7608 ND</v>
      </c>
      <c r="E681" s="281" t="str">
        <f>VLOOKUP(Ruimtestaat[[#This Row],[Code]],Locaties[#All],6,FALSE)</f>
        <v>Almelo</v>
      </c>
      <c r="F681" s="282"/>
      <c r="G681" s="283" t="s">
        <v>444</v>
      </c>
      <c r="H681" s="280" t="s">
        <v>743</v>
      </c>
      <c r="I681" s="282" t="s">
        <v>396</v>
      </c>
      <c r="J681" s="200">
        <v>16</v>
      </c>
      <c r="K681" s="243" t="s">
        <v>110</v>
      </c>
      <c r="L681" s="291" t="s">
        <v>132</v>
      </c>
      <c r="M681" s="213">
        <v>49.2</v>
      </c>
      <c r="N681" s="202"/>
      <c r="O681" s="243" t="str">
        <f>VLOOKUP(Ruimtestaat[[#This Row],[Ruimte code]],Ruimtegroepen[#All],4,FALSE)</f>
        <v>L  (Lesruimte)</v>
      </c>
      <c r="P681" s="214"/>
      <c r="Q681" s="215">
        <v>40</v>
      </c>
      <c r="R681" s="215" t="s">
        <v>2</v>
      </c>
      <c r="S681" s="215">
        <f>IF(R681&gt;0,IF(RIGHT(Ruimtestaat[[#This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1" s="215">
        <f>IF(S681&gt;0,VLOOKUP($J681,Ruimtegroepen[],3,FALSE)*VLOOKUP($K681,Vloersoorten[],3,FALSE)*VLOOKUP($R681,Frequenties[],3,FALSE)*VLOOKUP($A681,Locaties[],3,FALSE),0)</f>
        <v>0</v>
      </c>
      <c r="U681" s="215">
        <f>Ruimtestaat[[#This Row],[Uitvoeringen werkdagen]]*Ruimtestaat[[#This Row],[Oppervlak (netto)]]</f>
        <v>9840</v>
      </c>
      <c r="V681" s="259">
        <f>IF(T681&gt;0,Ruimtestaat[[#This Row],[Prest. (m2 /jaar) werkdagen]]/Ruimtestaat[[#This Row],[Norm (m2/uur) werkdagen]],0)</f>
        <v>0</v>
      </c>
      <c r="W681" s="260">
        <f>Ruimtestaat[[#This Row],[uren / jaar werkdagen]]*Tariefsopbouw!$D$38</f>
        <v>0</v>
      </c>
      <c r="X681" s="33"/>
      <c r="Y681" s="33">
        <f>IF(Ruimtestaat[[#This Row],[Frequentie weekend]]&gt;0,VALUE(LEFT(X681,1))*Q681,0)</f>
        <v>0</v>
      </c>
      <c r="Z681" s="33">
        <f>IF($Y681&gt;0,VLOOKUP($J681,Ruimtegroepen[],3,FALSE)*VLOOKUP($K681,Vloersoorten[],3,FALSE)*VLOOKUP($X681,Frequenties[],3,FALSE)*VLOOKUP(#REF!,Locaties[],3,FALSE),0)</f>
        <v>0</v>
      </c>
      <c r="AA681" s="33"/>
      <c r="AB681" s="33"/>
      <c r="AC681" s="33">
        <f>Ruimtestaat[[#This Row],[uren / jaar weekend]]*Tariefsopbouw!$D$40</f>
        <v>0</v>
      </c>
      <c r="AD681" s="88">
        <f>Ruimtestaat[[#This Row],[Prest. (m2 /jaar) weekend]]+Ruimtestaat[[#This Row],[Prest. (m2 /jaar) werkdagen]]</f>
        <v>9840</v>
      </c>
      <c r="AE681" s="88">
        <f>Ruimtestaat[[#This Row],[uren / jaar weekend]]+Ruimtestaat[[#This Row],[uren / jaar werkdagen]]</f>
        <v>0</v>
      </c>
      <c r="AF681" s="89">
        <f>Ruimtestaat[[#This Row],[kosten / jaar weekend]]+Ruimtestaat[[#This Row],[kosten / jaar werkdagen]]</f>
        <v>0</v>
      </c>
    </row>
    <row r="682" spans="1:32" ht="15" customHeight="1">
      <c r="A682" s="280">
        <v>5</v>
      </c>
      <c r="B682" s="21" t="str">
        <f>VLOOKUP(Ruimtestaat[[#This Row],[Code]],Locaties[#All],2,FALSE)</f>
        <v>SGC Almelo</v>
      </c>
      <c r="C682" s="281" t="str">
        <f>VLOOKUP(Ruimtestaat[[#This Row],[Code]],Locaties[#All],4,FALSE)</f>
        <v>Slot 31</v>
      </c>
      <c r="D682" s="281" t="str">
        <f>VLOOKUP(Ruimtestaat[[#This Row],[Code]],Locaties[#All],5,FALSE)</f>
        <v>7608 ND</v>
      </c>
      <c r="E682" s="281" t="str">
        <f>VLOOKUP(Ruimtestaat[[#This Row],[Code]],Locaties[#All],6,FALSE)</f>
        <v>Almelo</v>
      </c>
      <c r="F682" s="282"/>
      <c r="G682" s="283" t="s">
        <v>444</v>
      </c>
      <c r="H682" s="280" t="s">
        <v>830</v>
      </c>
      <c r="I682" s="244" t="s">
        <v>455</v>
      </c>
      <c r="J682" s="200">
        <v>10</v>
      </c>
      <c r="K682" s="243" t="s">
        <v>110</v>
      </c>
      <c r="L682" s="291" t="s">
        <v>132</v>
      </c>
      <c r="M682" s="213">
        <v>9.4</v>
      </c>
      <c r="N682" s="202"/>
      <c r="O682" s="243" t="str">
        <f>VLOOKUP(Ruimtestaat[[#This Row],[Ruimte code]],Ruimtegroepen[#All],4,FALSE)</f>
        <v>V  (Verkeersruimte)</v>
      </c>
      <c r="P682" s="214"/>
      <c r="Q682" s="215">
        <v>40</v>
      </c>
      <c r="R682" s="215" t="s">
        <v>2</v>
      </c>
      <c r="S682" s="215">
        <f>IF(R682&gt;0,IF(RIGHT(Ruimtestaat[[#This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2" s="215">
        <f>IF(S682&gt;0,VLOOKUP($J682,Ruimtegroepen[],3,FALSE)*VLOOKUP($K682,Vloersoorten[],3,FALSE)*VLOOKUP($R682,Frequenties[],3,FALSE)*VLOOKUP($A682,Locaties[],3,FALSE),0)</f>
        <v>0</v>
      </c>
      <c r="U682" s="215">
        <f>Ruimtestaat[[#This Row],[Uitvoeringen werkdagen]]*Ruimtestaat[[#This Row],[Oppervlak (netto)]]</f>
        <v>1880</v>
      </c>
      <c r="V682" s="259">
        <f>IF(T682&gt;0,Ruimtestaat[[#This Row],[Prest. (m2 /jaar) werkdagen]]/Ruimtestaat[[#This Row],[Norm (m2/uur) werkdagen]],0)</f>
        <v>0</v>
      </c>
      <c r="W682" s="260">
        <f>Ruimtestaat[[#This Row],[uren / jaar werkdagen]]*Tariefsopbouw!$D$38</f>
        <v>0</v>
      </c>
      <c r="X682" s="33"/>
      <c r="Y682" s="33">
        <f>IF(Ruimtestaat[[#This Row],[Frequentie weekend]]&gt;0,VALUE(LEFT(X682,1))*Q682,0)</f>
        <v>0</v>
      </c>
      <c r="Z682" s="33">
        <f>IF($Y682&gt;0,VLOOKUP($J682,Ruimtegroepen[],3,FALSE)*VLOOKUP($K682,Vloersoorten[],3,FALSE)*VLOOKUP($X682,Frequenties[],3,FALSE)*VLOOKUP(#REF!,Locaties[],3,FALSE),0)</f>
        <v>0</v>
      </c>
      <c r="AA682" s="33"/>
      <c r="AB682" s="33"/>
      <c r="AC682" s="33">
        <f>Ruimtestaat[[#This Row],[uren / jaar weekend]]*Tariefsopbouw!$D$40</f>
        <v>0</v>
      </c>
      <c r="AD682" s="88">
        <f>Ruimtestaat[[#This Row],[Prest. (m2 /jaar) weekend]]+Ruimtestaat[[#This Row],[Prest. (m2 /jaar) werkdagen]]</f>
        <v>1880</v>
      </c>
      <c r="AE682" s="88">
        <f>Ruimtestaat[[#This Row],[uren / jaar weekend]]+Ruimtestaat[[#This Row],[uren / jaar werkdagen]]</f>
        <v>0</v>
      </c>
      <c r="AF682" s="89">
        <f>Ruimtestaat[[#This Row],[kosten / jaar weekend]]+Ruimtestaat[[#This Row],[kosten / jaar werkdagen]]</f>
        <v>0</v>
      </c>
    </row>
    <row r="683" spans="1:32" ht="15" customHeight="1">
      <c r="A683" s="280">
        <v>5</v>
      </c>
      <c r="B683" s="21" t="str">
        <f>VLOOKUP(Ruimtestaat[[#This Row],[Code]],Locaties[#All],2,FALSE)</f>
        <v>SGC Almelo</v>
      </c>
      <c r="C683" s="281" t="str">
        <f>VLOOKUP(Ruimtestaat[[#This Row],[Code]],Locaties[#All],4,FALSE)</f>
        <v>Slot 31</v>
      </c>
      <c r="D683" s="281" t="str">
        <f>VLOOKUP(Ruimtestaat[[#This Row],[Code]],Locaties[#All],5,FALSE)</f>
        <v>7608 ND</v>
      </c>
      <c r="E683" s="281" t="str">
        <f>VLOOKUP(Ruimtestaat[[#This Row],[Code]],Locaties[#All],6,FALSE)</f>
        <v>Almelo</v>
      </c>
      <c r="F683" s="282"/>
      <c r="G683" s="283" t="s">
        <v>444</v>
      </c>
      <c r="H683" s="280" t="s">
        <v>500</v>
      </c>
      <c r="I683" s="282" t="s">
        <v>1049</v>
      </c>
      <c r="J683" s="200">
        <v>16</v>
      </c>
      <c r="K683" s="243" t="s">
        <v>110</v>
      </c>
      <c r="L683" s="291" t="s">
        <v>132</v>
      </c>
      <c r="M683" s="213">
        <v>67.33</v>
      </c>
      <c r="N683" s="202"/>
      <c r="O683" s="243" t="str">
        <f>VLOOKUP(Ruimtestaat[[#This Row],[Ruimte code]],Ruimtegroepen[#All],4,FALSE)</f>
        <v>L  (Lesruimte)</v>
      </c>
      <c r="P683" s="214"/>
      <c r="Q683" s="215">
        <v>40</v>
      </c>
      <c r="R683" s="215" t="s">
        <v>2</v>
      </c>
      <c r="S683" s="215">
        <f>IF(R683&gt;0,IF(RIGHT(Ruimtestaat[[#This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3" s="215">
        <f>IF(S683&gt;0,VLOOKUP($J683,Ruimtegroepen[],3,FALSE)*VLOOKUP($K683,Vloersoorten[],3,FALSE)*VLOOKUP($R683,Frequenties[],3,FALSE)*VLOOKUP($A683,Locaties[],3,FALSE),0)</f>
        <v>0</v>
      </c>
      <c r="U683" s="215">
        <f>Ruimtestaat[[#This Row],[Uitvoeringen werkdagen]]*Ruimtestaat[[#This Row],[Oppervlak (netto)]]</f>
        <v>13466</v>
      </c>
      <c r="V683" s="259">
        <f>IF(T683&gt;0,Ruimtestaat[[#This Row],[Prest. (m2 /jaar) werkdagen]]/Ruimtestaat[[#This Row],[Norm (m2/uur) werkdagen]],0)</f>
        <v>0</v>
      </c>
      <c r="W683" s="260">
        <f>Ruimtestaat[[#This Row],[uren / jaar werkdagen]]*Tariefsopbouw!$D$38</f>
        <v>0</v>
      </c>
      <c r="X683" s="33"/>
      <c r="Y683" s="33">
        <f>IF(Ruimtestaat[[#This Row],[Frequentie weekend]]&gt;0,VALUE(LEFT(X683,1))*Q683,0)</f>
        <v>0</v>
      </c>
      <c r="Z683" s="33">
        <f>IF($Y683&gt;0,VLOOKUP($J683,Ruimtegroepen[],3,FALSE)*VLOOKUP($K683,Vloersoorten[],3,FALSE)*VLOOKUP($X683,Frequenties[],3,FALSE)*VLOOKUP(#REF!,Locaties[],3,FALSE),0)</f>
        <v>0</v>
      </c>
      <c r="AA683" s="33"/>
      <c r="AB683" s="33"/>
      <c r="AC683" s="33">
        <f>Ruimtestaat[[#This Row],[uren / jaar weekend]]*Tariefsopbouw!$D$40</f>
        <v>0</v>
      </c>
      <c r="AD683" s="88">
        <f>Ruimtestaat[[#This Row],[Prest. (m2 /jaar) weekend]]+Ruimtestaat[[#This Row],[Prest. (m2 /jaar) werkdagen]]</f>
        <v>13466</v>
      </c>
      <c r="AE683" s="88">
        <f>Ruimtestaat[[#This Row],[uren / jaar weekend]]+Ruimtestaat[[#This Row],[uren / jaar werkdagen]]</f>
        <v>0</v>
      </c>
      <c r="AF683" s="89">
        <f>Ruimtestaat[[#This Row],[kosten / jaar weekend]]+Ruimtestaat[[#This Row],[kosten / jaar werkdagen]]</f>
        <v>0</v>
      </c>
    </row>
    <row r="684" spans="1:32" ht="15" customHeight="1">
      <c r="A684" s="280">
        <v>5</v>
      </c>
      <c r="B684" s="21" t="str">
        <f>VLOOKUP(Ruimtestaat[[#This Row],[Code]],Locaties[#All],2,FALSE)</f>
        <v>SGC Almelo</v>
      </c>
      <c r="C684" s="281" t="str">
        <f>VLOOKUP(Ruimtestaat[[#This Row],[Code]],Locaties[#All],4,FALSE)</f>
        <v>Slot 31</v>
      </c>
      <c r="D684" s="281" t="str">
        <f>VLOOKUP(Ruimtestaat[[#This Row],[Code]],Locaties[#All],5,FALSE)</f>
        <v>7608 ND</v>
      </c>
      <c r="E684" s="281" t="str">
        <f>VLOOKUP(Ruimtestaat[[#This Row],[Code]],Locaties[#All],6,FALSE)</f>
        <v>Almelo</v>
      </c>
      <c r="F684" s="282"/>
      <c r="G684" s="283" t="s">
        <v>444</v>
      </c>
      <c r="H684" s="280" t="s">
        <v>831</v>
      </c>
      <c r="I684" s="282" t="s">
        <v>469</v>
      </c>
      <c r="J684" s="200">
        <v>6</v>
      </c>
      <c r="K684" s="243" t="s">
        <v>110</v>
      </c>
      <c r="L684" s="291" t="s">
        <v>132</v>
      </c>
      <c r="M684" s="213">
        <v>93.02</v>
      </c>
      <c r="N684" s="202"/>
      <c r="O684" s="243" t="str">
        <f>VLOOKUP(Ruimtestaat[[#This Row],[Ruimte code]],Ruimtegroepen[#All],4,FALSE)</f>
        <v>V  (Verkeersruimte)</v>
      </c>
      <c r="P684" s="214"/>
      <c r="Q684" s="215">
        <v>40</v>
      </c>
      <c r="R684" s="215" t="s">
        <v>2</v>
      </c>
      <c r="S684" s="215">
        <f>IF(R684&gt;0,IF(RIGHT(Ruimtestaat[[#This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4" s="215">
        <f>IF(S684&gt;0,VLOOKUP($J684,Ruimtegroepen[],3,FALSE)*VLOOKUP($K684,Vloersoorten[],3,FALSE)*VLOOKUP($R684,Frequenties[],3,FALSE)*VLOOKUP($A684,Locaties[],3,FALSE),0)</f>
        <v>0</v>
      </c>
      <c r="U684" s="215">
        <f>Ruimtestaat[[#This Row],[Uitvoeringen werkdagen]]*Ruimtestaat[[#This Row],[Oppervlak (netto)]]</f>
        <v>18604</v>
      </c>
      <c r="V684" s="259">
        <f>IF(T684&gt;0,Ruimtestaat[[#This Row],[Prest. (m2 /jaar) werkdagen]]/Ruimtestaat[[#This Row],[Norm (m2/uur) werkdagen]],0)</f>
        <v>0</v>
      </c>
      <c r="W684" s="260">
        <f>Ruimtestaat[[#This Row],[uren / jaar werkdagen]]*Tariefsopbouw!$D$38</f>
        <v>0</v>
      </c>
      <c r="X684" s="33"/>
      <c r="Y684" s="33">
        <f>IF(Ruimtestaat[[#This Row],[Frequentie weekend]]&gt;0,VALUE(LEFT(X684,1))*Q684,0)</f>
        <v>0</v>
      </c>
      <c r="Z684" s="33">
        <f>IF($Y684&gt;0,VLOOKUP($J684,Ruimtegroepen[],3,FALSE)*VLOOKUP($K684,Vloersoorten[],3,FALSE)*VLOOKUP($X684,Frequenties[],3,FALSE)*VLOOKUP(#REF!,Locaties[],3,FALSE),0)</f>
        <v>0</v>
      </c>
      <c r="AA684" s="33"/>
      <c r="AB684" s="33"/>
      <c r="AC684" s="33">
        <f>Ruimtestaat[[#This Row],[uren / jaar weekend]]*Tariefsopbouw!$D$40</f>
        <v>0</v>
      </c>
      <c r="AD684" s="88">
        <f>Ruimtestaat[[#This Row],[Prest. (m2 /jaar) weekend]]+Ruimtestaat[[#This Row],[Prest. (m2 /jaar) werkdagen]]</f>
        <v>18604</v>
      </c>
      <c r="AE684" s="88">
        <f>Ruimtestaat[[#This Row],[uren / jaar weekend]]+Ruimtestaat[[#This Row],[uren / jaar werkdagen]]</f>
        <v>0</v>
      </c>
      <c r="AF684" s="89">
        <f>Ruimtestaat[[#This Row],[kosten / jaar weekend]]+Ruimtestaat[[#This Row],[kosten / jaar werkdagen]]</f>
        <v>0</v>
      </c>
    </row>
    <row r="685" spans="1:32" ht="15" customHeight="1">
      <c r="A685" s="280">
        <v>5</v>
      </c>
      <c r="B685" s="21" t="str">
        <f>VLOOKUP(Ruimtestaat[[#This Row],[Code]],Locaties[#All],2,FALSE)</f>
        <v>SGC Almelo</v>
      </c>
      <c r="C685" s="281" t="str">
        <f>VLOOKUP(Ruimtestaat[[#This Row],[Code]],Locaties[#All],4,FALSE)</f>
        <v>Slot 31</v>
      </c>
      <c r="D685" s="281" t="str">
        <f>VLOOKUP(Ruimtestaat[[#This Row],[Code]],Locaties[#All],5,FALSE)</f>
        <v>7608 ND</v>
      </c>
      <c r="E685" s="281" t="str">
        <f>VLOOKUP(Ruimtestaat[[#This Row],[Code]],Locaties[#All],6,FALSE)</f>
        <v>Almelo</v>
      </c>
      <c r="F685" s="282"/>
      <c r="G685" s="283" t="s">
        <v>444</v>
      </c>
      <c r="H685" s="280" t="s">
        <v>502</v>
      </c>
      <c r="I685" s="282" t="s">
        <v>396</v>
      </c>
      <c r="J685" s="200">
        <v>16</v>
      </c>
      <c r="K685" s="243" t="s">
        <v>110</v>
      </c>
      <c r="L685" s="291" t="s">
        <v>132</v>
      </c>
      <c r="M685" s="213">
        <v>49.2</v>
      </c>
      <c r="N685" s="202"/>
      <c r="O685" s="243" t="str">
        <f>VLOOKUP(Ruimtestaat[[#This Row],[Ruimte code]],Ruimtegroepen[#All],4,FALSE)</f>
        <v>L  (Lesruimte)</v>
      </c>
      <c r="P685" s="214"/>
      <c r="Q685" s="215">
        <v>40</v>
      </c>
      <c r="R685" s="215" t="s">
        <v>2</v>
      </c>
      <c r="S685" s="215">
        <f>IF(R685&gt;0,IF(RIGHT(Ruimtestaat[[#This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5" s="215">
        <f>IF(S685&gt;0,VLOOKUP($J685,Ruimtegroepen[],3,FALSE)*VLOOKUP($K685,Vloersoorten[],3,FALSE)*VLOOKUP($R685,Frequenties[],3,FALSE)*VLOOKUP($A685,Locaties[],3,FALSE),0)</f>
        <v>0</v>
      </c>
      <c r="U685" s="215">
        <f>Ruimtestaat[[#This Row],[Uitvoeringen werkdagen]]*Ruimtestaat[[#This Row],[Oppervlak (netto)]]</f>
        <v>9840</v>
      </c>
      <c r="V685" s="259">
        <f>IF(T685&gt;0,Ruimtestaat[[#This Row],[Prest. (m2 /jaar) werkdagen]]/Ruimtestaat[[#This Row],[Norm (m2/uur) werkdagen]],0)</f>
        <v>0</v>
      </c>
      <c r="W685" s="260">
        <f>Ruimtestaat[[#This Row],[uren / jaar werkdagen]]*Tariefsopbouw!$D$38</f>
        <v>0</v>
      </c>
      <c r="X685" s="33"/>
      <c r="Y685" s="33">
        <f>IF(Ruimtestaat[[#This Row],[Frequentie weekend]]&gt;0,VALUE(LEFT(X685,1))*Q685,0)</f>
        <v>0</v>
      </c>
      <c r="Z685" s="33">
        <f>IF($Y685&gt;0,VLOOKUP($J685,Ruimtegroepen[],3,FALSE)*VLOOKUP($K685,Vloersoorten[],3,FALSE)*VLOOKUP($X685,Frequenties[],3,FALSE)*VLOOKUP(#REF!,Locaties[],3,FALSE),0)</f>
        <v>0</v>
      </c>
      <c r="AA685" s="33"/>
      <c r="AB685" s="33"/>
      <c r="AC685" s="33">
        <f>Ruimtestaat[[#This Row],[uren / jaar weekend]]*Tariefsopbouw!$D$40</f>
        <v>0</v>
      </c>
      <c r="AD685" s="88">
        <f>Ruimtestaat[[#This Row],[Prest. (m2 /jaar) weekend]]+Ruimtestaat[[#This Row],[Prest. (m2 /jaar) werkdagen]]</f>
        <v>9840</v>
      </c>
      <c r="AE685" s="88">
        <f>Ruimtestaat[[#This Row],[uren / jaar weekend]]+Ruimtestaat[[#This Row],[uren / jaar werkdagen]]</f>
        <v>0</v>
      </c>
      <c r="AF685" s="89">
        <f>Ruimtestaat[[#This Row],[kosten / jaar weekend]]+Ruimtestaat[[#This Row],[kosten / jaar werkdagen]]</f>
        <v>0</v>
      </c>
    </row>
    <row r="686" spans="1:32" ht="15" customHeight="1">
      <c r="A686" s="280">
        <v>5</v>
      </c>
      <c r="B686" s="21" t="str">
        <f>VLOOKUP(Ruimtestaat[[#This Row],[Code]],Locaties[#All],2,FALSE)</f>
        <v>SGC Almelo</v>
      </c>
      <c r="C686" s="281" t="str">
        <f>VLOOKUP(Ruimtestaat[[#This Row],[Code]],Locaties[#All],4,FALSE)</f>
        <v>Slot 31</v>
      </c>
      <c r="D686" s="281" t="str">
        <f>VLOOKUP(Ruimtestaat[[#This Row],[Code]],Locaties[#All],5,FALSE)</f>
        <v>7608 ND</v>
      </c>
      <c r="E686" s="281" t="str">
        <f>VLOOKUP(Ruimtestaat[[#This Row],[Code]],Locaties[#All],6,FALSE)</f>
        <v>Almelo</v>
      </c>
      <c r="F686" s="282"/>
      <c r="G686" s="283" t="s">
        <v>444</v>
      </c>
      <c r="H686" s="280" t="s">
        <v>504</v>
      </c>
      <c r="I686" s="244" t="s">
        <v>396</v>
      </c>
      <c r="J686" s="200">
        <v>16</v>
      </c>
      <c r="K686" s="243" t="s">
        <v>110</v>
      </c>
      <c r="L686" s="291" t="s">
        <v>132</v>
      </c>
      <c r="M686" s="213">
        <v>51.16</v>
      </c>
      <c r="N686" s="202"/>
      <c r="O686" s="243" t="str">
        <f>VLOOKUP(Ruimtestaat[[#This Row],[Ruimte code]],Ruimtegroepen[#All],4,FALSE)</f>
        <v>L  (Lesruimte)</v>
      </c>
      <c r="P686" s="214"/>
      <c r="Q686" s="215">
        <v>40</v>
      </c>
      <c r="R686" s="215" t="s">
        <v>2</v>
      </c>
      <c r="S686" s="215">
        <f>IF(R686&gt;0,IF(RIGHT(Ruimtestaat[[#This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6" s="215">
        <f>IF(S686&gt;0,VLOOKUP($J686,Ruimtegroepen[],3,FALSE)*VLOOKUP($K686,Vloersoorten[],3,FALSE)*VLOOKUP($R686,Frequenties[],3,FALSE)*VLOOKUP($A686,Locaties[],3,FALSE),0)</f>
        <v>0</v>
      </c>
      <c r="U686" s="215">
        <f>Ruimtestaat[[#This Row],[Uitvoeringen werkdagen]]*Ruimtestaat[[#This Row],[Oppervlak (netto)]]</f>
        <v>10232</v>
      </c>
      <c r="V686" s="259">
        <f>IF(T686&gt;0,Ruimtestaat[[#This Row],[Prest. (m2 /jaar) werkdagen]]/Ruimtestaat[[#This Row],[Norm (m2/uur) werkdagen]],0)</f>
        <v>0</v>
      </c>
      <c r="W686" s="260">
        <f>Ruimtestaat[[#This Row],[uren / jaar werkdagen]]*Tariefsopbouw!$D$38</f>
        <v>0</v>
      </c>
      <c r="X686" s="33"/>
      <c r="Y686" s="33">
        <f>IF(Ruimtestaat[[#This Row],[Frequentie weekend]]&gt;0,VALUE(LEFT(X686,1))*Q686,0)</f>
        <v>0</v>
      </c>
      <c r="Z686" s="33">
        <f>IF($Y686&gt;0,VLOOKUP($J686,Ruimtegroepen[],3,FALSE)*VLOOKUP($K686,Vloersoorten[],3,FALSE)*VLOOKUP($X686,Frequenties[],3,FALSE)*VLOOKUP(#REF!,Locaties[],3,FALSE),0)</f>
        <v>0</v>
      </c>
      <c r="AA686" s="33"/>
      <c r="AB686" s="33"/>
      <c r="AC686" s="33">
        <f>Ruimtestaat[[#This Row],[uren / jaar weekend]]*Tariefsopbouw!$D$40</f>
        <v>0</v>
      </c>
      <c r="AD686" s="88">
        <f>Ruimtestaat[[#This Row],[Prest. (m2 /jaar) weekend]]+Ruimtestaat[[#This Row],[Prest. (m2 /jaar) werkdagen]]</f>
        <v>10232</v>
      </c>
      <c r="AE686" s="88">
        <f>Ruimtestaat[[#This Row],[uren / jaar weekend]]+Ruimtestaat[[#This Row],[uren / jaar werkdagen]]</f>
        <v>0</v>
      </c>
      <c r="AF686" s="89">
        <f>Ruimtestaat[[#This Row],[kosten / jaar weekend]]+Ruimtestaat[[#This Row],[kosten / jaar werkdagen]]</f>
        <v>0</v>
      </c>
    </row>
    <row r="687" spans="1:32" ht="15" customHeight="1">
      <c r="A687" s="280">
        <v>5</v>
      </c>
      <c r="B687" s="21" t="str">
        <f>VLOOKUP(Ruimtestaat[[#This Row],[Code]],Locaties[#All],2,FALSE)</f>
        <v>SGC Almelo</v>
      </c>
      <c r="C687" s="281" t="str">
        <f>VLOOKUP(Ruimtestaat[[#This Row],[Code]],Locaties[#All],4,FALSE)</f>
        <v>Slot 31</v>
      </c>
      <c r="D687" s="281" t="str">
        <f>VLOOKUP(Ruimtestaat[[#This Row],[Code]],Locaties[#All],5,FALSE)</f>
        <v>7608 ND</v>
      </c>
      <c r="E687" s="281" t="str">
        <f>VLOOKUP(Ruimtestaat[[#This Row],[Code]],Locaties[#All],6,FALSE)</f>
        <v>Almelo</v>
      </c>
      <c r="F687" s="282"/>
      <c r="G687" s="283" t="s">
        <v>444</v>
      </c>
      <c r="H687" s="280">
        <v>49</v>
      </c>
      <c r="I687" s="282" t="s">
        <v>1049</v>
      </c>
      <c r="J687" s="200">
        <v>16</v>
      </c>
      <c r="K687" s="243" t="s">
        <v>110</v>
      </c>
      <c r="L687" s="291" t="s">
        <v>132</v>
      </c>
      <c r="M687" s="213">
        <v>68.98</v>
      </c>
      <c r="N687" s="202"/>
      <c r="O687" s="243" t="str">
        <f>VLOOKUP(Ruimtestaat[[#This Row],[Ruimte code]],Ruimtegroepen[#All],4,FALSE)</f>
        <v>L  (Lesruimte)</v>
      </c>
      <c r="P687" s="214"/>
      <c r="Q687" s="215">
        <v>40</v>
      </c>
      <c r="R687" s="215" t="s">
        <v>2</v>
      </c>
      <c r="S687" s="215">
        <f>IF(R687&gt;0,IF(RIGHT(Ruimtestaat[[#This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7" s="215">
        <f>IF(S687&gt;0,VLOOKUP($J687,Ruimtegroepen[],3,FALSE)*VLOOKUP($K687,Vloersoorten[],3,FALSE)*VLOOKUP($R687,Frequenties[],3,FALSE)*VLOOKUP($A687,Locaties[],3,FALSE),0)</f>
        <v>0</v>
      </c>
      <c r="U687" s="215">
        <f>Ruimtestaat[[#This Row],[Uitvoeringen werkdagen]]*Ruimtestaat[[#This Row],[Oppervlak (netto)]]</f>
        <v>13796</v>
      </c>
      <c r="V687" s="259">
        <f>IF(T687&gt;0,Ruimtestaat[[#This Row],[Prest. (m2 /jaar) werkdagen]]/Ruimtestaat[[#This Row],[Norm (m2/uur) werkdagen]],0)</f>
        <v>0</v>
      </c>
      <c r="W687" s="260">
        <f>Ruimtestaat[[#This Row],[uren / jaar werkdagen]]*Tariefsopbouw!$D$38</f>
        <v>0</v>
      </c>
      <c r="X687" s="33"/>
      <c r="Y687" s="33">
        <f>IF(Ruimtestaat[[#This Row],[Frequentie weekend]]&gt;0,VALUE(LEFT(X687,1))*Q687,0)</f>
        <v>0</v>
      </c>
      <c r="Z687" s="33">
        <f>IF($Y687&gt;0,VLOOKUP($J687,Ruimtegroepen[],3,FALSE)*VLOOKUP($K687,Vloersoorten[],3,FALSE)*VLOOKUP($X687,Frequenties[],3,FALSE)*VLOOKUP(#REF!,Locaties[],3,FALSE),0)</f>
        <v>0</v>
      </c>
      <c r="AA687" s="33"/>
      <c r="AB687" s="33"/>
      <c r="AC687" s="33">
        <f>Ruimtestaat[[#This Row],[uren / jaar weekend]]*Tariefsopbouw!$D$40</f>
        <v>0</v>
      </c>
      <c r="AD687" s="88">
        <f>Ruimtestaat[[#This Row],[Prest. (m2 /jaar) weekend]]+Ruimtestaat[[#This Row],[Prest. (m2 /jaar) werkdagen]]</f>
        <v>13796</v>
      </c>
      <c r="AE687" s="88">
        <f>Ruimtestaat[[#This Row],[uren / jaar weekend]]+Ruimtestaat[[#This Row],[uren / jaar werkdagen]]</f>
        <v>0</v>
      </c>
      <c r="AF687" s="89">
        <f>Ruimtestaat[[#This Row],[kosten / jaar weekend]]+Ruimtestaat[[#This Row],[kosten / jaar werkdagen]]</f>
        <v>0</v>
      </c>
    </row>
    <row r="688" spans="1:32" ht="15" customHeight="1">
      <c r="A688" s="280">
        <v>5</v>
      </c>
      <c r="B688" s="21" t="str">
        <f>VLOOKUP(Ruimtestaat[[#This Row],[Code]],Locaties[#All],2,FALSE)</f>
        <v>SGC Almelo</v>
      </c>
      <c r="C688" s="281" t="str">
        <f>VLOOKUP(Ruimtestaat[[#This Row],[Code]],Locaties[#All],4,FALSE)</f>
        <v>Slot 31</v>
      </c>
      <c r="D688" s="281" t="str">
        <f>VLOOKUP(Ruimtestaat[[#This Row],[Code]],Locaties[#All],5,FALSE)</f>
        <v>7608 ND</v>
      </c>
      <c r="E688" s="281" t="str">
        <f>VLOOKUP(Ruimtestaat[[#This Row],[Code]],Locaties[#All],6,FALSE)</f>
        <v>Almelo</v>
      </c>
      <c r="F688" s="282"/>
      <c r="G688" s="283" t="s">
        <v>444</v>
      </c>
      <c r="H688" s="280">
        <v>50</v>
      </c>
      <c r="I688" s="282" t="s">
        <v>396</v>
      </c>
      <c r="J688" s="200">
        <v>16</v>
      </c>
      <c r="K688" s="243" t="s">
        <v>110</v>
      </c>
      <c r="L688" s="202" t="s">
        <v>132</v>
      </c>
      <c r="M688" s="213">
        <v>51.54</v>
      </c>
      <c r="N688" s="213"/>
      <c r="O688" s="243" t="str">
        <f>VLOOKUP(Ruimtestaat[[#This Row],[Ruimte code]],Ruimtegroepen[#All],4,FALSE)</f>
        <v>L  (Lesruimte)</v>
      </c>
      <c r="P688" s="214"/>
      <c r="Q688" s="215">
        <v>40</v>
      </c>
      <c r="R688" s="215" t="s">
        <v>2</v>
      </c>
      <c r="S688" s="215">
        <f>IF(R688&gt;0,IF(RIGHT(Ruimtestaat[[#This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88" s="215">
        <f>IF(S688&gt;0,VLOOKUP($J688,Ruimtegroepen[],3,FALSE)*VLOOKUP($K688,Vloersoorten[],3,FALSE)*VLOOKUP($R688,Frequenties[],3,FALSE)*VLOOKUP($A688,Locaties[],3,FALSE),0)</f>
        <v>0</v>
      </c>
      <c r="U688" s="215">
        <f>Ruimtestaat[[#This Row],[Uitvoeringen werkdagen]]*Ruimtestaat[[#This Row],[Oppervlak (netto)]]</f>
        <v>10308</v>
      </c>
      <c r="V688" s="259">
        <f>IF(T688&gt;0,Ruimtestaat[[#This Row],[Prest. (m2 /jaar) werkdagen]]/Ruimtestaat[[#This Row],[Norm (m2/uur) werkdagen]],0)</f>
        <v>0</v>
      </c>
      <c r="W688" s="260">
        <f>Ruimtestaat[[#This Row],[uren / jaar werkdagen]]*Tariefsopbouw!$D$38</f>
        <v>0</v>
      </c>
      <c r="X688" s="33"/>
      <c r="Y688" s="33">
        <f>IF(Ruimtestaat[[#This Row],[Frequentie weekend]]&gt;0,VALUE(LEFT(X688,1))*Q688,0)</f>
        <v>0</v>
      </c>
      <c r="Z688" s="33">
        <f>IF($Y688&gt;0,VLOOKUP($J688,Ruimtegroepen[],3,FALSE)*VLOOKUP($K688,Vloersoorten[],3,FALSE)*VLOOKUP($X688,Frequenties[],3,FALSE)*VLOOKUP(#REF!,Locaties[],3,FALSE),0)</f>
        <v>0</v>
      </c>
      <c r="AA688" s="33"/>
      <c r="AB688" s="33"/>
      <c r="AC688" s="33">
        <f>Ruimtestaat[[#This Row],[uren / jaar weekend]]*Tariefsopbouw!$D$40</f>
        <v>0</v>
      </c>
      <c r="AD688" s="88">
        <f>Ruimtestaat[[#This Row],[Prest. (m2 /jaar) weekend]]+Ruimtestaat[[#This Row],[Prest. (m2 /jaar) werkdagen]]</f>
        <v>10308</v>
      </c>
      <c r="AE688" s="88">
        <f>Ruimtestaat[[#This Row],[uren / jaar weekend]]+Ruimtestaat[[#This Row],[uren / jaar werkdagen]]</f>
        <v>0</v>
      </c>
      <c r="AF688" s="89">
        <f>Ruimtestaat[[#This Row],[kosten / jaar weekend]]+Ruimtestaat[[#This Row],[kosten / jaar werkdagen]]</f>
        <v>0</v>
      </c>
    </row>
    <row r="689" spans="1:32" ht="15" customHeight="1">
      <c r="A689" s="280">
        <v>5</v>
      </c>
      <c r="B689" s="21" t="str">
        <f>VLOOKUP(Ruimtestaat[[#This Row],[Code]],Locaties[#All],2,FALSE)</f>
        <v>SGC Almelo</v>
      </c>
      <c r="C689" s="281" t="str">
        <f>VLOOKUP(Ruimtestaat[[#This Row],[Code]],Locaties[#All],4,FALSE)</f>
        <v>Slot 31</v>
      </c>
      <c r="D689" s="281" t="str">
        <f>VLOOKUP(Ruimtestaat[[#This Row],[Code]],Locaties[#All],5,FALSE)</f>
        <v>7608 ND</v>
      </c>
      <c r="E689" s="281" t="str">
        <f>VLOOKUP(Ruimtestaat[[#This Row],[Code]],Locaties[#All],6,FALSE)</f>
        <v>Almelo</v>
      </c>
      <c r="F689" s="282"/>
      <c r="G689" s="283" t="s">
        <v>444</v>
      </c>
      <c r="H689" s="280" t="s">
        <v>744</v>
      </c>
      <c r="I689" s="282" t="s">
        <v>447</v>
      </c>
      <c r="J689" s="200">
        <v>21</v>
      </c>
      <c r="K689" s="243" t="s">
        <v>110</v>
      </c>
      <c r="L689" s="291" t="s">
        <v>132</v>
      </c>
      <c r="M689" s="213"/>
      <c r="N689" s="202">
        <v>9.3699999999999992</v>
      </c>
      <c r="O689" s="243" t="str">
        <f>VLOOKUP(Ruimtestaat[[#This Row],[Ruimte code]],Ruimtegroepen[#All],4,FALSE)</f>
        <v>Niet in onderhoud</v>
      </c>
      <c r="P689" s="214"/>
      <c r="Q689" s="215"/>
      <c r="R689" s="215"/>
      <c r="S689" s="215">
        <f>IF(R689&gt;0,IF(RIGHT(Ruimtestaat[[#This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89" s="215">
        <f>IF(S689&gt;0,VLOOKUP($J689,Ruimtegroepen[],3,FALSE)*VLOOKUP($K689,Vloersoorten[],3,FALSE)*VLOOKUP($R689,Frequenties[],3,FALSE)*VLOOKUP($A689,Locaties[],3,FALSE),0)</f>
        <v>0</v>
      </c>
      <c r="U689" s="215">
        <f>Ruimtestaat[[#This Row],[Uitvoeringen werkdagen]]*Ruimtestaat[[#This Row],[Oppervlak (netto)]]</f>
        <v>0</v>
      </c>
      <c r="V689" s="259">
        <f>IF(T689&gt;0,Ruimtestaat[[#This Row],[Prest. (m2 /jaar) werkdagen]]/Ruimtestaat[[#This Row],[Norm (m2/uur) werkdagen]],0)</f>
        <v>0</v>
      </c>
      <c r="W689" s="260">
        <f>Ruimtestaat[[#This Row],[uren / jaar werkdagen]]*Tariefsopbouw!$D$38</f>
        <v>0</v>
      </c>
      <c r="X689" s="33"/>
      <c r="Y689" s="33">
        <f>IF(Ruimtestaat[[#This Row],[Frequentie weekend]]&gt;0,VALUE(LEFT(X689,1))*Q689,0)</f>
        <v>0</v>
      </c>
      <c r="Z689" s="33">
        <f>IF($Y689&gt;0,VLOOKUP($J689,Ruimtegroepen[],3,FALSE)*VLOOKUP($K689,Vloersoorten[],3,FALSE)*VLOOKUP($X689,Frequenties[],3,FALSE)*VLOOKUP(#REF!,Locaties[],3,FALSE),0)</f>
        <v>0</v>
      </c>
      <c r="AA689" s="33"/>
      <c r="AB689" s="33"/>
      <c r="AC689" s="33">
        <f>Ruimtestaat[[#This Row],[uren / jaar weekend]]*Tariefsopbouw!$D$40</f>
        <v>0</v>
      </c>
      <c r="AD689" s="88">
        <f>Ruimtestaat[[#This Row],[Prest. (m2 /jaar) weekend]]+Ruimtestaat[[#This Row],[Prest. (m2 /jaar) werkdagen]]</f>
        <v>0</v>
      </c>
      <c r="AE689" s="88">
        <f>Ruimtestaat[[#This Row],[uren / jaar weekend]]+Ruimtestaat[[#This Row],[uren / jaar werkdagen]]</f>
        <v>0</v>
      </c>
      <c r="AF689" s="89">
        <f>Ruimtestaat[[#This Row],[kosten / jaar weekend]]+Ruimtestaat[[#This Row],[kosten / jaar werkdagen]]</f>
        <v>0</v>
      </c>
    </row>
    <row r="690" spans="1:32" ht="15" customHeight="1">
      <c r="A690" s="280">
        <v>5</v>
      </c>
      <c r="B690" s="21" t="str">
        <f>VLOOKUP(Ruimtestaat[[#This Row],[Code]],Locaties[#All],2,FALSE)</f>
        <v>SGC Almelo</v>
      </c>
      <c r="C690" s="281" t="str">
        <f>VLOOKUP(Ruimtestaat[[#This Row],[Code]],Locaties[#All],4,FALSE)</f>
        <v>Slot 31</v>
      </c>
      <c r="D690" s="281" t="str">
        <f>VLOOKUP(Ruimtestaat[[#This Row],[Code]],Locaties[#All],5,FALSE)</f>
        <v>7608 ND</v>
      </c>
      <c r="E690" s="281" t="str">
        <f>VLOOKUP(Ruimtestaat[[#This Row],[Code]],Locaties[#All],6,FALSE)</f>
        <v>Almelo</v>
      </c>
      <c r="F690" s="282"/>
      <c r="G690" s="283" t="s">
        <v>444</v>
      </c>
      <c r="H690" s="280" t="s">
        <v>832</v>
      </c>
      <c r="I690" s="282" t="s">
        <v>272</v>
      </c>
      <c r="J690" s="200">
        <v>10</v>
      </c>
      <c r="K690" s="243" t="s">
        <v>110</v>
      </c>
      <c r="L690" s="291" t="s">
        <v>132</v>
      </c>
      <c r="M690" s="213">
        <v>5.39</v>
      </c>
      <c r="N690" s="202"/>
      <c r="O690" s="243" t="str">
        <f>VLOOKUP(Ruimtestaat[[#This Row],[Ruimte code]],Ruimtegroepen[#All],4,FALSE)</f>
        <v>V  (Verkeersruimte)</v>
      </c>
      <c r="P690" s="214"/>
      <c r="Q690" s="215">
        <v>40</v>
      </c>
      <c r="R690" s="215" t="s">
        <v>2</v>
      </c>
      <c r="S690" s="215">
        <f>IF(R690&gt;0,IF(RIGHT(Ruimtestaat[[#This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0" s="215">
        <f>IF(S690&gt;0,VLOOKUP($J690,Ruimtegroepen[],3,FALSE)*VLOOKUP($K690,Vloersoorten[],3,FALSE)*VLOOKUP($R690,Frequenties[],3,FALSE)*VLOOKUP($A690,Locaties[],3,FALSE),0)</f>
        <v>0</v>
      </c>
      <c r="U690" s="215">
        <f>Ruimtestaat[[#This Row],[Uitvoeringen werkdagen]]*Ruimtestaat[[#This Row],[Oppervlak (netto)]]</f>
        <v>1078</v>
      </c>
      <c r="V690" s="259">
        <f>IF(T690&gt;0,Ruimtestaat[[#This Row],[Prest. (m2 /jaar) werkdagen]]/Ruimtestaat[[#This Row],[Norm (m2/uur) werkdagen]],0)</f>
        <v>0</v>
      </c>
      <c r="W690" s="260">
        <f>Ruimtestaat[[#This Row],[uren / jaar werkdagen]]*Tariefsopbouw!$D$38</f>
        <v>0</v>
      </c>
      <c r="X690" s="33"/>
      <c r="Y690" s="33">
        <f>IF(Ruimtestaat[[#This Row],[Frequentie weekend]]&gt;0,VALUE(LEFT(X690,1))*Q690,0)</f>
        <v>0</v>
      </c>
      <c r="Z690" s="33">
        <f>IF($Y690&gt;0,VLOOKUP($J690,Ruimtegroepen[],3,FALSE)*VLOOKUP($K690,Vloersoorten[],3,FALSE)*VLOOKUP($X690,Frequenties[],3,FALSE)*VLOOKUP(#REF!,Locaties[],3,FALSE),0)</f>
        <v>0</v>
      </c>
      <c r="AA690" s="33"/>
      <c r="AB690" s="33"/>
      <c r="AC690" s="33">
        <f>Ruimtestaat[[#This Row],[uren / jaar weekend]]*Tariefsopbouw!$D$40</f>
        <v>0</v>
      </c>
      <c r="AD690" s="88">
        <f>Ruimtestaat[[#This Row],[Prest. (m2 /jaar) weekend]]+Ruimtestaat[[#This Row],[Prest. (m2 /jaar) werkdagen]]</f>
        <v>1078</v>
      </c>
      <c r="AE690" s="88">
        <f>Ruimtestaat[[#This Row],[uren / jaar weekend]]+Ruimtestaat[[#This Row],[uren / jaar werkdagen]]</f>
        <v>0</v>
      </c>
      <c r="AF690" s="89">
        <f>Ruimtestaat[[#This Row],[kosten / jaar weekend]]+Ruimtestaat[[#This Row],[kosten / jaar werkdagen]]</f>
        <v>0</v>
      </c>
    </row>
    <row r="691" spans="1:32" ht="15" customHeight="1">
      <c r="A691" s="280">
        <v>5</v>
      </c>
      <c r="B691" s="21" t="str">
        <f>VLOOKUP(Ruimtestaat[[#This Row],[Code]],Locaties[#All],2,FALSE)</f>
        <v>SGC Almelo</v>
      </c>
      <c r="C691" s="281" t="str">
        <f>VLOOKUP(Ruimtestaat[[#This Row],[Code]],Locaties[#All],4,FALSE)</f>
        <v>Slot 31</v>
      </c>
      <c r="D691" s="281" t="str">
        <f>VLOOKUP(Ruimtestaat[[#This Row],[Code]],Locaties[#All],5,FALSE)</f>
        <v>7608 ND</v>
      </c>
      <c r="E691" s="281" t="str">
        <f>VLOOKUP(Ruimtestaat[[#This Row],[Code]],Locaties[#All],6,FALSE)</f>
        <v>Almelo</v>
      </c>
      <c r="F691" s="282"/>
      <c r="G691" s="283" t="s">
        <v>444</v>
      </c>
      <c r="H691" s="280" t="s">
        <v>833</v>
      </c>
      <c r="I691" s="244" t="s">
        <v>469</v>
      </c>
      <c r="J691" s="281">
        <v>6</v>
      </c>
      <c r="K691" s="243" t="s">
        <v>111</v>
      </c>
      <c r="L691" s="291" t="s">
        <v>890</v>
      </c>
      <c r="M691" s="213">
        <v>125.67</v>
      </c>
      <c r="N691" s="213"/>
      <c r="O691" s="243" t="str">
        <f>VLOOKUP(Ruimtestaat[[#This Row],[Ruimte code]],Ruimtegroepen[#All],4,FALSE)</f>
        <v>V  (Verkeersruimte)</v>
      </c>
      <c r="P691" s="214"/>
      <c r="Q691" s="215">
        <v>40</v>
      </c>
      <c r="R691" s="215" t="s">
        <v>2</v>
      </c>
      <c r="S691" s="215">
        <f>IF(R691&gt;0,IF(RIGHT(Ruimtestaat[[#This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1" s="215">
        <f>IF(S691&gt;0,VLOOKUP($J691,Ruimtegroepen[],3,FALSE)*VLOOKUP($K691,Vloersoorten[],3,FALSE)*VLOOKUP($R691,Frequenties[],3,FALSE)*VLOOKUP($A691,Locaties[],3,FALSE),0)</f>
        <v>0</v>
      </c>
      <c r="U691" s="215">
        <f>Ruimtestaat[[#This Row],[Uitvoeringen werkdagen]]*Ruimtestaat[[#This Row],[Oppervlak (netto)]]</f>
        <v>25134</v>
      </c>
      <c r="V691" s="259">
        <f>IF(T691&gt;0,Ruimtestaat[[#This Row],[Prest. (m2 /jaar) werkdagen]]/Ruimtestaat[[#This Row],[Norm (m2/uur) werkdagen]],0)</f>
        <v>0</v>
      </c>
      <c r="W691" s="260">
        <f>Ruimtestaat[[#This Row],[uren / jaar werkdagen]]*Tariefsopbouw!$D$38</f>
        <v>0</v>
      </c>
      <c r="X691" s="33"/>
      <c r="Y691" s="33">
        <f>IF(Ruimtestaat[[#This Row],[Frequentie weekend]]&gt;0,VALUE(LEFT(X691,1))*Q691,0)</f>
        <v>0</v>
      </c>
      <c r="Z691" s="33">
        <f>IF($Y691&gt;0,VLOOKUP($J691,Ruimtegroepen[],3,FALSE)*VLOOKUP($K691,Vloersoorten[],3,FALSE)*VLOOKUP($X691,Frequenties[],3,FALSE)*VLOOKUP(#REF!,Locaties[],3,FALSE),0)</f>
        <v>0</v>
      </c>
      <c r="AA691" s="33"/>
      <c r="AB691" s="33"/>
      <c r="AC691" s="33">
        <f>Ruimtestaat[[#This Row],[uren / jaar weekend]]*Tariefsopbouw!$D$40</f>
        <v>0</v>
      </c>
      <c r="AD691" s="88">
        <f>Ruimtestaat[[#This Row],[Prest. (m2 /jaar) weekend]]+Ruimtestaat[[#This Row],[Prest. (m2 /jaar) werkdagen]]</f>
        <v>25134</v>
      </c>
      <c r="AE691" s="88">
        <f>Ruimtestaat[[#This Row],[uren / jaar weekend]]+Ruimtestaat[[#This Row],[uren / jaar werkdagen]]</f>
        <v>0</v>
      </c>
      <c r="AF691" s="89">
        <f>Ruimtestaat[[#This Row],[kosten / jaar weekend]]+Ruimtestaat[[#This Row],[kosten / jaar werkdagen]]</f>
        <v>0</v>
      </c>
    </row>
    <row r="692" spans="1:32" ht="15" customHeight="1">
      <c r="A692" s="280">
        <v>5</v>
      </c>
      <c r="B692" s="21" t="str">
        <f>VLOOKUP(Ruimtestaat[[#This Row],[Code]],Locaties[#All],2,FALSE)</f>
        <v>SGC Almelo</v>
      </c>
      <c r="C692" s="281" t="str">
        <f>VLOOKUP(Ruimtestaat[[#This Row],[Code]],Locaties[#All],4,FALSE)</f>
        <v>Slot 31</v>
      </c>
      <c r="D692" s="281" t="str">
        <f>VLOOKUP(Ruimtestaat[[#This Row],[Code]],Locaties[#All],5,FALSE)</f>
        <v>7608 ND</v>
      </c>
      <c r="E692" s="281" t="str">
        <f>VLOOKUP(Ruimtestaat[[#This Row],[Code]],Locaties[#All],6,FALSE)</f>
        <v>Almelo</v>
      </c>
      <c r="F692" s="282"/>
      <c r="G692" s="283" t="s">
        <v>533</v>
      </c>
      <c r="H692" s="280">
        <v>51</v>
      </c>
      <c r="I692" s="282" t="s">
        <v>447</v>
      </c>
      <c r="J692" s="200">
        <v>21</v>
      </c>
      <c r="K692" s="243" t="s">
        <v>110</v>
      </c>
      <c r="L692" s="291" t="s">
        <v>132</v>
      </c>
      <c r="M692" s="213"/>
      <c r="N692" s="202">
        <v>16.670000000000002</v>
      </c>
      <c r="O692" s="243" t="str">
        <f>VLOOKUP(Ruimtestaat[[#This Row],[Ruimte code]],Ruimtegroepen[#All],4,FALSE)</f>
        <v>Niet in onderhoud</v>
      </c>
      <c r="P692" s="214"/>
      <c r="Q692" s="215"/>
      <c r="R692" s="215"/>
      <c r="S692" s="215">
        <f>IF(R692&gt;0,IF(RIGHT(Ruimtestaat[[#This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692" s="215">
        <f>IF(S692&gt;0,VLOOKUP($J692,Ruimtegroepen[],3,FALSE)*VLOOKUP($K692,Vloersoorten[],3,FALSE)*VLOOKUP($R692,Frequenties[],3,FALSE)*VLOOKUP($A692,Locaties[],3,FALSE),0)</f>
        <v>0</v>
      </c>
      <c r="U692" s="215">
        <f>Ruimtestaat[[#This Row],[Uitvoeringen werkdagen]]*Ruimtestaat[[#This Row],[Oppervlak (netto)]]</f>
        <v>0</v>
      </c>
      <c r="V692" s="259">
        <f>IF(T692&gt;0,Ruimtestaat[[#This Row],[Prest. (m2 /jaar) werkdagen]]/Ruimtestaat[[#This Row],[Norm (m2/uur) werkdagen]],0)</f>
        <v>0</v>
      </c>
      <c r="W692" s="260">
        <f>Ruimtestaat[[#This Row],[uren / jaar werkdagen]]*Tariefsopbouw!$D$38</f>
        <v>0</v>
      </c>
      <c r="X692" s="33"/>
      <c r="Y692" s="33">
        <f>IF(Ruimtestaat[[#This Row],[Frequentie weekend]]&gt;0,VALUE(LEFT(X692,1))*Q692,0)</f>
        <v>0</v>
      </c>
      <c r="Z692" s="33">
        <f>IF($Y692&gt;0,VLOOKUP($J692,Ruimtegroepen[],3,FALSE)*VLOOKUP($K692,Vloersoorten[],3,FALSE)*VLOOKUP($X692,Frequenties[],3,FALSE)*VLOOKUP(#REF!,Locaties[],3,FALSE),0)</f>
        <v>0</v>
      </c>
      <c r="AA692" s="33"/>
      <c r="AB692" s="33"/>
      <c r="AC692" s="33">
        <f>Ruimtestaat[[#This Row],[uren / jaar weekend]]*Tariefsopbouw!$D$40</f>
        <v>0</v>
      </c>
      <c r="AD692" s="88">
        <f>Ruimtestaat[[#This Row],[Prest. (m2 /jaar) weekend]]+Ruimtestaat[[#This Row],[Prest. (m2 /jaar) werkdagen]]</f>
        <v>0</v>
      </c>
      <c r="AE692" s="88">
        <f>Ruimtestaat[[#This Row],[uren / jaar weekend]]+Ruimtestaat[[#This Row],[uren / jaar werkdagen]]</f>
        <v>0</v>
      </c>
      <c r="AF692" s="89">
        <f>Ruimtestaat[[#This Row],[kosten / jaar weekend]]+Ruimtestaat[[#This Row],[kosten / jaar werkdagen]]</f>
        <v>0</v>
      </c>
    </row>
    <row r="693" spans="1:32" ht="15" customHeight="1">
      <c r="A693" s="280">
        <v>5</v>
      </c>
      <c r="B693" s="21" t="str">
        <f>VLOOKUP(Ruimtestaat[[#This Row],[Code]],Locaties[#All],2,FALSE)</f>
        <v>SGC Almelo</v>
      </c>
      <c r="C693" s="281" t="str">
        <f>VLOOKUP(Ruimtestaat[[#This Row],[Code]],Locaties[#All],4,FALSE)</f>
        <v>Slot 31</v>
      </c>
      <c r="D693" s="281" t="str">
        <f>VLOOKUP(Ruimtestaat[[#This Row],[Code]],Locaties[#All],5,FALSE)</f>
        <v>7608 ND</v>
      </c>
      <c r="E693" s="281" t="str">
        <f>VLOOKUP(Ruimtestaat[[#This Row],[Code]],Locaties[#All],6,FALSE)</f>
        <v>Almelo</v>
      </c>
      <c r="F693" s="282"/>
      <c r="G693" s="283" t="s">
        <v>533</v>
      </c>
      <c r="H693" s="280" t="s">
        <v>534</v>
      </c>
      <c r="I693" s="282" t="s">
        <v>396</v>
      </c>
      <c r="J693" s="200">
        <v>16</v>
      </c>
      <c r="K693" s="243" t="s">
        <v>109</v>
      </c>
      <c r="L693" s="291" t="s">
        <v>1046</v>
      </c>
      <c r="M693" s="213">
        <v>50.69</v>
      </c>
      <c r="N693" s="202"/>
      <c r="O693" s="243" t="str">
        <f>VLOOKUP(Ruimtestaat[[#This Row],[Ruimte code]],Ruimtegroepen[#All],4,FALSE)</f>
        <v>L  (Lesruimte)</v>
      </c>
      <c r="P693" s="214"/>
      <c r="Q693" s="215">
        <v>40</v>
      </c>
      <c r="R693" s="215" t="s">
        <v>2</v>
      </c>
      <c r="S693" s="215">
        <f>IF(R693&gt;0,IF(RIGHT(Ruimtestaat[[#This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3" s="215">
        <f>IF(S693&gt;0,VLOOKUP($J693,Ruimtegroepen[],3,FALSE)*VLOOKUP($K693,Vloersoorten[],3,FALSE)*VLOOKUP($R693,Frequenties[],3,FALSE)*VLOOKUP($A693,Locaties[],3,FALSE),0)</f>
        <v>0</v>
      </c>
      <c r="U693" s="215">
        <f>Ruimtestaat[[#This Row],[Uitvoeringen werkdagen]]*Ruimtestaat[[#This Row],[Oppervlak (netto)]]</f>
        <v>10138</v>
      </c>
      <c r="V693" s="259">
        <f>IF(T693&gt;0,Ruimtestaat[[#This Row],[Prest. (m2 /jaar) werkdagen]]/Ruimtestaat[[#This Row],[Norm (m2/uur) werkdagen]],0)</f>
        <v>0</v>
      </c>
      <c r="W693" s="260">
        <f>Ruimtestaat[[#This Row],[uren / jaar werkdagen]]*Tariefsopbouw!$D$38</f>
        <v>0</v>
      </c>
      <c r="X693" s="33"/>
      <c r="Y693" s="33">
        <f>IF(Ruimtestaat[[#This Row],[Frequentie weekend]]&gt;0,VALUE(LEFT(X693,1))*Q693,0)</f>
        <v>0</v>
      </c>
      <c r="Z693" s="33">
        <f>IF($Y693&gt;0,VLOOKUP($J693,Ruimtegroepen[],3,FALSE)*VLOOKUP($K693,Vloersoorten[],3,FALSE)*VLOOKUP($X693,Frequenties[],3,FALSE)*VLOOKUP(#REF!,Locaties[],3,FALSE),0)</f>
        <v>0</v>
      </c>
      <c r="AA693" s="33"/>
      <c r="AB693" s="33"/>
      <c r="AC693" s="33">
        <f>Ruimtestaat[[#This Row],[uren / jaar weekend]]*Tariefsopbouw!$D$40</f>
        <v>0</v>
      </c>
      <c r="AD693" s="88">
        <f>Ruimtestaat[[#This Row],[Prest. (m2 /jaar) weekend]]+Ruimtestaat[[#This Row],[Prest. (m2 /jaar) werkdagen]]</f>
        <v>10138</v>
      </c>
      <c r="AE693" s="88">
        <f>Ruimtestaat[[#This Row],[uren / jaar weekend]]+Ruimtestaat[[#This Row],[uren / jaar werkdagen]]</f>
        <v>0</v>
      </c>
      <c r="AF693" s="89">
        <f>Ruimtestaat[[#This Row],[kosten / jaar weekend]]+Ruimtestaat[[#This Row],[kosten / jaar werkdagen]]</f>
        <v>0</v>
      </c>
    </row>
    <row r="694" spans="1:32" ht="15" customHeight="1">
      <c r="A694" s="280">
        <v>5</v>
      </c>
      <c r="B694" s="21" t="str">
        <f>VLOOKUP(Ruimtestaat[[#This Row],[Code]],Locaties[#All],2,FALSE)</f>
        <v>SGC Almelo</v>
      </c>
      <c r="C694" s="281" t="str">
        <f>VLOOKUP(Ruimtestaat[[#This Row],[Code]],Locaties[#All],4,FALSE)</f>
        <v>Slot 31</v>
      </c>
      <c r="D694" s="281" t="str">
        <f>VLOOKUP(Ruimtestaat[[#This Row],[Code]],Locaties[#All],5,FALSE)</f>
        <v>7608 ND</v>
      </c>
      <c r="E694" s="281" t="str">
        <f>VLOOKUP(Ruimtestaat[[#This Row],[Code]],Locaties[#All],6,FALSE)</f>
        <v>Almelo</v>
      </c>
      <c r="F694" s="282"/>
      <c r="G694" s="283" t="s">
        <v>533</v>
      </c>
      <c r="H694" s="280" t="s">
        <v>834</v>
      </c>
      <c r="I694" s="282" t="s">
        <v>396</v>
      </c>
      <c r="J694" s="200">
        <v>16</v>
      </c>
      <c r="K694" s="243" t="s">
        <v>109</v>
      </c>
      <c r="L694" s="291" t="s">
        <v>1046</v>
      </c>
      <c r="M694" s="213">
        <v>51.41</v>
      </c>
      <c r="N694" s="202"/>
      <c r="O694" s="243" t="str">
        <f>VLOOKUP(Ruimtestaat[[#This Row],[Ruimte code]],Ruimtegroepen[#All],4,FALSE)</f>
        <v>L  (Lesruimte)</v>
      </c>
      <c r="P694" s="214"/>
      <c r="Q694" s="215">
        <v>40</v>
      </c>
      <c r="R694" s="215" t="s">
        <v>2</v>
      </c>
      <c r="S694" s="215">
        <f>IF(R694&gt;0,IF(RIGHT(Ruimtestaat[[#This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4" s="215">
        <f>IF(S694&gt;0,VLOOKUP($J694,Ruimtegroepen[],3,FALSE)*VLOOKUP($K694,Vloersoorten[],3,FALSE)*VLOOKUP($R694,Frequenties[],3,FALSE)*VLOOKUP($A694,Locaties[],3,FALSE),0)</f>
        <v>0</v>
      </c>
      <c r="U694" s="215">
        <f>Ruimtestaat[[#This Row],[Uitvoeringen werkdagen]]*Ruimtestaat[[#This Row],[Oppervlak (netto)]]</f>
        <v>10282</v>
      </c>
      <c r="V694" s="259">
        <f>IF(T694&gt;0,Ruimtestaat[[#This Row],[Prest. (m2 /jaar) werkdagen]]/Ruimtestaat[[#This Row],[Norm (m2/uur) werkdagen]],0)</f>
        <v>0</v>
      </c>
      <c r="W694" s="260">
        <f>Ruimtestaat[[#This Row],[uren / jaar werkdagen]]*Tariefsopbouw!$D$38</f>
        <v>0</v>
      </c>
      <c r="X694" s="33"/>
      <c r="Y694" s="33">
        <f>IF(Ruimtestaat[[#This Row],[Frequentie weekend]]&gt;0,VALUE(LEFT(X694,1))*Q694,0)</f>
        <v>0</v>
      </c>
      <c r="Z694" s="33">
        <f>IF($Y694&gt;0,VLOOKUP($J694,Ruimtegroepen[],3,FALSE)*VLOOKUP($K694,Vloersoorten[],3,FALSE)*VLOOKUP($X694,Frequenties[],3,FALSE)*VLOOKUP(#REF!,Locaties[],3,FALSE),0)</f>
        <v>0</v>
      </c>
      <c r="AA694" s="33"/>
      <c r="AB694" s="33"/>
      <c r="AC694" s="33">
        <f>Ruimtestaat[[#This Row],[uren / jaar weekend]]*Tariefsopbouw!$D$40</f>
        <v>0</v>
      </c>
      <c r="AD694" s="88">
        <f>Ruimtestaat[[#This Row],[Prest. (m2 /jaar) weekend]]+Ruimtestaat[[#This Row],[Prest. (m2 /jaar) werkdagen]]</f>
        <v>10282</v>
      </c>
      <c r="AE694" s="88">
        <f>Ruimtestaat[[#This Row],[uren / jaar weekend]]+Ruimtestaat[[#This Row],[uren / jaar werkdagen]]</f>
        <v>0</v>
      </c>
      <c r="AF694" s="89">
        <f>Ruimtestaat[[#This Row],[kosten / jaar weekend]]+Ruimtestaat[[#This Row],[kosten / jaar werkdagen]]</f>
        <v>0</v>
      </c>
    </row>
    <row r="695" spans="1:32" ht="15" customHeight="1">
      <c r="A695" s="280">
        <v>5</v>
      </c>
      <c r="B695" s="21" t="str">
        <f>VLOOKUP(Ruimtestaat[[#This Row],[Code]],Locaties[#All],2,FALSE)</f>
        <v>SGC Almelo</v>
      </c>
      <c r="C695" s="281" t="str">
        <f>VLOOKUP(Ruimtestaat[[#This Row],[Code]],Locaties[#All],4,FALSE)</f>
        <v>Slot 31</v>
      </c>
      <c r="D695" s="281" t="str">
        <f>VLOOKUP(Ruimtestaat[[#This Row],[Code]],Locaties[#All],5,FALSE)</f>
        <v>7608 ND</v>
      </c>
      <c r="E695" s="281" t="str">
        <f>VLOOKUP(Ruimtestaat[[#This Row],[Code]],Locaties[#All],6,FALSE)</f>
        <v>Almelo</v>
      </c>
      <c r="F695" s="282"/>
      <c r="G695" s="283" t="s">
        <v>533</v>
      </c>
      <c r="H695" s="280" t="s">
        <v>835</v>
      </c>
      <c r="I695" s="282" t="s">
        <v>721</v>
      </c>
      <c r="J695" s="200">
        <v>5</v>
      </c>
      <c r="K695" s="243" t="s">
        <v>111</v>
      </c>
      <c r="L695" s="291" t="s">
        <v>913</v>
      </c>
      <c r="M695" s="213">
        <v>9.24</v>
      </c>
      <c r="N695" s="202"/>
      <c r="O695" s="243" t="str">
        <f>VLOOKUP(Ruimtestaat[[#This Row],[Ruimte code]],Ruimtegroepen[#All],4,FALSE)</f>
        <v>S  (Sanitair)</v>
      </c>
      <c r="P695" s="214"/>
      <c r="Q695" s="215">
        <v>40</v>
      </c>
      <c r="R695" s="215" t="s">
        <v>2</v>
      </c>
      <c r="S695" s="215">
        <f>IF(R695&gt;0,IF(RIGHT(Ruimtestaat[[#This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5" s="215">
        <f>IF(S695&gt;0,VLOOKUP($J695,Ruimtegroepen[],3,FALSE)*VLOOKUP($K695,Vloersoorten[],3,FALSE)*VLOOKUP($R695,Frequenties[],3,FALSE)*VLOOKUP($A695,Locaties[],3,FALSE),0)</f>
        <v>0</v>
      </c>
      <c r="U695" s="215">
        <f>Ruimtestaat[[#This Row],[Uitvoeringen werkdagen]]*Ruimtestaat[[#This Row],[Oppervlak (netto)]]</f>
        <v>1848</v>
      </c>
      <c r="V695" s="259">
        <f>IF(T695&gt;0,Ruimtestaat[[#This Row],[Prest. (m2 /jaar) werkdagen]]/Ruimtestaat[[#This Row],[Norm (m2/uur) werkdagen]],0)</f>
        <v>0</v>
      </c>
      <c r="W695" s="260">
        <f>Ruimtestaat[[#This Row],[uren / jaar werkdagen]]*Tariefsopbouw!$D$38</f>
        <v>0</v>
      </c>
      <c r="X695" s="33"/>
      <c r="Y695" s="33">
        <f>IF(Ruimtestaat[[#This Row],[Frequentie weekend]]&gt;0,VALUE(LEFT(X695,1))*Q695,0)</f>
        <v>0</v>
      </c>
      <c r="Z695" s="33">
        <f>IF($Y695&gt;0,VLOOKUP($J695,Ruimtegroepen[],3,FALSE)*VLOOKUP($K695,Vloersoorten[],3,FALSE)*VLOOKUP($X695,Frequenties[],3,FALSE)*VLOOKUP(#REF!,Locaties[],3,FALSE),0)</f>
        <v>0</v>
      </c>
      <c r="AA695" s="33"/>
      <c r="AB695" s="33"/>
      <c r="AC695" s="33">
        <f>Ruimtestaat[[#This Row],[uren / jaar weekend]]*Tariefsopbouw!$D$40</f>
        <v>0</v>
      </c>
      <c r="AD695" s="88">
        <f>Ruimtestaat[[#This Row],[Prest. (m2 /jaar) weekend]]+Ruimtestaat[[#This Row],[Prest. (m2 /jaar) werkdagen]]</f>
        <v>1848</v>
      </c>
      <c r="AE695" s="88">
        <f>Ruimtestaat[[#This Row],[uren / jaar weekend]]+Ruimtestaat[[#This Row],[uren / jaar werkdagen]]</f>
        <v>0</v>
      </c>
      <c r="AF695" s="89">
        <f>Ruimtestaat[[#This Row],[kosten / jaar weekend]]+Ruimtestaat[[#This Row],[kosten / jaar werkdagen]]</f>
        <v>0</v>
      </c>
    </row>
    <row r="696" spans="1:32" ht="15" customHeight="1">
      <c r="A696" s="280">
        <v>5</v>
      </c>
      <c r="B696" s="21" t="str">
        <f>VLOOKUP(Ruimtestaat[[#This Row],[Code]],Locaties[#All],2,FALSE)</f>
        <v>SGC Almelo</v>
      </c>
      <c r="C696" s="281" t="str">
        <f>VLOOKUP(Ruimtestaat[[#This Row],[Code]],Locaties[#All],4,FALSE)</f>
        <v>Slot 31</v>
      </c>
      <c r="D696" s="281" t="str">
        <f>VLOOKUP(Ruimtestaat[[#This Row],[Code]],Locaties[#All],5,FALSE)</f>
        <v>7608 ND</v>
      </c>
      <c r="E696" s="281" t="str">
        <f>VLOOKUP(Ruimtestaat[[#This Row],[Code]],Locaties[#All],6,FALSE)</f>
        <v>Almelo</v>
      </c>
      <c r="F696" s="282"/>
      <c r="G696" s="283" t="s">
        <v>533</v>
      </c>
      <c r="H696" s="280" t="s">
        <v>836</v>
      </c>
      <c r="I696" s="282" t="s">
        <v>721</v>
      </c>
      <c r="J696" s="200">
        <v>5</v>
      </c>
      <c r="K696" s="243" t="s">
        <v>111</v>
      </c>
      <c r="L696" s="291" t="s">
        <v>913</v>
      </c>
      <c r="M696" s="213">
        <v>9.09</v>
      </c>
      <c r="N696" s="202"/>
      <c r="O696" s="243" t="str">
        <f>VLOOKUP(Ruimtestaat[[#This Row],[Ruimte code]],Ruimtegroepen[#All],4,FALSE)</f>
        <v>S  (Sanitair)</v>
      </c>
      <c r="P696" s="214"/>
      <c r="Q696" s="215">
        <v>40</v>
      </c>
      <c r="R696" s="215" t="s">
        <v>2</v>
      </c>
      <c r="S696" s="215">
        <f>IF(R696&gt;0,IF(RIGHT(Ruimtestaat[[#This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6" s="215">
        <f>IF(S696&gt;0,VLOOKUP($J696,Ruimtegroepen[],3,FALSE)*VLOOKUP($K696,Vloersoorten[],3,FALSE)*VLOOKUP($R696,Frequenties[],3,FALSE)*VLOOKUP($A696,Locaties[],3,FALSE),0)</f>
        <v>0</v>
      </c>
      <c r="U696" s="215">
        <f>Ruimtestaat[[#This Row],[Uitvoeringen werkdagen]]*Ruimtestaat[[#This Row],[Oppervlak (netto)]]</f>
        <v>1818</v>
      </c>
      <c r="V696" s="259">
        <f>IF(T696&gt;0,Ruimtestaat[[#This Row],[Prest. (m2 /jaar) werkdagen]]/Ruimtestaat[[#This Row],[Norm (m2/uur) werkdagen]],0)</f>
        <v>0</v>
      </c>
      <c r="W696" s="260">
        <f>Ruimtestaat[[#This Row],[uren / jaar werkdagen]]*Tariefsopbouw!$D$38</f>
        <v>0</v>
      </c>
      <c r="X696" s="33"/>
      <c r="Y696" s="33">
        <f>IF(Ruimtestaat[[#This Row],[Frequentie weekend]]&gt;0,VALUE(LEFT(X696,1))*Q696,0)</f>
        <v>0</v>
      </c>
      <c r="Z696" s="33">
        <f>IF($Y696&gt;0,VLOOKUP($J696,Ruimtegroepen[],3,FALSE)*VLOOKUP($K696,Vloersoorten[],3,FALSE)*VLOOKUP($X696,Frequenties[],3,FALSE)*VLOOKUP(#REF!,Locaties[],3,FALSE),0)</f>
        <v>0</v>
      </c>
      <c r="AA696" s="33"/>
      <c r="AB696" s="33"/>
      <c r="AC696" s="33">
        <f>Ruimtestaat[[#This Row],[uren / jaar weekend]]*Tariefsopbouw!$D$40</f>
        <v>0</v>
      </c>
      <c r="AD696" s="88">
        <f>Ruimtestaat[[#This Row],[Prest. (m2 /jaar) weekend]]+Ruimtestaat[[#This Row],[Prest. (m2 /jaar) werkdagen]]</f>
        <v>1818</v>
      </c>
      <c r="AE696" s="88">
        <f>Ruimtestaat[[#This Row],[uren / jaar weekend]]+Ruimtestaat[[#This Row],[uren / jaar werkdagen]]</f>
        <v>0</v>
      </c>
      <c r="AF696" s="89">
        <f>Ruimtestaat[[#This Row],[kosten / jaar weekend]]+Ruimtestaat[[#This Row],[kosten / jaar werkdagen]]</f>
        <v>0</v>
      </c>
    </row>
    <row r="697" spans="1:32" ht="15" customHeight="1">
      <c r="A697" s="280">
        <v>5</v>
      </c>
      <c r="B697" s="21" t="str">
        <f>VLOOKUP(Ruimtestaat[[#This Row],[Code]],Locaties[#All],2,FALSE)</f>
        <v>SGC Almelo</v>
      </c>
      <c r="C697" s="281" t="str">
        <f>VLOOKUP(Ruimtestaat[[#This Row],[Code]],Locaties[#All],4,FALSE)</f>
        <v>Slot 31</v>
      </c>
      <c r="D697" s="281" t="str">
        <f>VLOOKUP(Ruimtestaat[[#This Row],[Code]],Locaties[#All],5,FALSE)</f>
        <v>7608 ND</v>
      </c>
      <c r="E697" s="281" t="str">
        <f>VLOOKUP(Ruimtestaat[[#This Row],[Code]],Locaties[#All],6,FALSE)</f>
        <v>Almelo</v>
      </c>
      <c r="F697" s="282"/>
      <c r="G697" s="283" t="s">
        <v>533</v>
      </c>
      <c r="H697" s="280" t="s">
        <v>535</v>
      </c>
      <c r="I697" s="282" t="s">
        <v>396</v>
      </c>
      <c r="J697" s="200">
        <v>16</v>
      </c>
      <c r="K697" s="243" t="s">
        <v>109</v>
      </c>
      <c r="L697" s="291" t="s">
        <v>1046</v>
      </c>
      <c r="M697" s="213">
        <v>51.41</v>
      </c>
      <c r="N697" s="202"/>
      <c r="O697" s="243" t="str">
        <f>VLOOKUP(Ruimtestaat[[#This Row],[Ruimte code]],Ruimtegroepen[#All],4,FALSE)</f>
        <v>L  (Lesruimte)</v>
      </c>
      <c r="P697" s="214"/>
      <c r="Q697" s="215">
        <v>40</v>
      </c>
      <c r="R697" s="215" t="s">
        <v>2</v>
      </c>
      <c r="S697" s="215">
        <f>IF(R697&gt;0,IF(RIGHT(Ruimtestaat[[#This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7" s="215">
        <f>IF(S697&gt;0,VLOOKUP($J697,Ruimtegroepen[],3,FALSE)*VLOOKUP($K697,Vloersoorten[],3,FALSE)*VLOOKUP($R697,Frequenties[],3,FALSE)*VLOOKUP($A697,Locaties[],3,FALSE),0)</f>
        <v>0</v>
      </c>
      <c r="U697" s="215">
        <f>Ruimtestaat[[#This Row],[Uitvoeringen werkdagen]]*Ruimtestaat[[#This Row],[Oppervlak (netto)]]</f>
        <v>10282</v>
      </c>
      <c r="V697" s="259">
        <f>IF(T697&gt;0,Ruimtestaat[[#This Row],[Prest. (m2 /jaar) werkdagen]]/Ruimtestaat[[#This Row],[Norm (m2/uur) werkdagen]],0)</f>
        <v>0</v>
      </c>
      <c r="W697" s="260">
        <f>Ruimtestaat[[#This Row],[uren / jaar werkdagen]]*Tariefsopbouw!$D$38</f>
        <v>0</v>
      </c>
      <c r="X697" s="33"/>
      <c r="Y697" s="33">
        <f>IF(Ruimtestaat[[#This Row],[Frequentie weekend]]&gt;0,VALUE(LEFT(X697,1))*Q697,0)</f>
        <v>0</v>
      </c>
      <c r="Z697" s="33">
        <f>IF($Y697&gt;0,VLOOKUP($J697,Ruimtegroepen[],3,FALSE)*VLOOKUP($K697,Vloersoorten[],3,FALSE)*VLOOKUP($X697,Frequenties[],3,FALSE)*VLOOKUP(#REF!,Locaties[],3,FALSE),0)</f>
        <v>0</v>
      </c>
      <c r="AA697" s="33"/>
      <c r="AB697" s="33"/>
      <c r="AC697" s="33">
        <f>Ruimtestaat[[#This Row],[uren / jaar weekend]]*Tariefsopbouw!$D$40</f>
        <v>0</v>
      </c>
      <c r="AD697" s="88">
        <f>Ruimtestaat[[#This Row],[Prest. (m2 /jaar) weekend]]+Ruimtestaat[[#This Row],[Prest. (m2 /jaar) werkdagen]]</f>
        <v>10282</v>
      </c>
      <c r="AE697" s="88">
        <f>Ruimtestaat[[#This Row],[uren / jaar weekend]]+Ruimtestaat[[#This Row],[uren / jaar werkdagen]]</f>
        <v>0</v>
      </c>
      <c r="AF697" s="89">
        <f>Ruimtestaat[[#This Row],[kosten / jaar weekend]]+Ruimtestaat[[#This Row],[kosten / jaar werkdagen]]</f>
        <v>0</v>
      </c>
    </row>
    <row r="698" spans="1:32" ht="15" customHeight="1">
      <c r="A698" s="280">
        <v>5</v>
      </c>
      <c r="B698" s="21" t="str">
        <f>VLOOKUP(Ruimtestaat[[#This Row],[Code]],Locaties[#All],2,FALSE)</f>
        <v>SGC Almelo</v>
      </c>
      <c r="C698" s="281" t="str">
        <f>VLOOKUP(Ruimtestaat[[#This Row],[Code]],Locaties[#All],4,FALSE)</f>
        <v>Slot 31</v>
      </c>
      <c r="D698" s="281" t="str">
        <f>VLOOKUP(Ruimtestaat[[#This Row],[Code]],Locaties[#All],5,FALSE)</f>
        <v>7608 ND</v>
      </c>
      <c r="E698" s="281" t="str">
        <f>VLOOKUP(Ruimtestaat[[#This Row],[Code]],Locaties[#All],6,FALSE)</f>
        <v>Almelo</v>
      </c>
      <c r="F698" s="282"/>
      <c r="G698" s="283" t="s">
        <v>533</v>
      </c>
      <c r="H698" s="280" t="s">
        <v>837</v>
      </c>
      <c r="I698" s="282" t="s">
        <v>721</v>
      </c>
      <c r="J698" s="200">
        <v>5</v>
      </c>
      <c r="K698" s="243" t="s">
        <v>111</v>
      </c>
      <c r="L698" s="291" t="s">
        <v>913</v>
      </c>
      <c r="M698" s="213">
        <v>9.25</v>
      </c>
      <c r="N698" s="202"/>
      <c r="O698" s="243" t="str">
        <f>VLOOKUP(Ruimtestaat[[#This Row],[Ruimte code]],Ruimtegroepen[#All],4,FALSE)</f>
        <v>S  (Sanitair)</v>
      </c>
      <c r="P698" s="214"/>
      <c r="Q698" s="215">
        <v>40</v>
      </c>
      <c r="R698" s="215" t="s">
        <v>2</v>
      </c>
      <c r="S698" s="215">
        <f>IF(R698&gt;0,IF(RIGHT(Ruimtestaat[[#This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8" s="215">
        <f>IF(S698&gt;0,VLOOKUP($J698,Ruimtegroepen[],3,FALSE)*VLOOKUP($K698,Vloersoorten[],3,FALSE)*VLOOKUP($R698,Frequenties[],3,FALSE)*VLOOKUP($A698,Locaties[],3,FALSE),0)</f>
        <v>0</v>
      </c>
      <c r="U698" s="215">
        <f>Ruimtestaat[[#This Row],[Uitvoeringen werkdagen]]*Ruimtestaat[[#This Row],[Oppervlak (netto)]]</f>
        <v>1850</v>
      </c>
      <c r="V698" s="259">
        <f>IF(T698&gt;0,Ruimtestaat[[#This Row],[Prest. (m2 /jaar) werkdagen]]/Ruimtestaat[[#This Row],[Norm (m2/uur) werkdagen]],0)</f>
        <v>0</v>
      </c>
      <c r="W698" s="260">
        <f>Ruimtestaat[[#This Row],[uren / jaar werkdagen]]*Tariefsopbouw!$D$38</f>
        <v>0</v>
      </c>
      <c r="X698" s="33"/>
      <c r="Y698" s="33">
        <f>IF(Ruimtestaat[[#This Row],[Frequentie weekend]]&gt;0,VALUE(LEFT(X698,1))*Q698,0)</f>
        <v>0</v>
      </c>
      <c r="Z698" s="33">
        <f>IF($Y698&gt;0,VLOOKUP($J698,Ruimtegroepen[],3,FALSE)*VLOOKUP($K698,Vloersoorten[],3,FALSE)*VLOOKUP($X698,Frequenties[],3,FALSE)*VLOOKUP(#REF!,Locaties[],3,FALSE),0)</f>
        <v>0</v>
      </c>
      <c r="AA698" s="33"/>
      <c r="AB698" s="33"/>
      <c r="AC698" s="33">
        <f>Ruimtestaat[[#This Row],[uren / jaar weekend]]*Tariefsopbouw!$D$40</f>
        <v>0</v>
      </c>
      <c r="AD698" s="88">
        <f>Ruimtestaat[[#This Row],[Prest. (m2 /jaar) weekend]]+Ruimtestaat[[#This Row],[Prest. (m2 /jaar) werkdagen]]</f>
        <v>1850</v>
      </c>
      <c r="AE698" s="88">
        <f>Ruimtestaat[[#This Row],[uren / jaar weekend]]+Ruimtestaat[[#This Row],[uren / jaar werkdagen]]</f>
        <v>0</v>
      </c>
      <c r="AF698" s="89">
        <f>Ruimtestaat[[#This Row],[kosten / jaar weekend]]+Ruimtestaat[[#This Row],[kosten / jaar werkdagen]]</f>
        <v>0</v>
      </c>
    </row>
    <row r="699" spans="1:32" ht="15" customHeight="1">
      <c r="A699" s="280">
        <v>5</v>
      </c>
      <c r="B699" s="21" t="str">
        <f>VLOOKUP(Ruimtestaat[[#This Row],[Code]],Locaties[#All],2,FALSE)</f>
        <v>SGC Almelo</v>
      </c>
      <c r="C699" s="281" t="str">
        <f>VLOOKUP(Ruimtestaat[[#This Row],[Code]],Locaties[#All],4,FALSE)</f>
        <v>Slot 31</v>
      </c>
      <c r="D699" s="281" t="str">
        <f>VLOOKUP(Ruimtestaat[[#This Row],[Code]],Locaties[#All],5,FALSE)</f>
        <v>7608 ND</v>
      </c>
      <c r="E699" s="281" t="str">
        <f>VLOOKUP(Ruimtestaat[[#This Row],[Code]],Locaties[#All],6,FALSE)</f>
        <v>Almelo</v>
      </c>
      <c r="F699" s="282"/>
      <c r="G699" s="283" t="s">
        <v>533</v>
      </c>
      <c r="H699" s="280" t="s">
        <v>838</v>
      </c>
      <c r="I699" s="282" t="s">
        <v>721</v>
      </c>
      <c r="J699" s="200">
        <v>5</v>
      </c>
      <c r="K699" s="243" t="s">
        <v>111</v>
      </c>
      <c r="L699" s="291" t="s">
        <v>913</v>
      </c>
      <c r="M699" s="213">
        <v>9.35</v>
      </c>
      <c r="N699" s="202"/>
      <c r="O699" s="243" t="str">
        <f>VLOOKUP(Ruimtestaat[[#This Row],[Ruimte code]],Ruimtegroepen[#All],4,FALSE)</f>
        <v>S  (Sanitair)</v>
      </c>
      <c r="P699" s="214"/>
      <c r="Q699" s="215">
        <v>40</v>
      </c>
      <c r="R699" s="215" t="s">
        <v>2</v>
      </c>
      <c r="S699" s="215">
        <f>IF(R699&gt;0,IF(RIGHT(Ruimtestaat[[#This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699" s="215">
        <f>IF(S699&gt;0,VLOOKUP($J699,Ruimtegroepen[],3,FALSE)*VLOOKUP($K699,Vloersoorten[],3,FALSE)*VLOOKUP($R699,Frequenties[],3,FALSE)*VLOOKUP($A699,Locaties[],3,FALSE),0)</f>
        <v>0</v>
      </c>
      <c r="U699" s="215">
        <f>Ruimtestaat[[#This Row],[Uitvoeringen werkdagen]]*Ruimtestaat[[#This Row],[Oppervlak (netto)]]</f>
        <v>1870</v>
      </c>
      <c r="V699" s="259">
        <f>IF(T699&gt;0,Ruimtestaat[[#This Row],[Prest. (m2 /jaar) werkdagen]]/Ruimtestaat[[#This Row],[Norm (m2/uur) werkdagen]],0)</f>
        <v>0</v>
      </c>
      <c r="W699" s="260">
        <f>Ruimtestaat[[#This Row],[uren / jaar werkdagen]]*Tariefsopbouw!$D$38</f>
        <v>0</v>
      </c>
      <c r="X699" s="33"/>
      <c r="Y699" s="33">
        <f>IF(Ruimtestaat[[#This Row],[Frequentie weekend]]&gt;0,VALUE(LEFT(X699,1))*Q699,0)</f>
        <v>0</v>
      </c>
      <c r="Z699" s="33">
        <f>IF($Y699&gt;0,VLOOKUP($J699,Ruimtegroepen[],3,FALSE)*VLOOKUP($K699,Vloersoorten[],3,FALSE)*VLOOKUP($X699,Frequenties[],3,FALSE)*VLOOKUP(#REF!,Locaties[],3,FALSE),0)</f>
        <v>0</v>
      </c>
      <c r="AA699" s="33"/>
      <c r="AB699" s="33"/>
      <c r="AC699" s="33">
        <f>Ruimtestaat[[#This Row],[uren / jaar weekend]]*Tariefsopbouw!$D$40</f>
        <v>0</v>
      </c>
      <c r="AD699" s="88">
        <f>Ruimtestaat[[#This Row],[Prest. (m2 /jaar) weekend]]+Ruimtestaat[[#This Row],[Prest. (m2 /jaar) werkdagen]]</f>
        <v>1870</v>
      </c>
      <c r="AE699" s="88">
        <f>Ruimtestaat[[#This Row],[uren / jaar weekend]]+Ruimtestaat[[#This Row],[uren / jaar werkdagen]]</f>
        <v>0</v>
      </c>
      <c r="AF699" s="89">
        <f>Ruimtestaat[[#This Row],[kosten / jaar weekend]]+Ruimtestaat[[#This Row],[kosten / jaar werkdagen]]</f>
        <v>0</v>
      </c>
    </row>
    <row r="700" spans="1:32" ht="15" customHeight="1">
      <c r="A700" s="280">
        <v>5</v>
      </c>
      <c r="B700" s="21" t="str">
        <f>VLOOKUP(Ruimtestaat[[#This Row],[Code]],Locaties[#All],2,FALSE)</f>
        <v>SGC Almelo</v>
      </c>
      <c r="C700" s="281" t="str">
        <f>VLOOKUP(Ruimtestaat[[#This Row],[Code]],Locaties[#All],4,FALSE)</f>
        <v>Slot 31</v>
      </c>
      <c r="D700" s="281" t="str">
        <f>VLOOKUP(Ruimtestaat[[#This Row],[Code]],Locaties[#All],5,FALSE)</f>
        <v>7608 ND</v>
      </c>
      <c r="E700" s="281" t="str">
        <f>VLOOKUP(Ruimtestaat[[#This Row],[Code]],Locaties[#All],6,FALSE)</f>
        <v>Almelo</v>
      </c>
      <c r="F700" s="282"/>
      <c r="G700" s="283" t="s">
        <v>533</v>
      </c>
      <c r="H700" s="280" t="s">
        <v>536</v>
      </c>
      <c r="I700" s="282" t="s">
        <v>396</v>
      </c>
      <c r="J700" s="200">
        <v>16</v>
      </c>
      <c r="K700" s="243" t="s">
        <v>109</v>
      </c>
      <c r="L700" s="291" t="s">
        <v>1046</v>
      </c>
      <c r="M700" s="213">
        <v>59.8</v>
      </c>
      <c r="N700" s="202"/>
      <c r="O700" s="243" t="str">
        <f>VLOOKUP(Ruimtestaat[[#This Row],[Ruimte code]],Ruimtegroepen[#All],4,FALSE)</f>
        <v>L  (Lesruimte)</v>
      </c>
      <c r="P700" s="214"/>
      <c r="Q700" s="215">
        <v>40</v>
      </c>
      <c r="R700" s="215" t="s">
        <v>2</v>
      </c>
      <c r="S700" s="215">
        <f>IF(R700&gt;0,IF(RIGHT(Ruimtestaat[[#This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0" s="215">
        <f>IF(S700&gt;0,VLOOKUP($J700,Ruimtegroepen[],3,FALSE)*VLOOKUP($K700,Vloersoorten[],3,FALSE)*VLOOKUP($R700,Frequenties[],3,FALSE)*VLOOKUP($A700,Locaties[],3,FALSE),0)</f>
        <v>0</v>
      </c>
      <c r="U700" s="215">
        <f>Ruimtestaat[[#This Row],[Uitvoeringen werkdagen]]*Ruimtestaat[[#This Row],[Oppervlak (netto)]]</f>
        <v>11960</v>
      </c>
      <c r="V700" s="259">
        <f>IF(T700&gt;0,Ruimtestaat[[#This Row],[Prest. (m2 /jaar) werkdagen]]/Ruimtestaat[[#This Row],[Norm (m2/uur) werkdagen]],0)</f>
        <v>0</v>
      </c>
      <c r="W700" s="260">
        <f>Ruimtestaat[[#This Row],[uren / jaar werkdagen]]*Tariefsopbouw!$D$38</f>
        <v>0</v>
      </c>
      <c r="X700" s="33"/>
      <c r="Y700" s="33">
        <f>IF(Ruimtestaat[[#This Row],[Frequentie weekend]]&gt;0,VALUE(LEFT(X700,1))*Q700,0)</f>
        <v>0</v>
      </c>
      <c r="Z700" s="33">
        <f>IF($Y700&gt;0,VLOOKUP($J700,Ruimtegroepen[],3,FALSE)*VLOOKUP($K700,Vloersoorten[],3,FALSE)*VLOOKUP($X700,Frequenties[],3,FALSE)*VLOOKUP(#REF!,Locaties[],3,FALSE),0)</f>
        <v>0</v>
      </c>
      <c r="AA700" s="33"/>
      <c r="AB700" s="33"/>
      <c r="AC700" s="33">
        <f>Ruimtestaat[[#This Row],[uren / jaar weekend]]*Tariefsopbouw!$D$40</f>
        <v>0</v>
      </c>
      <c r="AD700" s="88">
        <f>Ruimtestaat[[#This Row],[Prest. (m2 /jaar) weekend]]+Ruimtestaat[[#This Row],[Prest. (m2 /jaar) werkdagen]]</f>
        <v>11960</v>
      </c>
      <c r="AE700" s="88">
        <f>Ruimtestaat[[#This Row],[uren / jaar weekend]]+Ruimtestaat[[#This Row],[uren / jaar werkdagen]]</f>
        <v>0</v>
      </c>
      <c r="AF700" s="89">
        <f>Ruimtestaat[[#This Row],[kosten / jaar weekend]]+Ruimtestaat[[#This Row],[kosten / jaar werkdagen]]</f>
        <v>0</v>
      </c>
    </row>
    <row r="701" spans="1:32" ht="15" customHeight="1">
      <c r="A701" s="280">
        <v>5</v>
      </c>
      <c r="B701" s="21" t="str">
        <f>VLOOKUP(Ruimtestaat[[#This Row],[Code]],Locaties[#All],2,FALSE)</f>
        <v>SGC Almelo</v>
      </c>
      <c r="C701" s="281" t="str">
        <f>VLOOKUP(Ruimtestaat[[#This Row],[Code]],Locaties[#All],4,FALSE)</f>
        <v>Slot 31</v>
      </c>
      <c r="D701" s="281" t="str">
        <f>VLOOKUP(Ruimtestaat[[#This Row],[Code]],Locaties[#All],5,FALSE)</f>
        <v>7608 ND</v>
      </c>
      <c r="E701" s="281" t="str">
        <f>VLOOKUP(Ruimtestaat[[#This Row],[Code]],Locaties[#All],6,FALSE)</f>
        <v>Almelo</v>
      </c>
      <c r="F701" s="282"/>
      <c r="G701" s="283" t="s">
        <v>533</v>
      </c>
      <c r="H701" s="280" t="s">
        <v>839</v>
      </c>
      <c r="I701" s="282" t="s">
        <v>396</v>
      </c>
      <c r="J701" s="200">
        <v>16</v>
      </c>
      <c r="K701" s="243" t="s">
        <v>109</v>
      </c>
      <c r="L701" s="291" t="s">
        <v>1046</v>
      </c>
      <c r="M701" s="213">
        <v>50.37</v>
      </c>
      <c r="N701" s="202"/>
      <c r="O701" s="243" t="str">
        <f>VLOOKUP(Ruimtestaat[[#This Row],[Ruimte code]],Ruimtegroepen[#All],4,FALSE)</f>
        <v>L  (Lesruimte)</v>
      </c>
      <c r="P701" s="214"/>
      <c r="Q701" s="215">
        <v>40</v>
      </c>
      <c r="R701" s="215" t="s">
        <v>2</v>
      </c>
      <c r="S701" s="215">
        <f>IF(R701&gt;0,IF(RIGHT(Ruimtestaat[[#This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1" s="215">
        <f>IF(S701&gt;0,VLOOKUP($J701,Ruimtegroepen[],3,FALSE)*VLOOKUP($K701,Vloersoorten[],3,FALSE)*VLOOKUP($R701,Frequenties[],3,FALSE)*VLOOKUP($A701,Locaties[],3,FALSE),0)</f>
        <v>0</v>
      </c>
      <c r="U701" s="215">
        <f>Ruimtestaat[[#This Row],[Uitvoeringen werkdagen]]*Ruimtestaat[[#This Row],[Oppervlak (netto)]]</f>
        <v>10074</v>
      </c>
      <c r="V701" s="259">
        <f>IF(T701&gt;0,Ruimtestaat[[#This Row],[Prest. (m2 /jaar) werkdagen]]/Ruimtestaat[[#This Row],[Norm (m2/uur) werkdagen]],0)</f>
        <v>0</v>
      </c>
      <c r="W701" s="260">
        <f>Ruimtestaat[[#This Row],[uren / jaar werkdagen]]*Tariefsopbouw!$D$38</f>
        <v>0</v>
      </c>
      <c r="X701" s="33"/>
      <c r="Y701" s="33">
        <f>IF(Ruimtestaat[[#This Row],[Frequentie weekend]]&gt;0,VALUE(LEFT(X701,1))*Q701,0)</f>
        <v>0</v>
      </c>
      <c r="Z701" s="33">
        <f>IF($Y701&gt;0,VLOOKUP($J701,Ruimtegroepen[],3,FALSE)*VLOOKUP($K701,Vloersoorten[],3,FALSE)*VLOOKUP($X701,Frequenties[],3,FALSE)*VLOOKUP(#REF!,Locaties[],3,FALSE),0)</f>
        <v>0</v>
      </c>
      <c r="AA701" s="33"/>
      <c r="AB701" s="33"/>
      <c r="AC701" s="33">
        <f>Ruimtestaat[[#This Row],[uren / jaar weekend]]*Tariefsopbouw!$D$40</f>
        <v>0</v>
      </c>
      <c r="AD701" s="88">
        <f>Ruimtestaat[[#This Row],[Prest. (m2 /jaar) weekend]]+Ruimtestaat[[#This Row],[Prest. (m2 /jaar) werkdagen]]</f>
        <v>10074</v>
      </c>
      <c r="AE701" s="88">
        <f>Ruimtestaat[[#This Row],[uren / jaar weekend]]+Ruimtestaat[[#This Row],[uren / jaar werkdagen]]</f>
        <v>0</v>
      </c>
      <c r="AF701" s="89">
        <f>Ruimtestaat[[#This Row],[kosten / jaar weekend]]+Ruimtestaat[[#This Row],[kosten / jaar werkdagen]]</f>
        <v>0</v>
      </c>
    </row>
    <row r="702" spans="1:32" ht="15" customHeight="1">
      <c r="A702" s="280">
        <v>5</v>
      </c>
      <c r="B702" s="21" t="str">
        <f>VLOOKUP(Ruimtestaat[[#This Row],[Code]],Locaties[#All],2,FALSE)</f>
        <v>SGC Almelo</v>
      </c>
      <c r="C702" s="281" t="str">
        <f>VLOOKUP(Ruimtestaat[[#This Row],[Code]],Locaties[#All],4,FALSE)</f>
        <v>Slot 31</v>
      </c>
      <c r="D702" s="281" t="str">
        <f>VLOOKUP(Ruimtestaat[[#This Row],[Code]],Locaties[#All],5,FALSE)</f>
        <v>7608 ND</v>
      </c>
      <c r="E702" s="281" t="str">
        <f>VLOOKUP(Ruimtestaat[[#This Row],[Code]],Locaties[#All],6,FALSE)</f>
        <v>Almelo</v>
      </c>
      <c r="F702" s="282"/>
      <c r="G702" s="283" t="s">
        <v>533</v>
      </c>
      <c r="H702" s="280" t="s">
        <v>538</v>
      </c>
      <c r="I702" s="282" t="s">
        <v>396</v>
      </c>
      <c r="J702" s="200">
        <v>16</v>
      </c>
      <c r="K702" s="243" t="s">
        <v>109</v>
      </c>
      <c r="L702" s="291" t="s">
        <v>1046</v>
      </c>
      <c r="M702" s="213">
        <v>53</v>
      </c>
      <c r="N702" s="202"/>
      <c r="O702" s="243" t="str">
        <f>VLOOKUP(Ruimtestaat[[#This Row],[Ruimte code]],Ruimtegroepen[#All],4,FALSE)</f>
        <v>L  (Lesruimte)</v>
      </c>
      <c r="P702" s="214"/>
      <c r="Q702" s="215">
        <v>40</v>
      </c>
      <c r="R702" s="215" t="s">
        <v>2</v>
      </c>
      <c r="S702" s="215">
        <f>IF(R702&gt;0,IF(RIGHT(Ruimtestaat[[#This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2" s="215">
        <f>IF(S702&gt;0,VLOOKUP($J702,Ruimtegroepen[],3,FALSE)*VLOOKUP($K702,Vloersoorten[],3,FALSE)*VLOOKUP($R702,Frequenties[],3,FALSE)*VLOOKUP($A702,Locaties[],3,FALSE),0)</f>
        <v>0</v>
      </c>
      <c r="U702" s="215">
        <f>Ruimtestaat[[#This Row],[Uitvoeringen werkdagen]]*Ruimtestaat[[#This Row],[Oppervlak (netto)]]</f>
        <v>10600</v>
      </c>
      <c r="V702" s="259">
        <f>IF(T702&gt;0,Ruimtestaat[[#This Row],[Prest. (m2 /jaar) werkdagen]]/Ruimtestaat[[#This Row],[Norm (m2/uur) werkdagen]],0)</f>
        <v>0</v>
      </c>
      <c r="W702" s="260">
        <f>Ruimtestaat[[#This Row],[uren / jaar werkdagen]]*Tariefsopbouw!$D$38</f>
        <v>0</v>
      </c>
      <c r="X702" s="33"/>
      <c r="Y702" s="33">
        <f>IF(Ruimtestaat[[#This Row],[Frequentie weekend]]&gt;0,VALUE(LEFT(X702,1))*Q702,0)</f>
        <v>0</v>
      </c>
      <c r="Z702" s="33">
        <f>IF($Y702&gt;0,VLOOKUP($J702,Ruimtegroepen[],3,FALSE)*VLOOKUP($K702,Vloersoorten[],3,FALSE)*VLOOKUP($X702,Frequenties[],3,FALSE)*VLOOKUP(#REF!,Locaties[],3,FALSE),0)</f>
        <v>0</v>
      </c>
      <c r="AA702" s="33"/>
      <c r="AB702" s="33"/>
      <c r="AC702" s="33">
        <f>Ruimtestaat[[#This Row],[uren / jaar weekend]]*Tariefsopbouw!$D$40</f>
        <v>0</v>
      </c>
      <c r="AD702" s="88">
        <f>Ruimtestaat[[#This Row],[Prest. (m2 /jaar) weekend]]+Ruimtestaat[[#This Row],[Prest. (m2 /jaar) werkdagen]]</f>
        <v>10600</v>
      </c>
      <c r="AE702" s="88">
        <f>Ruimtestaat[[#This Row],[uren / jaar weekend]]+Ruimtestaat[[#This Row],[uren / jaar werkdagen]]</f>
        <v>0</v>
      </c>
      <c r="AF702" s="89">
        <f>Ruimtestaat[[#This Row],[kosten / jaar weekend]]+Ruimtestaat[[#This Row],[kosten / jaar werkdagen]]</f>
        <v>0</v>
      </c>
    </row>
    <row r="703" spans="1:32" ht="15" customHeight="1">
      <c r="A703" s="280">
        <v>5</v>
      </c>
      <c r="B703" s="21" t="str">
        <f>VLOOKUP(Ruimtestaat[[#This Row],[Code]],Locaties[#All],2,FALSE)</f>
        <v>SGC Almelo</v>
      </c>
      <c r="C703" s="281" t="str">
        <f>VLOOKUP(Ruimtestaat[[#This Row],[Code]],Locaties[#All],4,FALSE)</f>
        <v>Slot 31</v>
      </c>
      <c r="D703" s="281" t="str">
        <f>VLOOKUP(Ruimtestaat[[#This Row],[Code]],Locaties[#All],5,FALSE)</f>
        <v>7608 ND</v>
      </c>
      <c r="E703" s="281" t="str">
        <f>VLOOKUP(Ruimtestaat[[#This Row],[Code]],Locaties[#All],6,FALSE)</f>
        <v>Almelo</v>
      </c>
      <c r="F703" s="282"/>
      <c r="G703" s="283" t="s">
        <v>533</v>
      </c>
      <c r="H703" s="280" t="s">
        <v>540</v>
      </c>
      <c r="I703" s="282" t="s">
        <v>396</v>
      </c>
      <c r="J703" s="200">
        <v>16</v>
      </c>
      <c r="K703" s="243" t="s">
        <v>109</v>
      </c>
      <c r="L703" s="291" t="s">
        <v>1046</v>
      </c>
      <c r="M703" s="213">
        <v>51.8</v>
      </c>
      <c r="N703" s="202"/>
      <c r="O703" s="243" t="str">
        <f>VLOOKUP(Ruimtestaat[[#This Row],[Ruimte code]],Ruimtegroepen[#All],4,FALSE)</f>
        <v>L  (Lesruimte)</v>
      </c>
      <c r="P703" s="214"/>
      <c r="Q703" s="215">
        <v>40</v>
      </c>
      <c r="R703" s="215" t="s">
        <v>2</v>
      </c>
      <c r="S703" s="215">
        <f>IF(R703&gt;0,IF(RIGHT(Ruimtestaat[[#This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3" s="215">
        <f>IF(S703&gt;0,VLOOKUP($J703,Ruimtegroepen[],3,FALSE)*VLOOKUP($K703,Vloersoorten[],3,FALSE)*VLOOKUP($R703,Frequenties[],3,FALSE)*VLOOKUP($A703,Locaties[],3,FALSE),0)</f>
        <v>0</v>
      </c>
      <c r="U703" s="215">
        <f>Ruimtestaat[[#This Row],[Uitvoeringen werkdagen]]*Ruimtestaat[[#This Row],[Oppervlak (netto)]]</f>
        <v>10360</v>
      </c>
      <c r="V703" s="259">
        <f>IF(T703&gt;0,Ruimtestaat[[#This Row],[Prest. (m2 /jaar) werkdagen]]/Ruimtestaat[[#This Row],[Norm (m2/uur) werkdagen]],0)</f>
        <v>0</v>
      </c>
      <c r="W703" s="260">
        <f>Ruimtestaat[[#This Row],[uren / jaar werkdagen]]*Tariefsopbouw!$D$38</f>
        <v>0</v>
      </c>
      <c r="X703" s="33"/>
      <c r="Y703" s="33">
        <f>IF(Ruimtestaat[[#This Row],[Frequentie weekend]]&gt;0,VALUE(LEFT(X703,1))*Q703,0)</f>
        <v>0</v>
      </c>
      <c r="Z703" s="33">
        <f>IF($Y703&gt;0,VLOOKUP($J703,Ruimtegroepen[],3,FALSE)*VLOOKUP($K703,Vloersoorten[],3,FALSE)*VLOOKUP($X703,Frequenties[],3,FALSE)*VLOOKUP(#REF!,Locaties[],3,FALSE),0)</f>
        <v>0</v>
      </c>
      <c r="AA703" s="33"/>
      <c r="AB703" s="33"/>
      <c r="AC703" s="33">
        <f>Ruimtestaat[[#This Row],[uren / jaar weekend]]*Tariefsopbouw!$D$40</f>
        <v>0</v>
      </c>
      <c r="AD703" s="88">
        <f>Ruimtestaat[[#This Row],[Prest. (m2 /jaar) weekend]]+Ruimtestaat[[#This Row],[Prest. (m2 /jaar) werkdagen]]</f>
        <v>10360</v>
      </c>
      <c r="AE703" s="88">
        <f>Ruimtestaat[[#This Row],[uren / jaar weekend]]+Ruimtestaat[[#This Row],[uren / jaar werkdagen]]</f>
        <v>0</v>
      </c>
      <c r="AF703" s="89">
        <f>Ruimtestaat[[#This Row],[kosten / jaar weekend]]+Ruimtestaat[[#This Row],[kosten / jaar werkdagen]]</f>
        <v>0</v>
      </c>
    </row>
    <row r="704" spans="1:32" ht="15" customHeight="1">
      <c r="A704" s="280">
        <v>5</v>
      </c>
      <c r="B704" s="21" t="str">
        <f>VLOOKUP(Ruimtestaat[[#This Row],[Code]],Locaties[#All],2,FALSE)</f>
        <v>SGC Almelo</v>
      </c>
      <c r="C704" s="281" t="str">
        <f>VLOOKUP(Ruimtestaat[[#This Row],[Code]],Locaties[#All],4,FALSE)</f>
        <v>Slot 31</v>
      </c>
      <c r="D704" s="281" t="str">
        <f>VLOOKUP(Ruimtestaat[[#This Row],[Code]],Locaties[#All],5,FALSE)</f>
        <v>7608 ND</v>
      </c>
      <c r="E704" s="281" t="str">
        <f>VLOOKUP(Ruimtestaat[[#This Row],[Code]],Locaties[#All],6,FALSE)</f>
        <v>Almelo</v>
      </c>
      <c r="F704" s="282"/>
      <c r="G704" s="283" t="s">
        <v>533</v>
      </c>
      <c r="H704" s="280" t="s">
        <v>541</v>
      </c>
      <c r="I704" s="282" t="s">
        <v>396</v>
      </c>
      <c r="J704" s="200">
        <v>16</v>
      </c>
      <c r="K704" s="243" t="s">
        <v>109</v>
      </c>
      <c r="L704" s="291" t="s">
        <v>1046</v>
      </c>
      <c r="M704" s="213">
        <v>52.18</v>
      </c>
      <c r="N704" s="202"/>
      <c r="O704" s="243" t="str">
        <f>VLOOKUP(Ruimtestaat[[#This Row],[Ruimte code]],Ruimtegroepen[#All],4,FALSE)</f>
        <v>L  (Lesruimte)</v>
      </c>
      <c r="P704" s="214"/>
      <c r="Q704" s="215">
        <v>40</v>
      </c>
      <c r="R704" s="215" t="s">
        <v>2</v>
      </c>
      <c r="S704" s="215">
        <f>IF(R704&gt;0,IF(RIGHT(Ruimtestaat[[#This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4" s="215">
        <f>IF(S704&gt;0,VLOOKUP($J704,Ruimtegroepen[],3,FALSE)*VLOOKUP($K704,Vloersoorten[],3,FALSE)*VLOOKUP($R704,Frequenties[],3,FALSE)*VLOOKUP($A704,Locaties[],3,FALSE),0)</f>
        <v>0</v>
      </c>
      <c r="U704" s="215">
        <f>Ruimtestaat[[#This Row],[Uitvoeringen werkdagen]]*Ruimtestaat[[#This Row],[Oppervlak (netto)]]</f>
        <v>10436</v>
      </c>
      <c r="V704" s="259">
        <f>IF(T704&gt;0,Ruimtestaat[[#This Row],[Prest. (m2 /jaar) werkdagen]]/Ruimtestaat[[#This Row],[Norm (m2/uur) werkdagen]],0)</f>
        <v>0</v>
      </c>
      <c r="W704" s="260">
        <f>Ruimtestaat[[#This Row],[uren / jaar werkdagen]]*Tariefsopbouw!$D$38</f>
        <v>0</v>
      </c>
      <c r="X704" s="33"/>
      <c r="Y704" s="33">
        <f>IF(Ruimtestaat[[#This Row],[Frequentie weekend]]&gt;0,VALUE(LEFT(X704,1))*Q704,0)</f>
        <v>0</v>
      </c>
      <c r="Z704" s="33">
        <f>IF($Y704&gt;0,VLOOKUP($J704,Ruimtegroepen[],3,FALSE)*VLOOKUP($K704,Vloersoorten[],3,FALSE)*VLOOKUP($X704,Frequenties[],3,FALSE)*VLOOKUP(#REF!,Locaties[],3,FALSE),0)</f>
        <v>0</v>
      </c>
      <c r="AA704" s="33"/>
      <c r="AB704" s="33"/>
      <c r="AC704" s="33">
        <f>Ruimtestaat[[#This Row],[uren / jaar weekend]]*Tariefsopbouw!$D$40</f>
        <v>0</v>
      </c>
      <c r="AD704" s="88">
        <f>Ruimtestaat[[#This Row],[Prest. (m2 /jaar) weekend]]+Ruimtestaat[[#This Row],[Prest. (m2 /jaar) werkdagen]]</f>
        <v>10436</v>
      </c>
      <c r="AE704" s="88">
        <f>Ruimtestaat[[#This Row],[uren / jaar weekend]]+Ruimtestaat[[#This Row],[uren / jaar werkdagen]]</f>
        <v>0</v>
      </c>
      <c r="AF704" s="89">
        <f>Ruimtestaat[[#This Row],[kosten / jaar weekend]]+Ruimtestaat[[#This Row],[kosten / jaar werkdagen]]</f>
        <v>0</v>
      </c>
    </row>
    <row r="705" spans="1:32" ht="15" customHeight="1">
      <c r="A705" s="280">
        <v>5</v>
      </c>
      <c r="B705" s="21" t="str">
        <f>VLOOKUP(Ruimtestaat[[#This Row],[Code]],Locaties[#All],2,FALSE)</f>
        <v>SGC Almelo</v>
      </c>
      <c r="C705" s="281" t="str">
        <f>VLOOKUP(Ruimtestaat[[#This Row],[Code]],Locaties[#All],4,FALSE)</f>
        <v>Slot 31</v>
      </c>
      <c r="D705" s="281" t="str">
        <f>VLOOKUP(Ruimtestaat[[#This Row],[Code]],Locaties[#All],5,FALSE)</f>
        <v>7608 ND</v>
      </c>
      <c r="E705" s="281" t="str">
        <f>VLOOKUP(Ruimtestaat[[#This Row],[Code]],Locaties[#All],6,FALSE)</f>
        <v>Almelo</v>
      </c>
      <c r="F705" s="282"/>
      <c r="G705" s="283" t="s">
        <v>533</v>
      </c>
      <c r="H705" s="280" t="s">
        <v>542</v>
      </c>
      <c r="I705" s="282" t="s">
        <v>487</v>
      </c>
      <c r="J705" s="200">
        <v>2</v>
      </c>
      <c r="K705" s="243" t="s">
        <v>109</v>
      </c>
      <c r="L705" s="291" t="s">
        <v>1046</v>
      </c>
      <c r="M705" s="213">
        <v>17.71</v>
      </c>
      <c r="N705" s="202"/>
      <c r="O705" s="243" t="str">
        <f>VLOOKUP(Ruimtestaat[[#This Row],[Ruimte code]],Ruimtegroepen[#All],4,FALSE)</f>
        <v>B  (Bureauruimte)</v>
      </c>
      <c r="P705" s="214"/>
      <c r="Q705" s="215">
        <v>40</v>
      </c>
      <c r="R705" s="215" t="s">
        <v>2</v>
      </c>
      <c r="S705" s="215">
        <f>IF(R705&gt;0,IF(RIGHT(Ruimtestaat[[#This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5" s="215">
        <f>IF(S705&gt;0,VLOOKUP($J705,Ruimtegroepen[],3,FALSE)*VLOOKUP($K705,Vloersoorten[],3,FALSE)*VLOOKUP($R705,Frequenties[],3,FALSE)*VLOOKUP($A705,Locaties[],3,FALSE),0)</f>
        <v>0</v>
      </c>
      <c r="U705" s="215">
        <f>Ruimtestaat[[#This Row],[Uitvoeringen werkdagen]]*Ruimtestaat[[#This Row],[Oppervlak (netto)]]</f>
        <v>3542</v>
      </c>
      <c r="V705" s="259">
        <f>IF(T705&gt;0,Ruimtestaat[[#This Row],[Prest. (m2 /jaar) werkdagen]]/Ruimtestaat[[#This Row],[Norm (m2/uur) werkdagen]],0)</f>
        <v>0</v>
      </c>
      <c r="W705" s="260">
        <f>Ruimtestaat[[#This Row],[uren / jaar werkdagen]]*Tariefsopbouw!$D$38</f>
        <v>0</v>
      </c>
      <c r="X705" s="33"/>
      <c r="Y705" s="33">
        <f>IF(Ruimtestaat[[#This Row],[Frequentie weekend]]&gt;0,VALUE(LEFT(X705,1))*Q705,0)</f>
        <v>0</v>
      </c>
      <c r="Z705" s="33">
        <f>IF($Y705&gt;0,VLOOKUP($J705,Ruimtegroepen[],3,FALSE)*VLOOKUP($K705,Vloersoorten[],3,FALSE)*VLOOKUP($X705,Frequenties[],3,FALSE)*VLOOKUP(#REF!,Locaties[],3,FALSE),0)</f>
        <v>0</v>
      </c>
      <c r="AA705" s="33"/>
      <c r="AB705" s="33"/>
      <c r="AC705" s="33">
        <f>Ruimtestaat[[#This Row],[uren / jaar weekend]]*Tariefsopbouw!$D$40</f>
        <v>0</v>
      </c>
      <c r="AD705" s="88">
        <f>Ruimtestaat[[#This Row],[Prest. (m2 /jaar) weekend]]+Ruimtestaat[[#This Row],[Prest. (m2 /jaar) werkdagen]]</f>
        <v>3542</v>
      </c>
      <c r="AE705" s="88">
        <f>Ruimtestaat[[#This Row],[uren / jaar weekend]]+Ruimtestaat[[#This Row],[uren / jaar werkdagen]]</f>
        <v>0</v>
      </c>
      <c r="AF705" s="89">
        <f>Ruimtestaat[[#This Row],[kosten / jaar weekend]]+Ruimtestaat[[#This Row],[kosten / jaar werkdagen]]</f>
        <v>0</v>
      </c>
    </row>
    <row r="706" spans="1:32" ht="15" customHeight="1">
      <c r="A706" s="280">
        <v>5</v>
      </c>
      <c r="B706" s="21" t="str">
        <f>VLOOKUP(Ruimtestaat[[#This Row],[Code]],Locaties[#All],2,FALSE)</f>
        <v>SGC Almelo</v>
      </c>
      <c r="C706" s="281" t="str">
        <f>VLOOKUP(Ruimtestaat[[#This Row],[Code]],Locaties[#All],4,FALSE)</f>
        <v>Slot 31</v>
      </c>
      <c r="D706" s="281" t="str">
        <f>VLOOKUP(Ruimtestaat[[#This Row],[Code]],Locaties[#All],5,FALSE)</f>
        <v>7608 ND</v>
      </c>
      <c r="E706" s="281" t="str">
        <f>VLOOKUP(Ruimtestaat[[#This Row],[Code]],Locaties[#All],6,FALSE)</f>
        <v>Almelo</v>
      </c>
      <c r="F706" s="282"/>
      <c r="G706" s="283" t="s">
        <v>533</v>
      </c>
      <c r="H706" s="280" t="s">
        <v>840</v>
      </c>
      <c r="I706" s="282" t="s">
        <v>721</v>
      </c>
      <c r="J706" s="200">
        <v>5</v>
      </c>
      <c r="K706" s="243" t="s">
        <v>111</v>
      </c>
      <c r="L706" s="291" t="s">
        <v>913</v>
      </c>
      <c r="M706" s="213">
        <v>9.36</v>
      </c>
      <c r="N706" s="202"/>
      <c r="O706" s="243" t="str">
        <f>VLOOKUP(Ruimtestaat[[#This Row],[Ruimte code]],Ruimtegroepen[#All],4,FALSE)</f>
        <v>S  (Sanitair)</v>
      </c>
      <c r="P706" s="214"/>
      <c r="Q706" s="215">
        <v>40</v>
      </c>
      <c r="R706" s="215" t="s">
        <v>2</v>
      </c>
      <c r="S706" s="215">
        <f>IF(R706&gt;0,IF(RIGHT(Ruimtestaat[[#This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6" s="215">
        <f>IF(S706&gt;0,VLOOKUP($J706,Ruimtegroepen[],3,FALSE)*VLOOKUP($K706,Vloersoorten[],3,FALSE)*VLOOKUP($R706,Frequenties[],3,FALSE)*VLOOKUP($A706,Locaties[],3,FALSE),0)</f>
        <v>0</v>
      </c>
      <c r="U706" s="215">
        <f>Ruimtestaat[[#This Row],[Uitvoeringen werkdagen]]*Ruimtestaat[[#This Row],[Oppervlak (netto)]]</f>
        <v>1872</v>
      </c>
      <c r="V706" s="259">
        <f>IF(T706&gt;0,Ruimtestaat[[#This Row],[Prest. (m2 /jaar) werkdagen]]/Ruimtestaat[[#This Row],[Norm (m2/uur) werkdagen]],0)</f>
        <v>0</v>
      </c>
      <c r="W706" s="260">
        <f>Ruimtestaat[[#This Row],[uren / jaar werkdagen]]*Tariefsopbouw!$D$38</f>
        <v>0</v>
      </c>
      <c r="X706" s="33"/>
      <c r="Y706" s="33">
        <f>IF(Ruimtestaat[[#This Row],[Frequentie weekend]]&gt;0,VALUE(LEFT(X706,1))*Q706,0)</f>
        <v>0</v>
      </c>
      <c r="Z706" s="33">
        <f>IF($Y706&gt;0,VLOOKUP($J706,Ruimtegroepen[],3,FALSE)*VLOOKUP($K706,Vloersoorten[],3,FALSE)*VLOOKUP($X706,Frequenties[],3,FALSE)*VLOOKUP(#REF!,Locaties[],3,FALSE),0)</f>
        <v>0</v>
      </c>
      <c r="AA706" s="33"/>
      <c r="AB706" s="33"/>
      <c r="AC706" s="33">
        <f>Ruimtestaat[[#This Row],[uren / jaar weekend]]*Tariefsopbouw!$D$40</f>
        <v>0</v>
      </c>
      <c r="AD706" s="88">
        <f>Ruimtestaat[[#This Row],[Prest. (m2 /jaar) weekend]]+Ruimtestaat[[#This Row],[Prest. (m2 /jaar) werkdagen]]</f>
        <v>1872</v>
      </c>
      <c r="AE706" s="88">
        <f>Ruimtestaat[[#This Row],[uren / jaar weekend]]+Ruimtestaat[[#This Row],[uren / jaar werkdagen]]</f>
        <v>0</v>
      </c>
      <c r="AF706" s="89">
        <f>Ruimtestaat[[#This Row],[kosten / jaar weekend]]+Ruimtestaat[[#This Row],[kosten / jaar werkdagen]]</f>
        <v>0</v>
      </c>
    </row>
    <row r="707" spans="1:32" ht="15" customHeight="1">
      <c r="A707" s="280">
        <v>5</v>
      </c>
      <c r="B707" s="21" t="str">
        <f>VLOOKUP(Ruimtestaat[[#This Row],[Code]],Locaties[#All],2,FALSE)</f>
        <v>SGC Almelo</v>
      </c>
      <c r="C707" s="281" t="str">
        <f>VLOOKUP(Ruimtestaat[[#This Row],[Code]],Locaties[#All],4,FALSE)</f>
        <v>Slot 31</v>
      </c>
      <c r="D707" s="281" t="str">
        <f>VLOOKUP(Ruimtestaat[[#This Row],[Code]],Locaties[#All],5,FALSE)</f>
        <v>7608 ND</v>
      </c>
      <c r="E707" s="281" t="str">
        <f>VLOOKUP(Ruimtestaat[[#This Row],[Code]],Locaties[#All],6,FALSE)</f>
        <v>Almelo</v>
      </c>
      <c r="F707" s="282"/>
      <c r="G707" s="283" t="s">
        <v>533</v>
      </c>
      <c r="H707" s="280" t="s">
        <v>841</v>
      </c>
      <c r="I707" s="282" t="s">
        <v>721</v>
      </c>
      <c r="J707" s="200">
        <v>5</v>
      </c>
      <c r="K707" s="243" t="s">
        <v>111</v>
      </c>
      <c r="L707" s="291" t="s">
        <v>913</v>
      </c>
      <c r="M707" s="213">
        <v>9.5399999999999991</v>
      </c>
      <c r="N707" s="202"/>
      <c r="O707" s="243" t="str">
        <f>VLOOKUP(Ruimtestaat[[#This Row],[Ruimte code]],Ruimtegroepen[#All],4,FALSE)</f>
        <v>S  (Sanitair)</v>
      </c>
      <c r="P707" s="214"/>
      <c r="Q707" s="215">
        <v>40</v>
      </c>
      <c r="R707" s="215" t="s">
        <v>2</v>
      </c>
      <c r="S707" s="215">
        <f>IF(R707&gt;0,IF(RIGHT(Ruimtestaat[[#This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7" s="215">
        <f>IF(S707&gt;0,VLOOKUP($J707,Ruimtegroepen[],3,FALSE)*VLOOKUP($K707,Vloersoorten[],3,FALSE)*VLOOKUP($R707,Frequenties[],3,FALSE)*VLOOKUP($A707,Locaties[],3,FALSE),0)</f>
        <v>0</v>
      </c>
      <c r="U707" s="215">
        <f>Ruimtestaat[[#This Row],[Uitvoeringen werkdagen]]*Ruimtestaat[[#This Row],[Oppervlak (netto)]]</f>
        <v>1907.9999999999998</v>
      </c>
      <c r="V707" s="259">
        <f>IF(T707&gt;0,Ruimtestaat[[#This Row],[Prest. (m2 /jaar) werkdagen]]/Ruimtestaat[[#This Row],[Norm (m2/uur) werkdagen]],0)</f>
        <v>0</v>
      </c>
      <c r="W707" s="260">
        <f>Ruimtestaat[[#This Row],[uren / jaar werkdagen]]*Tariefsopbouw!$D$38</f>
        <v>0</v>
      </c>
      <c r="X707" s="33"/>
      <c r="Y707" s="33">
        <f>IF(Ruimtestaat[[#This Row],[Frequentie weekend]]&gt;0,VALUE(LEFT(X707,1))*Q707,0)</f>
        <v>0</v>
      </c>
      <c r="Z707" s="33">
        <f>IF($Y707&gt;0,VLOOKUP($J707,Ruimtegroepen[],3,FALSE)*VLOOKUP($K707,Vloersoorten[],3,FALSE)*VLOOKUP($X707,Frequenties[],3,FALSE)*VLOOKUP(#REF!,Locaties[],3,FALSE),0)</f>
        <v>0</v>
      </c>
      <c r="AA707" s="33"/>
      <c r="AB707" s="33"/>
      <c r="AC707" s="33">
        <f>Ruimtestaat[[#This Row],[uren / jaar weekend]]*Tariefsopbouw!$D$40</f>
        <v>0</v>
      </c>
      <c r="AD707" s="88">
        <f>Ruimtestaat[[#This Row],[Prest. (m2 /jaar) weekend]]+Ruimtestaat[[#This Row],[Prest. (m2 /jaar) werkdagen]]</f>
        <v>1907.9999999999998</v>
      </c>
      <c r="AE707" s="88">
        <f>Ruimtestaat[[#This Row],[uren / jaar weekend]]+Ruimtestaat[[#This Row],[uren / jaar werkdagen]]</f>
        <v>0</v>
      </c>
      <c r="AF707" s="89">
        <f>Ruimtestaat[[#This Row],[kosten / jaar weekend]]+Ruimtestaat[[#This Row],[kosten / jaar werkdagen]]</f>
        <v>0</v>
      </c>
    </row>
    <row r="708" spans="1:32" ht="15" customHeight="1">
      <c r="A708" s="280">
        <v>5</v>
      </c>
      <c r="B708" s="21" t="str">
        <f>VLOOKUP(Ruimtestaat[[#This Row],[Code]],Locaties[#All],2,FALSE)</f>
        <v>SGC Almelo</v>
      </c>
      <c r="C708" s="281" t="str">
        <f>VLOOKUP(Ruimtestaat[[#This Row],[Code]],Locaties[#All],4,FALSE)</f>
        <v>Slot 31</v>
      </c>
      <c r="D708" s="281" t="str">
        <f>VLOOKUP(Ruimtestaat[[#This Row],[Code]],Locaties[#All],5,FALSE)</f>
        <v>7608 ND</v>
      </c>
      <c r="E708" s="281" t="str">
        <f>VLOOKUP(Ruimtestaat[[#This Row],[Code]],Locaties[#All],6,FALSE)</f>
        <v>Almelo</v>
      </c>
      <c r="F708" s="282"/>
      <c r="G708" s="283" t="s">
        <v>533</v>
      </c>
      <c r="H708" s="280" t="s">
        <v>544</v>
      </c>
      <c r="I708" s="282" t="s">
        <v>396</v>
      </c>
      <c r="J708" s="200">
        <v>16</v>
      </c>
      <c r="K708" s="243" t="s">
        <v>109</v>
      </c>
      <c r="L708" s="291" t="s">
        <v>1046</v>
      </c>
      <c r="M708" s="213">
        <v>68.39</v>
      </c>
      <c r="N708" s="202"/>
      <c r="O708" s="243" t="str">
        <f>VLOOKUP(Ruimtestaat[[#This Row],[Ruimte code]],Ruimtegroepen[#All],4,FALSE)</f>
        <v>L  (Lesruimte)</v>
      </c>
      <c r="P708" s="214"/>
      <c r="Q708" s="215">
        <v>40</v>
      </c>
      <c r="R708" s="215" t="s">
        <v>2</v>
      </c>
      <c r="S708" s="215">
        <f>IF(R708&gt;0,IF(RIGHT(Ruimtestaat[[#This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8" s="215">
        <f>IF(S708&gt;0,VLOOKUP($J708,Ruimtegroepen[],3,FALSE)*VLOOKUP($K708,Vloersoorten[],3,FALSE)*VLOOKUP($R708,Frequenties[],3,FALSE)*VLOOKUP($A708,Locaties[],3,FALSE),0)</f>
        <v>0</v>
      </c>
      <c r="U708" s="215">
        <f>Ruimtestaat[[#This Row],[Uitvoeringen werkdagen]]*Ruimtestaat[[#This Row],[Oppervlak (netto)]]</f>
        <v>13678</v>
      </c>
      <c r="V708" s="259">
        <f>IF(T708&gt;0,Ruimtestaat[[#This Row],[Prest. (m2 /jaar) werkdagen]]/Ruimtestaat[[#This Row],[Norm (m2/uur) werkdagen]],0)</f>
        <v>0</v>
      </c>
      <c r="W708" s="260">
        <f>Ruimtestaat[[#This Row],[uren / jaar werkdagen]]*Tariefsopbouw!$D$38</f>
        <v>0</v>
      </c>
      <c r="X708" s="33"/>
      <c r="Y708" s="33">
        <f>IF(Ruimtestaat[[#This Row],[Frequentie weekend]]&gt;0,VALUE(LEFT(X708,1))*Q708,0)</f>
        <v>0</v>
      </c>
      <c r="Z708" s="33">
        <f>IF($Y708&gt;0,VLOOKUP($J708,Ruimtegroepen[],3,FALSE)*VLOOKUP($K708,Vloersoorten[],3,FALSE)*VLOOKUP($X708,Frequenties[],3,FALSE)*VLOOKUP(#REF!,Locaties[],3,FALSE),0)</f>
        <v>0</v>
      </c>
      <c r="AA708" s="33"/>
      <c r="AB708" s="33"/>
      <c r="AC708" s="33">
        <f>Ruimtestaat[[#This Row],[uren / jaar weekend]]*Tariefsopbouw!$D$40</f>
        <v>0</v>
      </c>
      <c r="AD708" s="88">
        <f>Ruimtestaat[[#This Row],[Prest. (m2 /jaar) weekend]]+Ruimtestaat[[#This Row],[Prest. (m2 /jaar) werkdagen]]</f>
        <v>13678</v>
      </c>
      <c r="AE708" s="88">
        <f>Ruimtestaat[[#This Row],[uren / jaar weekend]]+Ruimtestaat[[#This Row],[uren / jaar werkdagen]]</f>
        <v>0</v>
      </c>
      <c r="AF708" s="89">
        <f>Ruimtestaat[[#This Row],[kosten / jaar weekend]]+Ruimtestaat[[#This Row],[kosten / jaar werkdagen]]</f>
        <v>0</v>
      </c>
    </row>
    <row r="709" spans="1:32" ht="15" customHeight="1">
      <c r="A709" s="280">
        <v>5</v>
      </c>
      <c r="B709" s="21" t="str">
        <f>VLOOKUP(Ruimtestaat[[#This Row],[Code]],Locaties[#All],2,FALSE)</f>
        <v>SGC Almelo</v>
      </c>
      <c r="C709" s="281" t="str">
        <f>VLOOKUP(Ruimtestaat[[#This Row],[Code]],Locaties[#All],4,FALSE)</f>
        <v>Slot 31</v>
      </c>
      <c r="D709" s="281" t="str">
        <f>VLOOKUP(Ruimtestaat[[#This Row],[Code]],Locaties[#All],5,FALSE)</f>
        <v>7608 ND</v>
      </c>
      <c r="E709" s="281" t="str">
        <f>VLOOKUP(Ruimtestaat[[#This Row],[Code]],Locaties[#All],6,FALSE)</f>
        <v>Almelo</v>
      </c>
      <c r="F709" s="282"/>
      <c r="G709" s="283" t="s">
        <v>533</v>
      </c>
      <c r="H709" s="280" t="s">
        <v>545</v>
      </c>
      <c r="I709" s="244" t="s">
        <v>469</v>
      </c>
      <c r="J709" s="200">
        <v>6</v>
      </c>
      <c r="K709" s="243" t="s">
        <v>109</v>
      </c>
      <c r="L709" s="291" t="s">
        <v>1046</v>
      </c>
      <c r="M709" s="213">
        <v>146.72999999999999</v>
      </c>
      <c r="N709" s="213"/>
      <c r="O709" s="243" t="str">
        <f>VLOOKUP(Ruimtestaat[[#This Row],[Ruimte code]],Ruimtegroepen[#All],4,FALSE)</f>
        <v>V  (Verkeersruimte)</v>
      </c>
      <c r="P709" s="214"/>
      <c r="Q709" s="215">
        <v>40</v>
      </c>
      <c r="R709" s="215" t="s">
        <v>2</v>
      </c>
      <c r="S709" s="215">
        <f>IF(R709&gt;0,IF(RIGHT(Ruimtestaat[[#This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09" s="215">
        <f>IF(S709&gt;0,VLOOKUP($J709,Ruimtegroepen[],3,FALSE)*VLOOKUP($K709,Vloersoorten[],3,FALSE)*VLOOKUP($R709,Frequenties[],3,FALSE)*VLOOKUP($A709,Locaties[],3,FALSE),0)</f>
        <v>0</v>
      </c>
      <c r="U709" s="215">
        <f>Ruimtestaat[[#This Row],[Uitvoeringen werkdagen]]*Ruimtestaat[[#This Row],[Oppervlak (netto)]]</f>
        <v>29345.999999999996</v>
      </c>
      <c r="V709" s="259">
        <f>IF(T709&gt;0,Ruimtestaat[[#This Row],[Prest. (m2 /jaar) werkdagen]]/Ruimtestaat[[#This Row],[Norm (m2/uur) werkdagen]],0)</f>
        <v>0</v>
      </c>
      <c r="W709" s="260">
        <f>Ruimtestaat[[#This Row],[uren / jaar werkdagen]]*Tariefsopbouw!$D$38</f>
        <v>0</v>
      </c>
      <c r="X709" s="33"/>
      <c r="Y709" s="33">
        <f>IF(Ruimtestaat[[#This Row],[Frequentie weekend]]&gt;0,VALUE(LEFT(X709,1))*Q709,0)</f>
        <v>0</v>
      </c>
      <c r="Z709" s="33">
        <f>IF($Y709&gt;0,VLOOKUP($J709,Ruimtegroepen[],3,FALSE)*VLOOKUP($K709,Vloersoorten[],3,FALSE)*VLOOKUP($X709,Frequenties[],3,FALSE)*VLOOKUP(#REF!,Locaties[],3,FALSE),0)</f>
        <v>0</v>
      </c>
      <c r="AA709" s="33"/>
      <c r="AB709" s="33"/>
      <c r="AC709" s="33">
        <f>Ruimtestaat[[#This Row],[uren / jaar weekend]]*Tariefsopbouw!$D$40</f>
        <v>0</v>
      </c>
      <c r="AD709" s="88">
        <f>Ruimtestaat[[#This Row],[Prest. (m2 /jaar) weekend]]+Ruimtestaat[[#This Row],[Prest. (m2 /jaar) werkdagen]]</f>
        <v>29345.999999999996</v>
      </c>
      <c r="AE709" s="88">
        <f>Ruimtestaat[[#This Row],[uren / jaar weekend]]+Ruimtestaat[[#This Row],[uren / jaar werkdagen]]</f>
        <v>0</v>
      </c>
      <c r="AF709" s="89">
        <f>Ruimtestaat[[#This Row],[kosten / jaar weekend]]+Ruimtestaat[[#This Row],[kosten / jaar werkdagen]]</f>
        <v>0</v>
      </c>
    </row>
    <row r="710" spans="1:32" ht="15" customHeight="1">
      <c r="A710" s="280">
        <v>5</v>
      </c>
      <c r="B710" s="21" t="str">
        <f>VLOOKUP(Ruimtestaat[[#This Row],[Code]],Locaties[#All],2,FALSE)</f>
        <v>SGC Almelo</v>
      </c>
      <c r="C710" s="281" t="str">
        <f>VLOOKUP(Ruimtestaat[[#This Row],[Code]],Locaties[#All],4,FALSE)</f>
        <v>Slot 31</v>
      </c>
      <c r="D710" s="281" t="str">
        <f>VLOOKUP(Ruimtestaat[[#This Row],[Code]],Locaties[#All],5,FALSE)</f>
        <v>7608 ND</v>
      </c>
      <c r="E710" s="281" t="str">
        <f>VLOOKUP(Ruimtestaat[[#This Row],[Code]],Locaties[#All],6,FALSE)</f>
        <v>Almelo</v>
      </c>
      <c r="F710" s="282"/>
      <c r="G710" s="283" t="s">
        <v>533</v>
      </c>
      <c r="H710" s="280" t="s">
        <v>549</v>
      </c>
      <c r="I710" s="244" t="s">
        <v>487</v>
      </c>
      <c r="J710" s="200">
        <v>2</v>
      </c>
      <c r="K710" s="243" t="s">
        <v>109</v>
      </c>
      <c r="L710" s="291" t="s">
        <v>1046</v>
      </c>
      <c r="M710" s="213">
        <v>14.89</v>
      </c>
      <c r="N710" s="213"/>
      <c r="O710" s="243" t="str">
        <f>VLOOKUP(Ruimtestaat[[#This Row],[Ruimte code]],Ruimtegroepen[#All],4,FALSE)</f>
        <v>B  (Bureauruimte)</v>
      </c>
      <c r="P710" s="214"/>
      <c r="Q710" s="215">
        <v>40</v>
      </c>
      <c r="R710" s="215" t="s">
        <v>2</v>
      </c>
      <c r="S710" s="215">
        <f>IF(R710&gt;0,IF(RIGHT(Ruimtestaat[[#This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0" s="215">
        <f>IF(S710&gt;0,VLOOKUP($J710,Ruimtegroepen[],3,FALSE)*VLOOKUP($K710,Vloersoorten[],3,FALSE)*VLOOKUP($R710,Frequenties[],3,FALSE)*VLOOKUP($A710,Locaties[],3,FALSE),0)</f>
        <v>0</v>
      </c>
      <c r="U710" s="215">
        <f>Ruimtestaat[[#This Row],[Uitvoeringen werkdagen]]*Ruimtestaat[[#This Row],[Oppervlak (netto)]]</f>
        <v>2978</v>
      </c>
      <c r="V710" s="259">
        <f>IF(T710&gt;0,Ruimtestaat[[#This Row],[Prest. (m2 /jaar) werkdagen]]/Ruimtestaat[[#This Row],[Norm (m2/uur) werkdagen]],0)</f>
        <v>0</v>
      </c>
      <c r="W710" s="260">
        <f>Ruimtestaat[[#This Row],[uren / jaar werkdagen]]*Tariefsopbouw!$D$38</f>
        <v>0</v>
      </c>
      <c r="X710" s="33"/>
      <c r="Y710" s="33">
        <f>IF(Ruimtestaat[[#This Row],[Frequentie weekend]]&gt;0,VALUE(LEFT(X710,1))*Q710,0)</f>
        <v>0</v>
      </c>
      <c r="Z710" s="33">
        <f>IF($Y710&gt;0,VLOOKUP($J710,Ruimtegroepen[],3,FALSE)*VLOOKUP($K710,Vloersoorten[],3,FALSE)*VLOOKUP($X710,Frequenties[],3,FALSE)*VLOOKUP(#REF!,Locaties[],3,FALSE),0)</f>
        <v>0</v>
      </c>
      <c r="AA710" s="33"/>
      <c r="AB710" s="33"/>
      <c r="AC710" s="33">
        <f>Ruimtestaat[[#This Row],[uren / jaar weekend]]*Tariefsopbouw!$D$40</f>
        <v>0</v>
      </c>
      <c r="AD710" s="88">
        <f>Ruimtestaat[[#This Row],[Prest. (m2 /jaar) weekend]]+Ruimtestaat[[#This Row],[Prest. (m2 /jaar) werkdagen]]</f>
        <v>2978</v>
      </c>
      <c r="AE710" s="88">
        <f>Ruimtestaat[[#This Row],[uren / jaar weekend]]+Ruimtestaat[[#This Row],[uren / jaar werkdagen]]</f>
        <v>0</v>
      </c>
      <c r="AF710" s="89">
        <f>Ruimtestaat[[#This Row],[kosten / jaar weekend]]+Ruimtestaat[[#This Row],[kosten / jaar werkdagen]]</f>
        <v>0</v>
      </c>
    </row>
    <row r="711" spans="1:32" ht="15" customHeight="1">
      <c r="A711" s="280">
        <v>5</v>
      </c>
      <c r="B711" s="21" t="str">
        <f>VLOOKUP(Ruimtestaat[[#This Row],[Code]],Locaties[#All],2,FALSE)</f>
        <v>SGC Almelo</v>
      </c>
      <c r="C711" s="281" t="str">
        <f>VLOOKUP(Ruimtestaat[[#This Row],[Code]],Locaties[#All],4,FALSE)</f>
        <v>Slot 31</v>
      </c>
      <c r="D711" s="281" t="str">
        <f>VLOOKUP(Ruimtestaat[[#This Row],[Code]],Locaties[#All],5,FALSE)</f>
        <v>7608 ND</v>
      </c>
      <c r="E711" s="281" t="str">
        <f>VLOOKUP(Ruimtestaat[[#This Row],[Code]],Locaties[#All],6,FALSE)</f>
        <v>Almelo</v>
      </c>
      <c r="F711" s="282"/>
      <c r="G711" s="283" t="s">
        <v>533</v>
      </c>
      <c r="H711" s="280" t="s">
        <v>553</v>
      </c>
      <c r="I711" s="282" t="s">
        <v>487</v>
      </c>
      <c r="J711" s="200">
        <v>2</v>
      </c>
      <c r="K711" s="243" t="s">
        <v>109</v>
      </c>
      <c r="L711" s="291" t="s">
        <v>1046</v>
      </c>
      <c r="M711" s="213">
        <v>16.350000000000001</v>
      </c>
      <c r="N711" s="202"/>
      <c r="O711" s="243" t="str">
        <f>VLOOKUP(Ruimtestaat[[#This Row],[Ruimte code]],Ruimtegroepen[#All],4,FALSE)</f>
        <v>B  (Bureauruimte)</v>
      </c>
      <c r="P711" s="214"/>
      <c r="Q711" s="215">
        <v>40</v>
      </c>
      <c r="R711" s="215" t="s">
        <v>2</v>
      </c>
      <c r="S711" s="215">
        <f>IF(R711&gt;0,IF(RIGHT(Ruimtestaat[[#This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1" s="215">
        <f>IF(S711&gt;0,VLOOKUP($J711,Ruimtegroepen[],3,FALSE)*VLOOKUP($K711,Vloersoorten[],3,FALSE)*VLOOKUP($R711,Frequenties[],3,FALSE)*VLOOKUP($A711,Locaties[],3,FALSE),0)</f>
        <v>0</v>
      </c>
      <c r="U711" s="215">
        <f>Ruimtestaat[[#This Row],[Uitvoeringen werkdagen]]*Ruimtestaat[[#This Row],[Oppervlak (netto)]]</f>
        <v>3270.0000000000005</v>
      </c>
      <c r="V711" s="259">
        <f>IF(T711&gt;0,Ruimtestaat[[#This Row],[Prest. (m2 /jaar) werkdagen]]/Ruimtestaat[[#This Row],[Norm (m2/uur) werkdagen]],0)</f>
        <v>0</v>
      </c>
      <c r="W711" s="260">
        <f>Ruimtestaat[[#This Row],[uren / jaar werkdagen]]*Tariefsopbouw!$D$38</f>
        <v>0</v>
      </c>
      <c r="X711" s="33"/>
      <c r="Y711" s="33">
        <f>IF(Ruimtestaat[[#This Row],[Frequentie weekend]]&gt;0,VALUE(LEFT(X711,1))*Q711,0)</f>
        <v>0</v>
      </c>
      <c r="Z711" s="33">
        <f>IF($Y711&gt;0,VLOOKUP($J711,Ruimtegroepen[],3,FALSE)*VLOOKUP($K711,Vloersoorten[],3,FALSE)*VLOOKUP($X711,Frequenties[],3,FALSE)*VLOOKUP(#REF!,Locaties[],3,FALSE),0)</f>
        <v>0</v>
      </c>
      <c r="AA711" s="33"/>
      <c r="AB711" s="33"/>
      <c r="AC711" s="33">
        <f>Ruimtestaat[[#This Row],[uren / jaar weekend]]*Tariefsopbouw!$D$40</f>
        <v>0</v>
      </c>
      <c r="AD711" s="88">
        <f>Ruimtestaat[[#This Row],[Prest. (m2 /jaar) weekend]]+Ruimtestaat[[#This Row],[Prest. (m2 /jaar) werkdagen]]</f>
        <v>3270.0000000000005</v>
      </c>
      <c r="AE711" s="88">
        <f>Ruimtestaat[[#This Row],[uren / jaar weekend]]+Ruimtestaat[[#This Row],[uren / jaar werkdagen]]</f>
        <v>0</v>
      </c>
      <c r="AF711" s="89">
        <f>Ruimtestaat[[#This Row],[kosten / jaar weekend]]+Ruimtestaat[[#This Row],[kosten / jaar werkdagen]]</f>
        <v>0</v>
      </c>
    </row>
    <row r="712" spans="1:32" ht="15" customHeight="1">
      <c r="A712" s="280">
        <v>5</v>
      </c>
      <c r="B712" s="21" t="str">
        <f>VLOOKUP(Ruimtestaat[[#This Row],[Code]],Locaties[#All],2,FALSE)</f>
        <v>SGC Almelo</v>
      </c>
      <c r="C712" s="281" t="str">
        <f>VLOOKUP(Ruimtestaat[[#This Row],[Code]],Locaties[#All],4,FALSE)</f>
        <v>Slot 31</v>
      </c>
      <c r="D712" s="281" t="str">
        <f>VLOOKUP(Ruimtestaat[[#This Row],[Code]],Locaties[#All],5,FALSE)</f>
        <v>7608 ND</v>
      </c>
      <c r="E712" s="281" t="str">
        <f>VLOOKUP(Ruimtestaat[[#This Row],[Code]],Locaties[#All],6,FALSE)</f>
        <v>Almelo</v>
      </c>
      <c r="F712" s="282"/>
      <c r="G712" s="283" t="s">
        <v>533</v>
      </c>
      <c r="H712" s="280" t="s">
        <v>555</v>
      </c>
      <c r="I712" s="282" t="s">
        <v>396</v>
      </c>
      <c r="J712" s="200">
        <v>16</v>
      </c>
      <c r="K712" s="243" t="s">
        <v>109</v>
      </c>
      <c r="L712" s="291" t="s">
        <v>1046</v>
      </c>
      <c r="M712" s="213">
        <v>51.61</v>
      </c>
      <c r="N712" s="202"/>
      <c r="O712" s="243" t="str">
        <f>VLOOKUP(Ruimtestaat[[#This Row],[Ruimte code]],Ruimtegroepen[#All],4,FALSE)</f>
        <v>L  (Lesruimte)</v>
      </c>
      <c r="P712" s="214"/>
      <c r="Q712" s="215">
        <v>40</v>
      </c>
      <c r="R712" s="215" t="s">
        <v>2</v>
      </c>
      <c r="S712" s="215">
        <f>IF(R712&gt;0,IF(RIGHT(Ruimtestaat[[#This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2" s="215">
        <f>IF(S712&gt;0,VLOOKUP($J712,Ruimtegroepen[],3,FALSE)*VLOOKUP($K712,Vloersoorten[],3,FALSE)*VLOOKUP($R712,Frequenties[],3,FALSE)*VLOOKUP($A712,Locaties[],3,FALSE),0)</f>
        <v>0</v>
      </c>
      <c r="U712" s="215">
        <f>Ruimtestaat[[#This Row],[Uitvoeringen werkdagen]]*Ruimtestaat[[#This Row],[Oppervlak (netto)]]</f>
        <v>10322</v>
      </c>
      <c r="V712" s="259">
        <f>IF(T712&gt;0,Ruimtestaat[[#This Row],[Prest. (m2 /jaar) werkdagen]]/Ruimtestaat[[#This Row],[Norm (m2/uur) werkdagen]],0)</f>
        <v>0</v>
      </c>
      <c r="W712" s="260">
        <f>Ruimtestaat[[#This Row],[uren / jaar werkdagen]]*Tariefsopbouw!$D$38</f>
        <v>0</v>
      </c>
      <c r="X712" s="33"/>
      <c r="Y712" s="33">
        <f>IF(Ruimtestaat[[#This Row],[Frequentie weekend]]&gt;0,VALUE(LEFT(X712,1))*Q712,0)</f>
        <v>0</v>
      </c>
      <c r="Z712" s="33">
        <f>IF($Y712&gt;0,VLOOKUP($J712,Ruimtegroepen[],3,FALSE)*VLOOKUP($K712,Vloersoorten[],3,FALSE)*VLOOKUP($X712,Frequenties[],3,FALSE)*VLOOKUP(#REF!,Locaties[],3,FALSE),0)</f>
        <v>0</v>
      </c>
      <c r="AA712" s="33"/>
      <c r="AB712" s="33"/>
      <c r="AC712" s="33">
        <f>Ruimtestaat[[#This Row],[uren / jaar weekend]]*Tariefsopbouw!$D$40</f>
        <v>0</v>
      </c>
      <c r="AD712" s="88">
        <f>Ruimtestaat[[#This Row],[Prest. (m2 /jaar) weekend]]+Ruimtestaat[[#This Row],[Prest. (m2 /jaar) werkdagen]]</f>
        <v>10322</v>
      </c>
      <c r="AE712" s="88">
        <f>Ruimtestaat[[#This Row],[uren / jaar weekend]]+Ruimtestaat[[#This Row],[uren / jaar werkdagen]]</f>
        <v>0</v>
      </c>
      <c r="AF712" s="89">
        <f>Ruimtestaat[[#This Row],[kosten / jaar weekend]]+Ruimtestaat[[#This Row],[kosten / jaar werkdagen]]</f>
        <v>0</v>
      </c>
    </row>
    <row r="713" spans="1:32" ht="15" customHeight="1">
      <c r="A713" s="280">
        <v>5</v>
      </c>
      <c r="B713" s="21" t="str">
        <f>VLOOKUP(Ruimtestaat[[#This Row],[Code]],Locaties[#All],2,FALSE)</f>
        <v>SGC Almelo</v>
      </c>
      <c r="C713" s="281" t="str">
        <f>VLOOKUP(Ruimtestaat[[#This Row],[Code]],Locaties[#All],4,FALSE)</f>
        <v>Slot 31</v>
      </c>
      <c r="D713" s="281" t="str">
        <f>VLOOKUP(Ruimtestaat[[#This Row],[Code]],Locaties[#All],5,FALSE)</f>
        <v>7608 ND</v>
      </c>
      <c r="E713" s="281" t="str">
        <f>VLOOKUP(Ruimtestaat[[#This Row],[Code]],Locaties[#All],6,FALSE)</f>
        <v>Almelo</v>
      </c>
      <c r="F713" s="282"/>
      <c r="G713" s="283" t="s">
        <v>533</v>
      </c>
      <c r="H713" s="280" t="s">
        <v>557</v>
      </c>
      <c r="I713" s="282" t="s">
        <v>396</v>
      </c>
      <c r="J713" s="200">
        <v>16</v>
      </c>
      <c r="K713" s="243" t="s">
        <v>109</v>
      </c>
      <c r="L713" s="291" t="s">
        <v>1046</v>
      </c>
      <c r="M713" s="213">
        <v>51.61</v>
      </c>
      <c r="N713" s="202"/>
      <c r="O713" s="243" t="str">
        <f>VLOOKUP(Ruimtestaat[[#This Row],[Ruimte code]],Ruimtegroepen[#All],4,FALSE)</f>
        <v>L  (Lesruimte)</v>
      </c>
      <c r="P713" s="214"/>
      <c r="Q713" s="215">
        <v>40</v>
      </c>
      <c r="R713" s="215" t="s">
        <v>2</v>
      </c>
      <c r="S713" s="215">
        <f>IF(R713&gt;0,IF(RIGHT(Ruimtestaat[[#This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3" s="215">
        <f>IF(S713&gt;0,VLOOKUP($J713,Ruimtegroepen[],3,FALSE)*VLOOKUP($K713,Vloersoorten[],3,FALSE)*VLOOKUP($R713,Frequenties[],3,FALSE)*VLOOKUP($A713,Locaties[],3,FALSE),0)</f>
        <v>0</v>
      </c>
      <c r="U713" s="215">
        <f>Ruimtestaat[[#This Row],[Uitvoeringen werkdagen]]*Ruimtestaat[[#This Row],[Oppervlak (netto)]]</f>
        <v>10322</v>
      </c>
      <c r="V713" s="259">
        <f>IF(T713&gt;0,Ruimtestaat[[#This Row],[Prest. (m2 /jaar) werkdagen]]/Ruimtestaat[[#This Row],[Norm (m2/uur) werkdagen]],0)</f>
        <v>0</v>
      </c>
      <c r="W713" s="260">
        <f>Ruimtestaat[[#This Row],[uren / jaar werkdagen]]*Tariefsopbouw!$D$38</f>
        <v>0</v>
      </c>
      <c r="X713" s="33"/>
      <c r="Y713" s="33">
        <f>IF(Ruimtestaat[[#This Row],[Frequentie weekend]]&gt;0,VALUE(LEFT(X713,1))*Q713,0)</f>
        <v>0</v>
      </c>
      <c r="Z713" s="33">
        <f>IF($Y713&gt;0,VLOOKUP($J713,Ruimtegroepen[],3,FALSE)*VLOOKUP($K713,Vloersoorten[],3,FALSE)*VLOOKUP($X713,Frequenties[],3,FALSE)*VLOOKUP(#REF!,Locaties[],3,FALSE),0)</f>
        <v>0</v>
      </c>
      <c r="AA713" s="33"/>
      <c r="AB713" s="33"/>
      <c r="AC713" s="33">
        <f>Ruimtestaat[[#This Row],[uren / jaar weekend]]*Tariefsopbouw!$D$40</f>
        <v>0</v>
      </c>
      <c r="AD713" s="88">
        <f>Ruimtestaat[[#This Row],[Prest. (m2 /jaar) weekend]]+Ruimtestaat[[#This Row],[Prest. (m2 /jaar) werkdagen]]</f>
        <v>10322</v>
      </c>
      <c r="AE713" s="88">
        <f>Ruimtestaat[[#This Row],[uren / jaar weekend]]+Ruimtestaat[[#This Row],[uren / jaar werkdagen]]</f>
        <v>0</v>
      </c>
      <c r="AF713" s="89">
        <f>Ruimtestaat[[#This Row],[kosten / jaar weekend]]+Ruimtestaat[[#This Row],[kosten / jaar werkdagen]]</f>
        <v>0</v>
      </c>
    </row>
    <row r="714" spans="1:32" ht="15" customHeight="1">
      <c r="A714" s="280">
        <v>5</v>
      </c>
      <c r="B714" s="21" t="str">
        <f>VLOOKUP(Ruimtestaat[[#This Row],[Code]],Locaties[#All],2,FALSE)</f>
        <v>SGC Almelo</v>
      </c>
      <c r="C714" s="281" t="str">
        <f>VLOOKUP(Ruimtestaat[[#This Row],[Code]],Locaties[#All],4,FALSE)</f>
        <v>Slot 31</v>
      </c>
      <c r="D714" s="281" t="str">
        <f>VLOOKUP(Ruimtestaat[[#This Row],[Code]],Locaties[#All],5,FALSE)</f>
        <v>7608 ND</v>
      </c>
      <c r="E714" s="281" t="str">
        <f>VLOOKUP(Ruimtestaat[[#This Row],[Code]],Locaties[#All],6,FALSE)</f>
        <v>Almelo</v>
      </c>
      <c r="F714" s="282"/>
      <c r="G714" s="283" t="s">
        <v>533</v>
      </c>
      <c r="H714" s="280" t="s">
        <v>558</v>
      </c>
      <c r="I714" s="282" t="s">
        <v>396</v>
      </c>
      <c r="J714" s="200">
        <v>16</v>
      </c>
      <c r="K714" s="243" t="s">
        <v>109</v>
      </c>
      <c r="L714" s="291" t="s">
        <v>1046</v>
      </c>
      <c r="M714" s="213">
        <v>53.58</v>
      </c>
      <c r="N714" s="202"/>
      <c r="O714" s="243" t="str">
        <f>VLOOKUP(Ruimtestaat[[#This Row],[Ruimte code]],Ruimtegroepen[#All],4,FALSE)</f>
        <v>L  (Lesruimte)</v>
      </c>
      <c r="P714" s="214"/>
      <c r="Q714" s="215">
        <v>40</v>
      </c>
      <c r="R714" s="215" t="s">
        <v>2</v>
      </c>
      <c r="S714" s="215">
        <f>IF(R714&gt;0,IF(RIGHT(Ruimtestaat[[#This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4" s="215">
        <f>IF(S714&gt;0,VLOOKUP($J714,Ruimtegroepen[],3,FALSE)*VLOOKUP($K714,Vloersoorten[],3,FALSE)*VLOOKUP($R714,Frequenties[],3,FALSE)*VLOOKUP($A714,Locaties[],3,FALSE),0)</f>
        <v>0</v>
      </c>
      <c r="U714" s="215">
        <f>Ruimtestaat[[#This Row],[Uitvoeringen werkdagen]]*Ruimtestaat[[#This Row],[Oppervlak (netto)]]</f>
        <v>10716</v>
      </c>
      <c r="V714" s="259">
        <f>IF(T714&gt;0,Ruimtestaat[[#This Row],[Prest. (m2 /jaar) werkdagen]]/Ruimtestaat[[#This Row],[Norm (m2/uur) werkdagen]],0)</f>
        <v>0</v>
      </c>
      <c r="W714" s="260">
        <f>Ruimtestaat[[#This Row],[uren / jaar werkdagen]]*Tariefsopbouw!$D$38</f>
        <v>0</v>
      </c>
      <c r="X714" s="33"/>
      <c r="Y714" s="33">
        <f>IF(Ruimtestaat[[#This Row],[Frequentie weekend]]&gt;0,VALUE(LEFT(X714,1))*Q714,0)</f>
        <v>0</v>
      </c>
      <c r="Z714" s="33">
        <f>IF($Y714&gt;0,VLOOKUP($J714,Ruimtegroepen[],3,FALSE)*VLOOKUP($K714,Vloersoorten[],3,FALSE)*VLOOKUP($X714,Frequenties[],3,FALSE)*VLOOKUP(#REF!,Locaties[],3,FALSE),0)</f>
        <v>0</v>
      </c>
      <c r="AA714" s="33"/>
      <c r="AB714" s="33"/>
      <c r="AC714" s="33">
        <f>Ruimtestaat[[#This Row],[uren / jaar weekend]]*Tariefsopbouw!$D$40</f>
        <v>0</v>
      </c>
      <c r="AD714" s="88">
        <f>Ruimtestaat[[#This Row],[Prest. (m2 /jaar) weekend]]+Ruimtestaat[[#This Row],[Prest. (m2 /jaar) werkdagen]]</f>
        <v>10716</v>
      </c>
      <c r="AE714" s="88">
        <f>Ruimtestaat[[#This Row],[uren / jaar weekend]]+Ruimtestaat[[#This Row],[uren / jaar werkdagen]]</f>
        <v>0</v>
      </c>
      <c r="AF714" s="89">
        <f>Ruimtestaat[[#This Row],[kosten / jaar weekend]]+Ruimtestaat[[#This Row],[kosten / jaar werkdagen]]</f>
        <v>0</v>
      </c>
    </row>
    <row r="715" spans="1:32" ht="15" customHeight="1">
      <c r="A715" s="280">
        <v>5</v>
      </c>
      <c r="B715" s="21" t="str">
        <f>VLOOKUP(Ruimtestaat[[#This Row],[Code]],Locaties[#All],2,FALSE)</f>
        <v>SGC Almelo</v>
      </c>
      <c r="C715" s="281" t="str">
        <f>VLOOKUP(Ruimtestaat[[#This Row],[Code]],Locaties[#All],4,FALSE)</f>
        <v>Slot 31</v>
      </c>
      <c r="D715" s="281" t="str">
        <f>VLOOKUP(Ruimtestaat[[#This Row],[Code]],Locaties[#All],5,FALSE)</f>
        <v>7608 ND</v>
      </c>
      <c r="E715" s="281" t="str">
        <f>VLOOKUP(Ruimtestaat[[#This Row],[Code]],Locaties[#All],6,FALSE)</f>
        <v>Almelo</v>
      </c>
      <c r="F715" s="282"/>
      <c r="G715" s="283" t="s">
        <v>533</v>
      </c>
      <c r="H715" s="280" t="s">
        <v>842</v>
      </c>
      <c r="I715" s="282" t="s">
        <v>487</v>
      </c>
      <c r="J715" s="200">
        <v>2</v>
      </c>
      <c r="K715" s="243" t="s">
        <v>109</v>
      </c>
      <c r="L715" s="291" t="s">
        <v>1046</v>
      </c>
      <c r="M715" s="213">
        <v>14.63</v>
      </c>
      <c r="N715" s="202"/>
      <c r="O715" s="243" t="str">
        <f>VLOOKUP(Ruimtestaat[[#This Row],[Ruimte code]],Ruimtegroepen[#All],4,FALSE)</f>
        <v>B  (Bureauruimte)</v>
      </c>
      <c r="P715" s="214"/>
      <c r="Q715" s="215">
        <v>40</v>
      </c>
      <c r="R715" s="215" t="s">
        <v>2</v>
      </c>
      <c r="S715" s="215">
        <f>IF(R715&gt;0,IF(RIGHT(Ruimtestaat[[#This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5" s="215">
        <f>IF(S715&gt;0,VLOOKUP($J715,Ruimtegroepen[],3,FALSE)*VLOOKUP($K715,Vloersoorten[],3,FALSE)*VLOOKUP($R715,Frequenties[],3,FALSE)*VLOOKUP($A715,Locaties[],3,FALSE),0)</f>
        <v>0</v>
      </c>
      <c r="U715" s="215">
        <f>Ruimtestaat[[#This Row],[Uitvoeringen werkdagen]]*Ruimtestaat[[#This Row],[Oppervlak (netto)]]</f>
        <v>2926</v>
      </c>
      <c r="V715" s="259">
        <f>IF(T715&gt;0,Ruimtestaat[[#This Row],[Prest. (m2 /jaar) werkdagen]]/Ruimtestaat[[#This Row],[Norm (m2/uur) werkdagen]],0)</f>
        <v>0</v>
      </c>
      <c r="W715" s="260">
        <f>Ruimtestaat[[#This Row],[uren / jaar werkdagen]]*Tariefsopbouw!$D$38</f>
        <v>0</v>
      </c>
      <c r="X715" s="33"/>
      <c r="Y715" s="33">
        <f>IF(Ruimtestaat[[#This Row],[Frequentie weekend]]&gt;0,VALUE(LEFT(X715,1))*Q715,0)</f>
        <v>0</v>
      </c>
      <c r="Z715" s="33">
        <f>IF($Y715&gt;0,VLOOKUP($J715,Ruimtegroepen[],3,FALSE)*VLOOKUP($K715,Vloersoorten[],3,FALSE)*VLOOKUP($X715,Frequenties[],3,FALSE)*VLOOKUP(#REF!,Locaties[],3,FALSE),0)</f>
        <v>0</v>
      </c>
      <c r="AA715" s="33"/>
      <c r="AB715" s="33"/>
      <c r="AC715" s="33">
        <f>Ruimtestaat[[#This Row],[uren / jaar weekend]]*Tariefsopbouw!$D$40</f>
        <v>0</v>
      </c>
      <c r="AD715" s="88">
        <f>Ruimtestaat[[#This Row],[Prest. (m2 /jaar) weekend]]+Ruimtestaat[[#This Row],[Prest. (m2 /jaar) werkdagen]]</f>
        <v>2926</v>
      </c>
      <c r="AE715" s="88">
        <f>Ruimtestaat[[#This Row],[uren / jaar weekend]]+Ruimtestaat[[#This Row],[uren / jaar werkdagen]]</f>
        <v>0</v>
      </c>
      <c r="AF715" s="89">
        <f>Ruimtestaat[[#This Row],[kosten / jaar weekend]]+Ruimtestaat[[#This Row],[kosten / jaar werkdagen]]</f>
        <v>0</v>
      </c>
    </row>
    <row r="716" spans="1:32" ht="15" customHeight="1">
      <c r="A716" s="280">
        <v>5</v>
      </c>
      <c r="B716" s="21" t="str">
        <f>VLOOKUP(Ruimtestaat[[#This Row],[Code]],Locaties[#All],2,FALSE)</f>
        <v>SGC Almelo</v>
      </c>
      <c r="C716" s="281" t="str">
        <f>VLOOKUP(Ruimtestaat[[#This Row],[Code]],Locaties[#All],4,FALSE)</f>
        <v>Slot 31</v>
      </c>
      <c r="D716" s="281" t="str">
        <f>VLOOKUP(Ruimtestaat[[#This Row],[Code]],Locaties[#All],5,FALSE)</f>
        <v>7608 ND</v>
      </c>
      <c r="E716" s="281" t="str">
        <f>VLOOKUP(Ruimtestaat[[#This Row],[Code]],Locaties[#All],6,FALSE)</f>
        <v>Almelo</v>
      </c>
      <c r="F716" s="282"/>
      <c r="G716" s="283" t="s">
        <v>533</v>
      </c>
      <c r="H716" s="280" t="s">
        <v>559</v>
      </c>
      <c r="I716" s="282" t="s">
        <v>396</v>
      </c>
      <c r="J716" s="200">
        <v>16</v>
      </c>
      <c r="K716" s="243" t="s">
        <v>109</v>
      </c>
      <c r="L716" s="291" t="s">
        <v>1046</v>
      </c>
      <c r="M716" s="213">
        <v>50.22</v>
      </c>
      <c r="N716" s="202"/>
      <c r="O716" s="243" t="str">
        <f>VLOOKUP(Ruimtestaat[[#This Row],[Ruimte code]],Ruimtegroepen[#All],4,FALSE)</f>
        <v>L  (Lesruimte)</v>
      </c>
      <c r="P716" s="214"/>
      <c r="Q716" s="215">
        <v>40</v>
      </c>
      <c r="R716" s="215" t="s">
        <v>2</v>
      </c>
      <c r="S716" s="215">
        <f>IF(R716&gt;0,IF(RIGHT(Ruimtestaat[[#This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6" s="215">
        <f>IF(S716&gt;0,VLOOKUP($J716,Ruimtegroepen[],3,FALSE)*VLOOKUP($K716,Vloersoorten[],3,FALSE)*VLOOKUP($R716,Frequenties[],3,FALSE)*VLOOKUP($A716,Locaties[],3,FALSE),0)</f>
        <v>0</v>
      </c>
      <c r="U716" s="215">
        <f>Ruimtestaat[[#This Row],[Uitvoeringen werkdagen]]*Ruimtestaat[[#This Row],[Oppervlak (netto)]]</f>
        <v>10044</v>
      </c>
      <c r="V716" s="259">
        <f>IF(T716&gt;0,Ruimtestaat[[#This Row],[Prest. (m2 /jaar) werkdagen]]/Ruimtestaat[[#This Row],[Norm (m2/uur) werkdagen]],0)</f>
        <v>0</v>
      </c>
      <c r="W716" s="260">
        <f>Ruimtestaat[[#This Row],[uren / jaar werkdagen]]*Tariefsopbouw!$D$38</f>
        <v>0</v>
      </c>
      <c r="X716" s="33"/>
      <c r="Y716" s="33">
        <f>IF(Ruimtestaat[[#This Row],[Frequentie weekend]]&gt;0,VALUE(LEFT(X716,1))*Q716,0)</f>
        <v>0</v>
      </c>
      <c r="Z716" s="33">
        <f>IF($Y716&gt;0,VLOOKUP($J716,Ruimtegroepen[],3,FALSE)*VLOOKUP($K716,Vloersoorten[],3,FALSE)*VLOOKUP($X716,Frequenties[],3,FALSE)*VLOOKUP(#REF!,Locaties[],3,FALSE),0)</f>
        <v>0</v>
      </c>
      <c r="AA716" s="33"/>
      <c r="AB716" s="33"/>
      <c r="AC716" s="33">
        <f>Ruimtestaat[[#This Row],[uren / jaar weekend]]*Tariefsopbouw!$D$40</f>
        <v>0</v>
      </c>
      <c r="AD716" s="88">
        <f>Ruimtestaat[[#This Row],[Prest. (m2 /jaar) weekend]]+Ruimtestaat[[#This Row],[Prest. (m2 /jaar) werkdagen]]</f>
        <v>10044</v>
      </c>
      <c r="AE716" s="88">
        <f>Ruimtestaat[[#This Row],[uren / jaar weekend]]+Ruimtestaat[[#This Row],[uren / jaar werkdagen]]</f>
        <v>0</v>
      </c>
      <c r="AF716" s="89">
        <f>Ruimtestaat[[#This Row],[kosten / jaar weekend]]+Ruimtestaat[[#This Row],[kosten / jaar werkdagen]]</f>
        <v>0</v>
      </c>
    </row>
    <row r="717" spans="1:32" ht="15" customHeight="1">
      <c r="A717" s="280">
        <v>5</v>
      </c>
      <c r="B717" s="21" t="str">
        <f>VLOOKUP(Ruimtestaat[[#This Row],[Code]],Locaties[#All],2,FALSE)</f>
        <v>SGC Almelo</v>
      </c>
      <c r="C717" s="281" t="str">
        <f>VLOOKUP(Ruimtestaat[[#This Row],[Code]],Locaties[#All],4,FALSE)</f>
        <v>Slot 31</v>
      </c>
      <c r="D717" s="281" t="str">
        <f>VLOOKUP(Ruimtestaat[[#This Row],[Code]],Locaties[#All],5,FALSE)</f>
        <v>7608 ND</v>
      </c>
      <c r="E717" s="281" t="str">
        <f>VLOOKUP(Ruimtestaat[[#This Row],[Code]],Locaties[#All],6,FALSE)</f>
        <v>Almelo</v>
      </c>
      <c r="F717" s="282"/>
      <c r="G717" s="283" t="s">
        <v>533</v>
      </c>
      <c r="H717" s="280" t="s">
        <v>843</v>
      </c>
      <c r="I717" s="282" t="s">
        <v>457</v>
      </c>
      <c r="J717" s="215">
        <v>10</v>
      </c>
      <c r="K717" s="243" t="s">
        <v>109</v>
      </c>
      <c r="L717" s="291" t="s">
        <v>1046</v>
      </c>
      <c r="M717" s="213">
        <v>5.18</v>
      </c>
      <c r="N717" s="202"/>
      <c r="O717" s="243" t="str">
        <f>VLOOKUP(Ruimtestaat[[#This Row],[Ruimte code]],Ruimtegroepen[#All],4,FALSE)</f>
        <v>V  (Verkeersruimte)</v>
      </c>
      <c r="P717" s="214"/>
      <c r="Q717" s="215">
        <v>40</v>
      </c>
      <c r="R717" s="215" t="s">
        <v>2</v>
      </c>
      <c r="S717" s="215">
        <f>IF(R717&gt;0,IF(RIGHT(Ruimtestaat[[#This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7" s="215">
        <f>IF(S717&gt;0,VLOOKUP($J717,Ruimtegroepen[],3,FALSE)*VLOOKUP($K717,Vloersoorten[],3,FALSE)*VLOOKUP($R717,Frequenties[],3,FALSE)*VLOOKUP($A717,Locaties[],3,FALSE),0)</f>
        <v>0</v>
      </c>
      <c r="U717" s="215">
        <f>Ruimtestaat[[#This Row],[Uitvoeringen werkdagen]]*Ruimtestaat[[#This Row],[Oppervlak (netto)]]</f>
        <v>1036</v>
      </c>
      <c r="V717" s="259">
        <f>IF(T717&gt;0,Ruimtestaat[[#This Row],[Prest. (m2 /jaar) werkdagen]]/Ruimtestaat[[#This Row],[Norm (m2/uur) werkdagen]],0)</f>
        <v>0</v>
      </c>
      <c r="W717" s="260">
        <f>Ruimtestaat[[#This Row],[uren / jaar werkdagen]]*Tariefsopbouw!$D$38</f>
        <v>0</v>
      </c>
      <c r="X717" s="33"/>
      <c r="Y717" s="33">
        <f>IF(Ruimtestaat[[#This Row],[Frequentie weekend]]&gt;0,VALUE(LEFT(X717,1))*Q717,0)</f>
        <v>0</v>
      </c>
      <c r="Z717" s="33">
        <f>IF($Y717&gt;0,VLOOKUP($J717,Ruimtegroepen[],3,FALSE)*VLOOKUP($K717,Vloersoorten[],3,FALSE)*VLOOKUP($X717,Frequenties[],3,FALSE)*VLOOKUP(#REF!,Locaties[],3,FALSE),0)</f>
        <v>0</v>
      </c>
      <c r="AA717" s="33"/>
      <c r="AB717" s="33"/>
      <c r="AC717" s="33">
        <f>Ruimtestaat[[#This Row],[uren / jaar weekend]]*Tariefsopbouw!$D$40</f>
        <v>0</v>
      </c>
      <c r="AD717" s="88">
        <f>Ruimtestaat[[#This Row],[Prest. (m2 /jaar) weekend]]+Ruimtestaat[[#This Row],[Prest. (m2 /jaar) werkdagen]]</f>
        <v>1036</v>
      </c>
      <c r="AE717" s="88">
        <f>Ruimtestaat[[#This Row],[uren / jaar weekend]]+Ruimtestaat[[#This Row],[uren / jaar werkdagen]]</f>
        <v>0</v>
      </c>
      <c r="AF717" s="89">
        <f>Ruimtestaat[[#This Row],[kosten / jaar weekend]]+Ruimtestaat[[#This Row],[kosten / jaar werkdagen]]</f>
        <v>0</v>
      </c>
    </row>
    <row r="718" spans="1:32" ht="15" customHeight="1">
      <c r="A718" s="280">
        <v>5</v>
      </c>
      <c r="B718" s="21" t="str">
        <f>VLOOKUP(Ruimtestaat[[#This Row],[Code]],Locaties[#All],2,FALSE)</f>
        <v>SGC Almelo</v>
      </c>
      <c r="C718" s="281" t="str">
        <f>VLOOKUP(Ruimtestaat[[#This Row],[Code]],Locaties[#All],4,FALSE)</f>
        <v>Slot 31</v>
      </c>
      <c r="D718" s="281" t="str">
        <f>VLOOKUP(Ruimtestaat[[#This Row],[Code]],Locaties[#All],5,FALSE)</f>
        <v>7608 ND</v>
      </c>
      <c r="E718" s="281" t="str">
        <f>VLOOKUP(Ruimtestaat[[#This Row],[Code]],Locaties[#All],6,FALSE)</f>
        <v>Almelo</v>
      </c>
      <c r="F718" s="282"/>
      <c r="G718" s="283" t="s">
        <v>533</v>
      </c>
      <c r="H718" s="280" t="s">
        <v>844</v>
      </c>
      <c r="I718" s="282" t="s">
        <v>806</v>
      </c>
      <c r="J718" s="200">
        <v>8</v>
      </c>
      <c r="K718" s="243" t="s">
        <v>109</v>
      </c>
      <c r="L718" s="291" t="s">
        <v>1046</v>
      </c>
      <c r="M718" s="213">
        <v>92.26</v>
      </c>
      <c r="N718" s="202"/>
      <c r="O718" s="243" t="str">
        <f>VLOOKUP(Ruimtestaat[[#This Row],[Ruimte code]],Ruimtegroepen[#All],4,FALSE)</f>
        <v>L  (Lesruimte)</v>
      </c>
      <c r="P718" s="214"/>
      <c r="Q718" s="215">
        <v>40</v>
      </c>
      <c r="R718" s="215" t="s">
        <v>2</v>
      </c>
      <c r="S718" s="215">
        <f>IF(R718&gt;0,IF(RIGHT(Ruimtestaat[[#This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8" s="215">
        <f>IF(S718&gt;0,VLOOKUP($J718,Ruimtegroepen[],3,FALSE)*VLOOKUP($K718,Vloersoorten[],3,FALSE)*VLOOKUP($R718,Frequenties[],3,FALSE)*VLOOKUP($A718,Locaties[],3,FALSE),0)</f>
        <v>0</v>
      </c>
      <c r="U718" s="215">
        <f>Ruimtestaat[[#This Row],[Uitvoeringen werkdagen]]*Ruimtestaat[[#This Row],[Oppervlak (netto)]]</f>
        <v>18452</v>
      </c>
      <c r="V718" s="259">
        <f>IF(T718&gt;0,Ruimtestaat[[#This Row],[Prest. (m2 /jaar) werkdagen]]/Ruimtestaat[[#This Row],[Norm (m2/uur) werkdagen]],0)</f>
        <v>0</v>
      </c>
      <c r="W718" s="260">
        <f>Ruimtestaat[[#This Row],[uren / jaar werkdagen]]*Tariefsopbouw!$D$38</f>
        <v>0</v>
      </c>
      <c r="X718" s="33"/>
      <c r="Y718" s="33">
        <f>IF(Ruimtestaat[[#This Row],[Frequentie weekend]]&gt;0,VALUE(LEFT(X718,1))*Q718,0)</f>
        <v>0</v>
      </c>
      <c r="Z718" s="33">
        <f>IF($Y718&gt;0,VLOOKUP($J718,Ruimtegroepen[],3,FALSE)*VLOOKUP($K718,Vloersoorten[],3,FALSE)*VLOOKUP($X718,Frequenties[],3,FALSE)*VLOOKUP(#REF!,Locaties[],3,FALSE),0)</f>
        <v>0</v>
      </c>
      <c r="AA718" s="33"/>
      <c r="AB718" s="33"/>
      <c r="AC718" s="33">
        <f>Ruimtestaat[[#This Row],[uren / jaar weekend]]*Tariefsopbouw!$D$40</f>
        <v>0</v>
      </c>
      <c r="AD718" s="88">
        <f>Ruimtestaat[[#This Row],[Prest. (m2 /jaar) weekend]]+Ruimtestaat[[#This Row],[Prest. (m2 /jaar) werkdagen]]</f>
        <v>18452</v>
      </c>
      <c r="AE718" s="88">
        <f>Ruimtestaat[[#This Row],[uren / jaar weekend]]+Ruimtestaat[[#This Row],[uren / jaar werkdagen]]</f>
        <v>0</v>
      </c>
      <c r="AF718" s="89">
        <f>Ruimtestaat[[#This Row],[kosten / jaar weekend]]+Ruimtestaat[[#This Row],[kosten / jaar werkdagen]]</f>
        <v>0</v>
      </c>
    </row>
    <row r="719" spans="1:32" ht="15" customHeight="1">
      <c r="A719" s="280">
        <v>5</v>
      </c>
      <c r="B719" s="21" t="str">
        <f>VLOOKUP(Ruimtestaat[[#This Row],[Code]],Locaties[#All],2,FALSE)</f>
        <v>SGC Almelo</v>
      </c>
      <c r="C719" s="281" t="str">
        <f>VLOOKUP(Ruimtestaat[[#This Row],[Code]],Locaties[#All],4,FALSE)</f>
        <v>Slot 31</v>
      </c>
      <c r="D719" s="281" t="str">
        <f>VLOOKUP(Ruimtestaat[[#This Row],[Code]],Locaties[#All],5,FALSE)</f>
        <v>7608 ND</v>
      </c>
      <c r="E719" s="281" t="str">
        <f>VLOOKUP(Ruimtestaat[[#This Row],[Code]],Locaties[#All],6,FALSE)</f>
        <v>Almelo</v>
      </c>
      <c r="F719" s="282"/>
      <c r="G719" s="283" t="s">
        <v>533</v>
      </c>
      <c r="H719" s="280" t="s">
        <v>561</v>
      </c>
      <c r="I719" s="282" t="s">
        <v>396</v>
      </c>
      <c r="J719" s="200">
        <v>16</v>
      </c>
      <c r="K719" s="243" t="s">
        <v>109</v>
      </c>
      <c r="L719" s="291" t="s">
        <v>1046</v>
      </c>
      <c r="M719" s="213">
        <v>51.39</v>
      </c>
      <c r="N719" s="202"/>
      <c r="O719" s="243" t="str">
        <f>VLOOKUP(Ruimtestaat[[#This Row],[Ruimte code]],Ruimtegroepen[#All],4,FALSE)</f>
        <v>L  (Lesruimte)</v>
      </c>
      <c r="P719" s="214"/>
      <c r="Q719" s="215">
        <v>40</v>
      </c>
      <c r="R719" s="215" t="s">
        <v>2</v>
      </c>
      <c r="S719" s="215">
        <f>IF(R719&gt;0,IF(RIGHT(Ruimtestaat[[#This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19" s="215">
        <f>IF(S719&gt;0,VLOOKUP($J719,Ruimtegroepen[],3,FALSE)*VLOOKUP($K719,Vloersoorten[],3,FALSE)*VLOOKUP($R719,Frequenties[],3,FALSE)*VLOOKUP($A719,Locaties[],3,FALSE),0)</f>
        <v>0</v>
      </c>
      <c r="U719" s="215">
        <f>Ruimtestaat[[#This Row],[Uitvoeringen werkdagen]]*Ruimtestaat[[#This Row],[Oppervlak (netto)]]</f>
        <v>10278</v>
      </c>
      <c r="V719" s="259">
        <f>IF(T719&gt;0,Ruimtestaat[[#This Row],[Prest. (m2 /jaar) werkdagen]]/Ruimtestaat[[#This Row],[Norm (m2/uur) werkdagen]],0)</f>
        <v>0</v>
      </c>
      <c r="W719" s="260">
        <f>Ruimtestaat[[#This Row],[uren / jaar werkdagen]]*Tariefsopbouw!$D$38</f>
        <v>0</v>
      </c>
      <c r="X719" s="33"/>
      <c r="Y719" s="33">
        <f>IF(Ruimtestaat[[#This Row],[Frequentie weekend]]&gt;0,VALUE(LEFT(X719,1))*Q719,0)</f>
        <v>0</v>
      </c>
      <c r="Z719" s="33">
        <f>IF($Y719&gt;0,VLOOKUP($J719,Ruimtegroepen[],3,FALSE)*VLOOKUP($K719,Vloersoorten[],3,FALSE)*VLOOKUP($X719,Frequenties[],3,FALSE)*VLOOKUP(#REF!,Locaties[],3,FALSE),0)</f>
        <v>0</v>
      </c>
      <c r="AA719" s="33"/>
      <c r="AB719" s="33"/>
      <c r="AC719" s="33">
        <f>Ruimtestaat[[#This Row],[uren / jaar weekend]]*Tariefsopbouw!$D$40</f>
        <v>0</v>
      </c>
      <c r="AD719" s="88">
        <f>Ruimtestaat[[#This Row],[Prest. (m2 /jaar) weekend]]+Ruimtestaat[[#This Row],[Prest. (m2 /jaar) werkdagen]]</f>
        <v>10278</v>
      </c>
      <c r="AE719" s="88">
        <f>Ruimtestaat[[#This Row],[uren / jaar weekend]]+Ruimtestaat[[#This Row],[uren / jaar werkdagen]]</f>
        <v>0</v>
      </c>
      <c r="AF719" s="89">
        <f>Ruimtestaat[[#This Row],[kosten / jaar weekend]]+Ruimtestaat[[#This Row],[kosten / jaar werkdagen]]</f>
        <v>0</v>
      </c>
    </row>
    <row r="720" spans="1:32" ht="15" customHeight="1">
      <c r="A720" s="280">
        <v>5</v>
      </c>
      <c r="B720" s="21" t="str">
        <f>VLOOKUP(Ruimtestaat[[#This Row],[Code]],Locaties[#All],2,FALSE)</f>
        <v>SGC Almelo</v>
      </c>
      <c r="C720" s="281" t="str">
        <f>VLOOKUP(Ruimtestaat[[#This Row],[Code]],Locaties[#All],4,FALSE)</f>
        <v>Slot 31</v>
      </c>
      <c r="D720" s="281" t="str">
        <f>VLOOKUP(Ruimtestaat[[#This Row],[Code]],Locaties[#All],5,FALSE)</f>
        <v>7608 ND</v>
      </c>
      <c r="E720" s="281" t="str">
        <f>VLOOKUP(Ruimtestaat[[#This Row],[Code]],Locaties[#All],6,FALSE)</f>
        <v>Almelo</v>
      </c>
      <c r="F720" s="282"/>
      <c r="G720" s="283" t="s">
        <v>533</v>
      </c>
      <c r="H720" s="280" t="s">
        <v>845</v>
      </c>
      <c r="I720" s="282" t="s">
        <v>455</v>
      </c>
      <c r="J720" s="200">
        <v>10</v>
      </c>
      <c r="K720" s="243" t="s">
        <v>109</v>
      </c>
      <c r="L720" s="291" t="s">
        <v>1046</v>
      </c>
      <c r="M720" s="213">
        <v>10.82</v>
      </c>
      <c r="N720" s="202"/>
      <c r="O720" s="243" t="str">
        <f>VLOOKUP(Ruimtestaat[[#This Row],[Ruimte code]],Ruimtegroepen[#All],4,FALSE)</f>
        <v>V  (Verkeersruimte)</v>
      </c>
      <c r="P720" s="214"/>
      <c r="Q720" s="215">
        <v>40</v>
      </c>
      <c r="R720" s="215" t="s">
        <v>2</v>
      </c>
      <c r="S720" s="215">
        <f>IF(R720&gt;0,IF(RIGHT(Ruimtestaat[[#This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0" s="215">
        <f>IF(S720&gt;0,VLOOKUP($J720,Ruimtegroepen[],3,FALSE)*VLOOKUP($K720,Vloersoorten[],3,FALSE)*VLOOKUP($R720,Frequenties[],3,FALSE)*VLOOKUP($A720,Locaties[],3,FALSE),0)</f>
        <v>0</v>
      </c>
      <c r="U720" s="215">
        <f>Ruimtestaat[[#This Row],[Uitvoeringen werkdagen]]*Ruimtestaat[[#This Row],[Oppervlak (netto)]]</f>
        <v>2164</v>
      </c>
      <c r="V720" s="259">
        <f>IF(T720&gt;0,Ruimtestaat[[#This Row],[Prest. (m2 /jaar) werkdagen]]/Ruimtestaat[[#This Row],[Norm (m2/uur) werkdagen]],0)</f>
        <v>0</v>
      </c>
      <c r="W720" s="260">
        <f>Ruimtestaat[[#This Row],[uren / jaar werkdagen]]*Tariefsopbouw!$D$38</f>
        <v>0</v>
      </c>
      <c r="X720" s="33"/>
      <c r="Y720" s="33">
        <f>IF(Ruimtestaat[[#This Row],[Frequentie weekend]]&gt;0,VALUE(LEFT(X720,1))*Q720,0)</f>
        <v>0</v>
      </c>
      <c r="Z720" s="33">
        <f>IF($Y720&gt;0,VLOOKUP($J720,Ruimtegroepen[],3,FALSE)*VLOOKUP($K720,Vloersoorten[],3,FALSE)*VLOOKUP($X720,Frequenties[],3,FALSE)*VLOOKUP(#REF!,Locaties[],3,FALSE),0)</f>
        <v>0</v>
      </c>
      <c r="AA720" s="33"/>
      <c r="AB720" s="33"/>
      <c r="AC720" s="33">
        <f>Ruimtestaat[[#This Row],[uren / jaar weekend]]*Tariefsopbouw!$D$40</f>
        <v>0</v>
      </c>
      <c r="AD720" s="88">
        <f>Ruimtestaat[[#This Row],[Prest. (m2 /jaar) weekend]]+Ruimtestaat[[#This Row],[Prest. (m2 /jaar) werkdagen]]</f>
        <v>2164</v>
      </c>
      <c r="AE720" s="88">
        <f>Ruimtestaat[[#This Row],[uren / jaar weekend]]+Ruimtestaat[[#This Row],[uren / jaar werkdagen]]</f>
        <v>0</v>
      </c>
      <c r="AF720" s="89">
        <f>Ruimtestaat[[#This Row],[kosten / jaar weekend]]+Ruimtestaat[[#This Row],[kosten / jaar werkdagen]]</f>
        <v>0</v>
      </c>
    </row>
    <row r="721" spans="1:32" ht="15" customHeight="1">
      <c r="A721" s="280">
        <v>5</v>
      </c>
      <c r="B721" s="21" t="str">
        <f>VLOOKUP(Ruimtestaat[[#This Row],[Code]],Locaties[#All],2,FALSE)</f>
        <v>SGC Almelo</v>
      </c>
      <c r="C721" s="281" t="str">
        <f>VLOOKUP(Ruimtestaat[[#This Row],[Code]],Locaties[#All],4,FALSE)</f>
        <v>Slot 31</v>
      </c>
      <c r="D721" s="281" t="str">
        <f>VLOOKUP(Ruimtestaat[[#This Row],[Code]],Locaties[#All],5,FALSE)</f>
        <v>7608 ND</v>
      </c>
      <c r="E721" s="281" t="str">
        <f>VLOOKUP(Ruimtestaat[[#This Row],[Code]],Locaties[#All],6,FALSE)</f>
        <v>Almelo</v>
      </c>
      <c r="F721" s="282"/>
      <c r="G721" s="283" t="s">
        <v>533</v>
      </c>
      <c r="H721" s="280" t="s">
        <v>562</v>
      </c>
      <c r="I721" s="282" t="s">
        <v>396</v>
      </c>
      <c r="J721" s="200">
        <v>16</v>
      </c>
      <c r="K721" s="243" t="s">
        <v>109</v>
      </c>
      <c r="L721" s="291" t="s">
        <v>1046</v>
      </c>
      <c r="M721" s="213">
        <v>51.61</v>
      </c>
      <c r="N721" s="202"/>
      <c r="O721" s="243" t="str">
        <f>VLOOKUP(Ruimtestaat[[#This Row],[Ruimte code]],Ruimtegroepen[#All],4,FALSE)</f>
        <v>L  (Lesruimte)</v>
      </c>
      <c r="P721" s="214"/>
      <c r="Q721" s="215">
        <v>40</v>
      </c>
      <c r="R721" s="215" t="s">
        <v>2</v>
      </c>
      <c r="S721" s="215">
        <f>IF(R721&gt;0,IF(RIGHT(Ruimtestaat[[#This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1" s="215">
        <f>IF(S721&gt;0,VLOOKUP($J721,Ruimtegroepen[],3,FALSE)*VLOOKUP($K721,Vloersoorten[],3,FALSE)*VLOOKUP($R721,Frequenties[],3,FALSE)*VLOOKUP($A721,Locaties[],3,FALSE),0)</f>
        <v>0</v>
      </c>
      <c r="U721" s="215">
        <f>Ruimtestaat[[#This Row],[Uitvoeringen werkdagen]]*Ruimtestaat[[#This Row],[Oppervlak (netto)]]</f>
        <v>10322</v>
      </c>
      <c r="V721" s="259">
        <f>IF(T721&gt;0,Ruimtestaat[[#This Row],[Prest. (m2 /jaar) werkdagen]]/Ruimtestaat[[#This Row],[Norm (m2/uur) werkdagen]],0)</f>
        <v>0</v>
      </c>
      <c r="W721" s="260">
        <f>Ruimtestaat[[#This Row],[uren / jaar werkdagen]]*Tariefsopbouw!$D$38</f>
        <v>0</v>
      </c>
      <c r="X721" s="33"/>
      <c r="Y721" s="33">
        <f>IF(Ruimtestaat[[#This Row],[Frequentie weekend]]&gt;0,VALUE(LEFT(X721,1))*Q721,0)</f>
        <v>0</v>
      </c>
      <c r="Z721" s="33">
        <f>IF($Y721&gt;0,VLOOKUP($J721,Ruimtegroepen[],3,FALSE)*VLOOKUP($K721,Vloersoorten[],3,FALSE)*VLOOKUP($X721,Frequenties[],3,FALSE)*VLOOKUP(#REF!,Locaties[],3,FALSE),0)</f>
        <v>0</v>
      </c>
      <c r="AA721" s="33"/>
      <c r="AB721" s="33"/>
      <c r="AC721" s="33">
        <f>Ruimtestaat[[#This Row],[uren / jaar weekend]]*Tariefsopbouw!$D$40</f>
        <v>0</v>
      </c>
      <c r="AD721" s="88">
        <f>Ruimtestaat[[#This Row],[Prest. (m2 /jaar) weekend]]+Ruimtestaat[[#This Row],[Prest. (m2 /jaar) werkdagen]]</f>
        <v>10322</v>
      </c>
      <c r="AE721" s="88">
        <f>Ruimtestaat[[#This Row],[uren / jaar weekend]]+Ruimtestaat[[#This Row],[uren / jaar werkdagen]]</f>
        <v>0</v>
      </c>
      <c r="AF721" s="89">
        <f>Ruimtestaat[[#This Row],[kosten / jaar weekend]]+Ruimtestaat[[#This Row],[kosten / jaar werkdagen]]</f>
        <v>0</v>
      </c>
    </row>
    <row r="722" spans="1:32" ht="15" customHeight="1">
      <c r="A722" s="280">
        <v>5</v>
      </c>
      <c r="B722" s="21" t="str">
        <f>VLOOKUP(Ruimtestaat[[#This Row],[Code]],Locaties[#All],2,FALSE)</f>
        <v>SGC Almelo</v>
      </c>
      <c r="C722" s="281" t="str">
        <f>VLOOKUP(Ruimtestaat[[#This Row],[Code]],Locaties[#All],4,FALSE)</f>
        <v>Slot 31</v>
      </c>
      <c r="D722" s="281" t="str">
        <f>VLOOKUP(Ruimtestaat[[#This Row],[Code]],Locaties[#All],5,FALSE)</f>
        <v>7608 ND</v>
      </c>
      <c r="E722" s="281" t="str">
        <f>VLOOKUP(Ruimtestaat[[#This Row],[Code]],Locaties[#All],6,FALSE)</f>
        <v>Almelo</v>
      </c>
      <c r="F722" s="282"/>
      <c r="G722" s="283" t="s">
        <v>533</v>
      </c>
      <c r="H722" s="280" t="s">
        <v>563</v>
      </c>
      <c r="I722" s="282" t="s">
        <v>396</v>
      </c>
      <c r="J722" s="200">
        <v>16</v>
      </c>
      <c r="K722" s="243" t="s">
        <v>109</v>
      </c>
      <c r="L722" s="291" t="s">
        <v>1046</v>
      </c>
      <c r="M722" s="213">
        <v>51.61</v>
      </c>
      <c r="N722" s="202"/>
      <c r="O722" s="243" t="str">
        <f>VLOOKUP(Ruimtestaat[[#This Row],[Ruimte code]],Ruimtegroepen[#All],4,FALSE)</f>
        <v>L  (Lesruimte)</v>
      </c>
      <c r="P722" s="214"/>
      <c r="Q722" s="215">
        <v>40</v>
      </c>
      <c r="R722" s="215" t="s">
        <v>2</v>
      </c>
      <c r="S722" s="215">
        <f>IF(R722&gt;0,IF(RIGHT(Ruimtestaat[[#This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2" s="215">
        <f>IF(S722&gt;0,VLOOKUP($J722,Ruimtegroepen[],3,FALSE)*VLOOKUP($K722,Vloersoorten[],3,FALSE)*VLOOKUP($R722,Frequenties[],3,FALSE)*VLOOKUP($A722,Locaties[],3,FALSE),0)</f>
        <v>0</v>
      </c>
      <c r="U722" s="215">
        <f>Ruimtestaat[[#This Row],[Uitvoeringen werkdagen]]*Ruimtestaat[[#This Row],[Oppervlak (netto)]]</f>
        <v>10322</v>
      </c>
      <c r="V722" s="259">
        <f>IF(T722&gt;0,Ruimtestaat[[#This Row],[Prest. (m2 /jaar) werkdagen]]/Ruimtestaat[[#This Row],[Norm (m2/uur) werkdagen]],0)</f>
        <v>0</v>
      </c>
      <c r="W722" s="260">
        <f>Ruimtestaat[[#This Row],[uren / jaar werkdagen]]*Tariefsopbouw!$D$38</f>
        <v>0</v>
      </c>
      <c r="X722" s="33"/>
      <c r="Y722" s="33">
        <f>IF(Ruimtestaat[[#This Row],[Frequentie weekend]]&gt;0,VALUE(LEFT(X722,1))*Q722,0)</f>
        <v>0</v>
      </c>
      <c r="Z722" s="33">
        <f>IF($Y722&gt;0,VLOOKUP($J722,Ruimtegroepen[],3,FALSE)*VLOOKUP($K722,Vloersoorten[],3,FALSE)*VLOOKUP($X722,Frequenties[],3,FALSE)*VLOOKUP(#REF!,Locaties[],3,FALSE),0)</f>
        <v>0</v>
      </c>
      <c r="AA722" s="33"/>
      <c r="AB722" s="33"/>
      <c r="AC722" s="33">
        <f>Ruimtestaat[[#This Row],[uren / jaar weekend]]*Tariefsopbouw!$D$40</f>
        <v>0</v>
      </c>
      <c r="AD722" s="88">
        <f>Ruimtestaat[[#This Row],[Prest. (m2 /jaar) weekend]]+Ruimtestaat[[#This Row],[Prest. (m2 /jaar) werkdagen]]</f>
        <v>10322</v>
      </c>
      <c r="AE722" s="88">
        <f>Ruimtestaat[[#This Row],[uren / jaar weekend]]+Ruimtestaat[[#This Row],[uren / jaar werkdagen]]</f>
        <v>0</v>
      </c>
      <c r="AF722" s="89">
        <f>Ruimtestaat[[#This Row],[kosten / jaar weekend]]+Ruimtestaat[[#This Row],[kosten / jaar werkdagen]]</f>
        <v>0</v>
      </c>
    </row>
    <row r="723" spans="1:32" ht="15" customHeight="1">
      <c r="A723" s="280">
        <v>5</v>
      </c>
      <c r="B723" s="21" t="str">
        <f>VLOOKUP(Ruimtestaat[[#This Row],[Code]],Locaties[#All],2,FALSE)</f>
        <v>SGC Almelo</v>
      </c>
      <c r="C723" s="281" t="str">
        <f>VLOOKUP(Ruimtestaat[[#This Row],[Code]],Locaties[#All],4,FALSE)</f>
        <v>Slot 31</v>
      </c>
      <c r="D723" s="281" t="str">
        <f>VLOOKUP(Ruimtestaat[[#This Row],[Code]],Locaties[#All],5,FALSE)</f>
        <v>7608 ND</v>
      </c>
      <c r="E723" s="281" t="str">
        <f>VLOOKUP(Ruimtestaat[[#This Row],[Code]],Locaties[#All],6,FALSE)</f>
        <v>Almelo</v>
      </c>
      <c r="F723" s="282"/>
      <c r="G723" s="283" t="s">
        <v>533</v>
      </c>
      <c r="H723" s="280" t="s">
        <v>564</v>
      </c>
      <c r="I723" s="282" t="s">
        <v>447</v>
      </c>
      <c r="J723" s="200">
        <v>21</v>
      </c>
      <c r="K723" s="243" t="s">
        <v>110</v>
      </c>
      <c r="L723" s="291" t="s">
        <v>132</v>
      </c>
      <c r="M723" s="213"/>
      <c r="N723" s="202">
        <v>10.1</v>
      </c>
      <c r="O723" s="243" t="str">
        <f>VLOOKUP(Ruimtestaat[[#This Row],[Ruimte code]],Ruimtegroepen[#All],4,FALSE)</f>
        <v>Niet in onderhoud</v>
      </c>
      <c r="P723" s="214"/>
      <c r="Q723" s="215"/>
      <c r="R723" s="215"/>
      <c r="S723" s="215">
        <f>IF(R723&gt;0,IF(RIGHT(Ruimtestaat[[#This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23" s="215">
        <f>IF(S723&gt;0,VLOOKUP($J723,Ruimtegroepen[],3,FALSE)*VLOOKUP($K723,Vloersoorten[],3,FALSE)*VLOOKUP($R723,Frequenties[],3,FALSE)*VLOOKUP($A723,Locaties[],3,FALSE),0)</f>
        <v>0</v>
      </c>
      <c r="U723" s="215">
        <f>Ruimtestaat[[#This Row],[Uitvoeringen werkdagen]]*Ruimtestaat[[#This Row],[Oppervlak (netto)]]</f>
        <v>0</v>
      </c>
      <c r="V723" s="259">
        <f>IF(T723&gt;0,Ruimtestaat[[#This Row],[Prest. (m2 /jaar) werkdagen]]/Ruimtestaat[[#This Row],[Norm (m2/uur) werkdagen]],0)</f>
        <v>0</v>
      </c>
      <c r="W723" s="260">
        <f>Ruimtestaat[[#This Row],[uren / jaar werkdagen]]*Tariefsopbouw!$D$38</f>
        <v>0</v>
      </c>
      <c r="X723" s="33"/>
      <c r="Y723" s="33">
        <f>IF(Ruimtestaat[[#This Row],[Frequentie weekend]]&gt;0,VALUE(LEFT(X723,1))*Q723,0)</f>
        <v>0</v>
      </c>
      <c r="Z723" s="33">
        <f>IF($Y723&gt;0,VLOOKUP($J723,Ruimtegroepen[],3,FALSE)*VLOOKUP($K723,Vloersoorten[],3,FALSE)*VLOOKUP($X723,Frequenties[],3,FALSE)*VLOOKUP(#REF!,Locaties[],3,FALSE),0)</f>
        <v>0</v>
      </c>
      <c r="AA723" s="33"/>
      <c r="AB723" s="33"/>
      <c r="AC723" s="33">
        <f>Ruimtestaat[[#This Row],[uren / jaar weekend]]*Tariefsopbouw!$D$40</f>
        <v>0</v>
      </c>
      <c r="AD723" s="88">
        <f>Ruimtestaat[[#This Row],[Prest. (m2 /jaar) weekend]]+Ruimtestaat[[#This Row],[Prest. (m2 /jaar) werkdagen]]</f>
        <v>0</v>
      </c>
      <c r="AE723" s="88">
        <f>Ruimtestaat[[#This Row],[uren / jaar weekend]]+Ruimtestaat[[#This Row],[uren / jaar werkdagen]]</f>
        <v>0</v>
      </c>
      <c r="AF723" s="89">
        <f>Ruimtestaat[[#This Row],[kosten / jaar weekend]]+Ruimtestaat[[#This Row],[kosten / jaar werkdagen]]</f>
        <v>0</v>
      </c>
    </row>
    <row r="724" spans="1:32" ht="15" customHeight="1">
      <c r="A724" s="280">
        <v>5</v>
      </c>
      <c r="B724" s="21" t="str">
        <f>VLOOKUP(Ruimtestaat[[#This Row],[Code]],Locaties[#All],2,FALSE)</f>
        <v>SGC Almelo</v>
      </c>
      <c r="C724" s="281" t="str">
        <f>VLOOKUP(Ruimtestaat[[#This Row],[Code]],Locaties[#All],4,FALSE)</f>
        <v>Slot 31</v>
      </c>
      <c r="D724" s="281" t="str">
        <f>VLOOKUP(Ruimtestaat[[#This Row],[Code]],Locaties[#All],5,FALSE)</f>
        <v>7608 ND</v>
      </c>
      <c r="E724" s="281" t="str">
        <f>VLOOKUP(Ruimtestaat[[#This Row],[Code]],Locaties[#All],6,FALSE)</f>
        <v>Almelo</v>
      </c>
      <c r="F724" s="282"/>
      <c r="G724" s="283" t="s">
        <v>533</v>
      </c>
      <c r="H724" s="280" t="s">
        <v>846</v>
      </c>
      <c r="I724" s="282" t="s">
        <v>469</v>
      </c>
      <c r="J724" s="200">
        <v>6</v>
      </c>
      <c r="K724" s="243" t="s">
        <v>109</v>
      </c>
      <c r="L724" s="291" t="s">
        <v>1046</v>
      </c>
      <c r="M724" s="213">
        <v>128.96</v>
      </c>
      <c r="N724" s="202"/>
      <c r="O724" s="243" t="str">
        <f>VLOOKUP(Ruimtestaat[[#This Row],[Ruimte code]],Ruimtegroepen[#All],4,FALSE)</f>
        <v>V  (Verkeersruimte)</v>
      </c>
      <c r="P724" s="214"/>
      <c r="Q724" s="215">
        <v>40</v>
      </c>
      <c r="R724" s="215" t="s">
        <v>2</v>
      </c>
      <c r="S724" s="215">
        <f>IF(R724&gt;0,IF(RIGHT(Ruimtestaat[[#This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4" s="215">
        <f>IF(S724&gt;0,VLOOKUP($J724,Ruimtegroepen[],3,FALSE)*VLOOKUP($K724,Vloersoorten[],3,FALSE)*VLOOKUP($R724,Frequenties[],3,FALSE)*VLOOKUP($A724,Locaties[],3,FALSE),0)</f>
        <v>0</v>
      </c>
      <c r="U724" s="215">
        <f>Ruimtestaat[[#This Row],[Uitvoeringen werkdagen]]*Ruimtestaat[[#This Row],[Oppervlak (netto)]]</f>
        <v>25792</v>
      </c>
      <c r="V724" s="259">
        <f>IF(T724&gt;0,Ruimtestaat[[#This Row],[Prest. (m2 /jaar) werkdagen]]/Ruimtestaat[[#This Row],[Norm (m2/uur) werkdagen]],0)</f>
        <v>0</v>
      </c>
      <c r="W724" s="260">
        <f>Ruimtestaat[[#This Row],[uren / jaar werkdagen]]*Tariefsopbouw!$D$38</f>
        <v>0</v>
      </c>
      <c r="X724" s="33"/>
      <c r="Y724" s="33">
        <f>IF(Ruimtestaat[[#This Row],[Frequentie weekend]]&gt;0,VALUE(LEFT(X724,1))*Q724,0)</f>
        <v>0</v>
      </c>
      <c r="Z724" s="33">
        <f>IF($Y724&gt;0,VLOOKUP($J724,Ruimtegroepen[],3,FALSE)*VLOOKUP($K724,Vloersoorten[],3,FALSE)*VLOOKUP($X724,Frequenties[],3,FALSE)*VLOOKUP(#REF!,Locaties[],3,FALSE),0)</f>
        <v>0</v>
      </c>
      <c r="AA724" s="33"/>
      <c r="AB724" s="33"/>
      <c r="AC724" s="33">
        <f>Ruimtestaat[[#This Row],[uren / jaar weekend]]*Tariefsopbouw!$D$40</f>
        <v>0</v>
      </c>
      <c r="AD724" s="88">
        <f>Ruimtestaat[[#This Row],[Prest. (m2 /jaar) weekend]]+Ruimtestaat[[#This Row],[Prest. (m2 /jaar) werkdagen]]</f>
        <v>25792</v>
      </c>
      <c r="AE724" s="88">
        <f>Ruimtestaat[[#This Row],[uren / jaar weekend]]+Ruimtestaat[[#This Row],[uren / jaar werkdagen]]</f>
        <v>0</v>
      </c>
      <c r="AF724" s="89">
        <f>Ruimtestaat[[#This Row],[kosten / jaar weekend]]+Ruimtestaat[[#This Row],[kosten / jaar werkdagen]]</f>
        <v>0</v>
      </c>
    </row>
    <row r="725" spans="1:32" ht="15" customHeight="1">
      <c r="A725" s="280">
        <v>5</v>
      </c>
      <c r="B725" s="21" t="str">
        <f>VLOOKUP(Ruimtestaat[[#This Row],[Code]],Locaties[#All],2,FALSE)</f>
        <v>SGC Almelo</v>
      </c>
      <c r="C725" s="281" t="str">
        <f>VLOOKUP(Ruimtestaat[[#This Row],[Code]],Locaties[#All],4,FALSE)</f>
        <v>Slot 31</v>
      </c>
      <c r="D725" s="281" t="str">
        <f>VLOOKUP(Ruimtestaat[[#This Row],[Code]],Locaties[#All],5,FALSE)</f>
        <v>7608 ND</v>
      </c>
      <c r="E725" s="281" t="str">
        <f>VLOOKUP(Ruimtestaat[[#This Row],[Code]],Locaties[#All],6,FALSE)</f>
        <v>Almelo</v>
      </c>
      <c r="F725" s="282"/>
      <c r="G725" s="283" t="s">
        <v>533</v>
      </c>
      <c r="H725" s="200" t="s">
        <v>565</v>
      </c>
      <c r="I725" s="244" t="s">
        <v>487</v>
      </c>
      <c r="J725" s="200">
        <v>2</v>
      </c>
      <c r="K725" s="243" t="s">
        <v>109</v>
      </c>
      <c r="L725" s="291" t="s">
        <v>1046</v>
      </c>
      <c r="M725" s="213">
        <v>23.31</v>
      </c>
      <c r="N725" s="202"/>
      <c r="O725" s="243" t="str">
        <f>VLOOKUP(Ruimtestaat[[#This Row],[Ruimte code]],Ruimtegroepen[#All],4,FALSE)</f>
        <v>B  (Bureauruimte)</v>
      </c>
      <c r="P725" s="214"/>
      <c r="Q725" s="215">
        <v>40</v>
      </c>
      <c r="R725" s="215" t="s">
        <v>2</v>
      </c>
      <c r="S725" s="215">
        <f>IF(R725&gt;0,IF(RIGHT(Ruimtestaat[[#This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5" s="215">
        <f>IF(S725&gt;0,VLOOKUP($J725,Ruimtegroepen[],3,FALSE)*VLOOKUP($K725,Vloersoorten[],3,FALSE)*VLOOKUP($R725,Frequenties[],3,FALSE)*VLOOKUP($A725,Locaties[],3,FALSE),0)</f>
        <v>0</v>
      </c>
      <c r="U725" s="215">
        <f>Ruimtestaat[[#This Row],[Uitvoeringen werkdagen]]*Ruimtestaat[[#This Row],[Oppervlak (netto)]]</f>
        <v>4662</v>
      </c>
      <c r="V725" s="259">
        <f>IF(T725&gt;0,Ruimtestaat[[#This Row],[Prest. (m2 /jaar) werkdagen]]/Ruimtestaat[[#This Row],[Norm (m2/uur) werkdagen]],0)</f>
        <v>0</v>
      </c>
      <c r="W725" s="260">
        <f>Ruimtestaat[[#This Row],[uren / jaar werkdagen]]*Tariefsopbouw!$D$38</f>
        <v>0</v>
      </c>
      <c r="X725" s="33"/>
      <c r="Y725" s="33">
        <f>IF(Ruimtestaat[[#This Row],[Frequentie weekend]]&gt;0,VALUE(LEFT(X725,1))*Q725,0)</f>
        <v>0</v>
      </c>
      <c r="Z725" s="33">
        <f>IF($Y725&gt;0,VLOOKUP($J725,Ruimtegroepen[],3,FALSE)*VLOOKUP($K725,Vloersoorten[],3,FALSE)*VLOOKUP($X725,Frequenties[],3,FALSE)*VLOOKUP(#REF!,Locaties[],3,FALSE),0)</f>
        <v>0</v>
      </c>
      <c r="AA725" s="33"/>
      <c r="AB725" s="33"/>
      <c r="AC725" s="33">
        <f>Ruimtestaat[[#This Row],[uren / jaar weekend]]*Tariefsopbouw!$D$40</f>
        <v>0</v>
      </c>
      <c r="AD725" s="88">
        <f>Ruimtestaat[[#This Row],[Prest. (m2 /jaar) weekend]]+Ruimtestaat[[#This Row],[Prest. (m2 /jaar) werkdagen]]</f>
        <v>4662</v>
      </c>
      <c r="AE725" s="88">
        <f>Ruimtestaat[[#This Row],[uren / jaar weekend]]+Ruimtestaat[[#This Row],[uren / jaar werkdagen]]</f>
        <v>0</v>
      </c>
      <c r="AF725" s="89">
        <f>Ruimtestaat[[#This Row],[kosten / jaar weekend]]+Ruimtestaat[[#This Row],[kosten / jaar werkdagen]]</f>
        <v>0</v>
      </c>
    </row>
    <row r="726" spans="1:32" ht="15" customHeight="1">
      <c r="A726" s="280">
        <v>5</v>
      </c>
      <c r="B726" s="21" t="str">
        <f>VLOOKUP(Ruimtestaat[[#This Row],[Code]],Locaties[#All],2,FALSE)</f>
        <v>SGC Almelo</v>
      </c>
      <c r="C726" s="281" t="str">
        <f>VLOOKUP(Ruimtestaat[[#This Row],[Code]],Locaties[#All],4,FALSE)</f>
        <v>Slot 31</v>
      </c>
      <c r="D726" s="281" t="str">
        <f>VLOOKUP(Ruimtestaat[[#This Row],[Code]],Locaties[#All],5,FALSE)</f>
        <v>7608 ND</v>
      </c>
      <c r="E726" s="281" t="str">
        <f>VLOOKUP(Ruimtestaat[[#This Row],[Code]],Locaties[#All],6,FALSE)</f>
        <v>Almelo</v>
      </c>
      <c r="F726" s="282"/>
      <c r="G726" s="283" t="s">
        <v>533</v>
      </c>
      <c r="H726" s="200" t="s">
        <v>928</v>
      </c>
      <c r="I726" s="282" t="s">
        <v>918</v>
      </c>
      <c r="J726" s="200">
        <v>2</v>
      </c>
      <c r="K726" s="243" t="s">
        <v>109</v>
      </c>
      <c r="L726" s="291" t="s">
        <v>1046</v>
      </c>
      <c r="M726" s="213">
        <v>43.3</v>
      </c>
      <c r="N726" s="202"/>
      <c r="O726" s="243" t="str">
        <f>VLOOKUP(Ruimtestaat[[#This Row],[Ruimte code]],Ruimtegroepen[#All],4,FALSE)</f>
        <v>B  (Bureauruimte)</v>
      </c>
      <c r="P726" s="214"/>
      <c r="Q726" s="215">
        <v>40</v>
      </c>
      <c r="R726" s="215" t="s">
        <v>2</v>
      </c>
      <c r="S726" s="215">
        <f>IF(R726&gt;0,IF(RIGHT(Ruimtestaat[[#This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6" s="215">
        <f>IF(S726&gt;0,VLOOKUP($J726,Ruimtegroepen[],3,FALSE)*VLOOKUP($K726,Vloersoorten[],3,FALSE)*VLOOKUP($R726,Frequenties[],3,FALSE)*VLOOKUP($A726,Locaties[],3,FALSE),0)</f>
        <v>0</v>
      </c>
      <c r="U726" s="215">
        <f>Ruimtestaat[[#This Row],[Uitvoeringen werkdagen]]*Ruimtestaat[[#This Row],[Oppervlak (netto)]]</f>
        <v>8660</v>
      </c>
      <c r="V726" s="259">
        <f>IF(T726&gt;0,Ruimtestaat[[#This Row],[Prest. (m2 /jaar) werkdagen]]/Ruimtestaat[[#This Row],[Norm (m2/uur) werkdagen]],0)</f>
        <v>0</v>
      </c>
      <c r="W726" s="260">
        <f>Ruimtestaat[[#This Row],[uren / jaar werkdagen]]*Tariefsopbouw!$D$38</f>
        <v>0</v>
      </c>
      <c r="X726" s="33"/>
      <c r="Y726" s="33">
        <f>IF(Ruimtestaat[[#This Row],[Frequentie weekend]]&gt;0,VALUE(LEFT(X726,1))*Q726,0)</f>
        <v>0</v>
      </c>
      <c r="Z726" s="33">
        <f>IF($Y726&gt;0,VLOOKUP($J726,Ruimtegroepen[],3,FALSE)*VLOOKUP($K726,Vloersoorten[],3,FALSE)*VLOOKUP($X726,Frequenties[],3,FALSE)*VLOOKUP(#REF!,Locaties[],3,FALSE),0)</f>
        <v>0</v>
      </c>
      <c r="AA726" s="33"/>
      <c r="AB726" s="33"/>
      <c r="AC726" s="33">
        <f>Ruimtestaat[[#This Row],[uren / jaar weekend]]*Tariefsopbouw!$D$40</f>
        <v>0</v>
      </c>
      <c r="AD726" s="88">
        <f>Ruimtestaat[[#This Row],[Prest. (m2 /jaar) weekend]]+Ruimtestaat[[#This Row],[Prest. (m2 /jaar) werkdagen]]</f>
        <v>8660</v>
      </c>
      <c r="AE726" s="88">
        <f>Ruimtestaat[[#This Row],[uren / jaar weekend]]+Ruimtestaat[[#This Row],[uren / jaar werkdagen]]</f>
        <v>0</v>
      </c>
      <c r="AF726" s="89">
        <f>Ruimtestaat[[#This Row],[kosten / jaar weekend]]+Ruimtestaat[[#This Row],[kosten / jaar werkdagen]]</f>
        <v>0</v>
      </c>
    </row>
    <row r="727" spans="1:32" ht="15" customHeight="1">
      <c r="A727" s="280">
        <v>5</v>
      </c>
      <c r="B727" s="21" t="str">
        <f>VLOOKUP(Ruimtestaat[[#This Row],[Code]],Locaties[#All],2,FALSE)</f>
        <v>SGC Almelo</v>
      </c>
      <c r="C727" s="281" t="str">
        <f>VLOOKUP(Ruimtestaat[[#This Row],[Code]],Locaties[#All],4,FALSE)</f>
        <v>Slot 31</v>
      </c>
      <c r="D727" s="281" t="str">
        <f>VLOOKUP(Ruimtestaat[[#This Row],[Code]],Locaties[#All],5,FALSE)</f>
        <v>7608 ND</v>
      </c>
      <c r="E727" s="281" t="str">
        <f>VLOOKUP(Ruimtestaat[[#This Row],[Code]],Locaties[#All],6,FALSE)</f>
        <v>Almelo</v>
      </c>
      <c r="F727" s="282"/>
      <c r="G727" s="283" t="s">
        <v>533</v>
      </c>
      <c r="H727" s="280" t="s">
        <v>566</v>
      </c>
      <c r="I727" s="282" t="s">
        <v>487</v>
      </c>
      <c r="J727" s="200">
        <v>2</v>
      </c>
      <c r="K727" s="243" t="s">
        <v>109</v>
      </c>
      <c r="L727" s="291" t="s">
        <v>1046</v>
      </c>
      <c r="M727" s="213">
        <v>20.23</v>
      </c>
      <c r="N727" s="202"/>
      <c r="O727" s="243" t="str">
        <f>VLOOKUP(Ruimtestaat[[#This Row],[Ruimte code]],Ruimtegroepen[#All],4,FALSE)</f>
        <v>B  (Bureauruimte)</v>
      </c>
      <c r="P727" s="214"/>
      <c r="Q727" s="215">
        <v>40</v>
      </c>
      <c r="R727" s="215" t="s">
        <v>2</v>
      </c>
      <c r="S727" s="215">
        <f>IF(R727&gt;0,IF(RIGHT(Ruimtestaat[[#This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7" s="215">
        <f>IF(S727&gt;0,VLOOKUP($J727,Ruimtegroepen[],3,FALSE)*VLOOKUP($K727,Vloersoorten[],3,FALSE)*VLOOKUP($R727,Frequenties[],3,FALSE)*VLOOKUP($A727,Locaties[],3,FALSE),0)</f>
        <v>0</v>
      </c>
      <c r="U727" s="215">
        <f>Ruimtestaat[[#This Row],[Uitvoeringen werkdagen]]*Ruimtestaat[[#This Row],[Oppervlak (netto)]]</f>
        <v>4046</v>
      </c>
      <c r="V727" s="259">
        <f>IF(T727&gt;0,Ruimtestaat[[#This Row],[Prest. (m2 /jaar) werkdagen]]/Ruimtestaat[[#This Row],[Norm (m2/uur) werkdagen]],0)</f>
        <v>0</v>
      </c>
      <c r="W727" s="260">
        <f>Ruimtestaat[[#This Row],[uren / jaar werkdagen]]*Tariefsopbouw!$D$38</f>
        <v>0</v>
      </c>
      <c r="X727" s="33"/>
      <c r="Y727" s="33">
        <f>IF(Ruimtestaat[[#This Row],[Frequentie weekend]]&gt;0,VALUE(LEFT(X727,1))*Q727,0)</f>
        <v>0</v>
      </c>
      <c r="Z727" s="33">
        <f>IF($Y727&gt;0,VLOOKUP($J727,Ruimtegroepen[],3,FALSE)*VLOOKUP($K727,Vloersoorten[],3,FALSE)*VLOOKUP($X727,Frequenties[],3,FALSE)*VLOOKUP(#REF!,Locaties[],3,FALSE),0)</f>
        <v>0</v>
      </c>
      <c r="AA727" s="33"/>
      <c r="AB727" s="33"/>
      <c r="AC727" s="33">
        <f>Ruimtestaat[[#This Row],[uren / jaar weekend]]*Tariefsopbouw!$D$40</f>
        <v>0</v>
      </c>
      <c r="AD727" s="88">
        <f>Ruimtestaat[[#This Row],[Prest. (m2 /jaar) weekend]]+Ruimtestaat[[#This Row],[Prest. (m2 /jaar) werkdagen]]</f>
        <v>4046</v>
      </c>
      <c r="AE727" s="88">
        <f>Ruimtestaat[[#This Row],[uren / jaar weekend]]+Ruimtestaat[[#This Row],[uren / jaar werkdagen]]</f>
        <v>0</v>
      </c>
      <c r="AF727" s="89">
        <f>Ruimtestaat[[#This Row],[kosten / jaar weekend]]+Ruimtestaat[[#This Row],[kosten / jaar werkdagen]]</f>
        <v>0</v>
      </c>
    </row>
    <row r="728" spans="1:32" ht="15" customHeight="1">
      <c r="A728" s="280">
        <v>5</v>
      </c>
      <c r="B728" s="21" t="str">
        <f>VLOOKUP(Ruimtestaat[[#This Row],[Code]],Locaties[#All],2,FALSE)</f>
        <v>SGC Almelo</v>
      </c>
      <c r="C728" s="281" t="str">
        <f>VLOOKUP(Ruimtestaat[[#This Row],[Code]],Locaties[#All],4,FALSE)</f>
        <v>Slot 31</v>
      </c>
      <c r="D728" s="281" t="str">
        <f>VLOOKUP(Ruimtestaat[[#This Row],[Code]],Locaties[#All],5,FALSE)</f>
        <v>7608 ND</v>
      </c>
      <c r="E728" s="281" t="str">
        <f>VLOOKUP(Ruimtestaat[[#This Row],[Code]],Locaties[#All],6,FALSE)</f>
        <v>Almelo</v>
      </c>
      <c r="F728" s="282"/>
      <c r="G728" s="283" t="s">
        <v>533</v>
      </c>
      <c r="H728" s="280" t="s">
        <v>847</v>
      </c>
      <c r="I728" s="282" t="s">
        <v>487</v>
      </c>
      <c r="J728" s="200">
        <v>2</v>
      </c>
      <c r="K728" s="243" t="s">
        <v>109</v>
      </c>
      <c r="L728" s="291" t="s">
        <v>919</v>
      </c>
      <c r="M728" s="213">
        <v>24.7</v>
      </c>
      <c r="N728" s="202"/>
      <c r="O728" s="243" t="str">
        <f>VLOOKUP(Ruimtestaat[[#This Row],[Ruimte code]],Ruimtegroepen[#All],4,FALSE)</f>
        <v>B  (Bureauruimte)</v>
      </c>
      <c r="P728" s="214"/>
      <c r="Q728" s="215">
        <v>40</v>
      </c>
      <c r="R728" s="215" t="s">
        <v>2</v>
      </c>
      <c r="S728" s="215">
        <f>IF(R728&gt;0,IF(RIGHT(Ruimtestaat[[#This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8" s="215">
        <f>IF(S728&gt;0,VLOOKUP($J728,Ruimtegroepen[],3,FALSE)*VLOOKUP($K728,Vloersoorten[],3,FALSE)*VLOOKUP($R728,Frequenties[],3,FALSE)*VLOOKUP($A728,Locaties[],3,FALSE),0)</f>
        <v>0</v>
      </c>
      <c r="U728" s="215">
        <f>Ruimtestaat[[#This Row],[Uitvoeringen werkdagen]]*Ruimtestaat[[#This Row],[Oppervlak (netto)]]</f>
        <v>4940</v>
      </c>
      <c r="V728" s="259">
        <f>IF(T728&gt;0,Ruimtestaat[[#This Row],[Prest. (m2 /jaar) werkdagen]]/Ruimtestaat[[#This Row],[Norm (m2/uur) werkdagen]],0)</f>
        <v>0</v>
      </c>
      <c r="W728" s="260">
        <f>Ruimtestaat[[#This Row],[uren / jaar werkdagen]]*Tariefsopbouw!$D$38</f>
        <v>0</v>
      </c>
      <c r="X728" s="33"/>
      <c r="Y728" s="33">
        <f>IF(Ruimtestaat[[#This Row],[Frequentie weekend]]&gt;0,VALUE(LEFT(X728,1))*Q728,0)</f>
        <v>0</v>
      </c>
      <c r="Z728" s="33">
        <f>IF($Y728&gt;0,VLOOKUP($J728,Ruimtegroepen[],3,FALSE)*VLOOKUP($K728,Vloersoorten[],3,FALSE)*VLOOKUP($X728,Frequenties[],3,FALSE)*VLOOKUP(#REF!,Locaties[],3,FALSE),0)</f>
        <v>0</v>
      </c>
      <c r="AA728" s="33"/>
      <c r="AB728" s="33"/>
      <c r="AC728" s="33">
        <f>Ruimtestaat[[#This Row],[uren / jaar weekend]]*Tariefsopbouw!$D$40</f>
        <v>0</v>
      </c>
      <c r="AD728" s="88">
        <f>Ruimtestaat[[#This Row],[Prest. (m2 /jaar) weekend]]+Ruimtestaat[[#This Row],[Prest. (m2 /jaar) werkdagen]]</f>
        <v>4940</v>
      </c>
      <c r="AE728" s="88">
        <f>Ruimtestaat[[#This Row],[uren / jaar weekend]]+Ruimtestaat[[#This Row],[uren / jaar werkdagen]]</f>
        <v>0</v>
      </c>
      <c r="AF728" s="89">
        <f>Ruimtestaat[[#This Row],[kosten / jaar weekend]]+Ruimtestaat[[#This Row],[kosten / jaar werkdagen]]</f>
        <v>0</v>
      </c>
    </row>
    <row r="729" spans="1:32" ht="15" customHeight="1">
      <c r="A729" s="280">
        <v>5</v>
      </c>
      <c r="B729" s="21" t="str">
        <f>VLOOKUP(Ruimtestaat[[#This Row],[Code]],Locaties[#All],2,FALSE)</f>
        <v>SGC Almelo</v>
      </c>
      <c r="C729" s="281" t="str">
        <f>VLOOKUP(Ruimtestaat[[#This Row],[Code]],Locaties[#All],4,FALSE)</f>
        <v>Slot 31</v>
      </c>
      <c r="D729" s="281" t="str">
        <f>VLOOKUP(Ruimtestaat[[#This Row],[Code]],Locaties[#All],5,FALSE)</f>
        <v>7608 ND</v>
      </c>
      <c r="E729" s="281" t="str">
        <f>VLOOKUP(Ruimtestaat[[#This Row],[Code]],Locaties[#All],6,FALSE)</f>
        <v>Almelo</v>
      </c>
      <c r="F729" s="282"/>
      <c r="G729" s="283" t="s">
        <v>533</v>
      </c>
      <c r="H729" s="280" t="s">
        <v>848</v>
      </c>
      <c r="I729" s="282" t="s">
        <v>487</v>
      </c>
      <c r="J729" s="200">
        <v>2</v>
      </c>
      <c r="K729" s="243" t="s">
        <v>109</v>
      </c>
      <c r="L729" s="291" t="s">
        <v>919</v>
      </c>
      <c r="M729" s="213">
        <v>23.96</v>
      </c>
      <c r="N729" s="202"/>
      <c r="O729" s="243" t="str">
        <f>VLOOKUP(Ruimtestaat[[#This Row],[Ruimte code]],Ruimtegroepen[#All],4,FALSE)</f>
        <v>B  (Bureauruimte)</v>
      </c>
      <c r="P729" s="214"/>
      <c r="Q729" s="215">
        <v>40</v>
      </c>
      <c r="R729" s="215" t="s">
        <v>2</v>
      </c>
      <c r="S729" s="215">
        <f>IF(R729&gt;0,IF(RIGHT(Ruimtestaat[[#This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29" s="215">
        <f>IF(S729&gt;0,VLOOKUP($J729,Ruimtegroepen[],3,FALSE)*VLOOKUP($K729,Vloersoorten[],3,FALSE)*VLOOKUP($R729,Frequenties[],3,FALSE)*VLOOKUP($A729,Locaties[],3,FALSE),0)</f>
        <v>0</v>
      </c>
      <c r="U729" s="215">
        <f>Ruimtestaat[[#This Row],[Uitvoeringen werkdagen]]*Ruimtestaat[[#This Row],[Oppervlak (netto)]]</f>
        <v>4792</v>
      </c>
      <c r="V729" s="259">
        <f>IF(T729&gt;0,Ruimtestaat[[#This Row],[Prest. (m2 /jaar) werkdagen]]/Ruimtestaat[[#This Row],[Norm (m2/uur) werkdagen]],0)</f>
        <v>0</v>
      </c>
      <c r="W729" s="260">
        <f>Ruimtestaat[[#This Row],[uren / jaar werkdagen]]*Tariefsopbouw!$D$38</f>
        <v>0</v>
      </c>
      <c r="X729" s="33"/>
      <c r="Y729" s="33">
        <f>IF(Ruimtestaat[[#This Row],[Frequentie weekend]]&gt;0,VALUE(LEFT(X729,1))*Q729,0)</f>
        <v>0</v>
      </c>
      <c r="Z729" s="33">
        <f>IF($Y729&gt;0,VLOOKUP($J729,Ruimtegroepen[],3,FALSE)*VLOOKUP($K729,Vloersoorten[],3,FALSE)*VLOOKUP($X729,Frequenties[],3,FALSE)*VLOOKUP(#REF!,Locaties[],3,FALSE),0)</f>
        <v>0</v>
      </c>
      <c r="AA729" s="33"/>
      <c r="AB729" s="33"/>
      <c r="AC729" s="33">
        <f>Ruimtestaat[[#This Row],[uren / jaar weekend]]*Tariefsopbouw!$D$40</f>
        <v>0</v>
      </c>
      <c r="AD729" s="88">
        <f>Ruimtestaat[[#This Row],[Prest. (m2 /jaar) weekend]]+Ruimtestaat[[#This Row],[Prest. (m2 /jaar) werkdagen]]</f>
        <v>4792</v>
      </c>
      <c r="AE729" s="88">
        <f>Ruimtestaat[[#This Row],[uren / jaar weekend]]+Ruimtestaat[[#This Row],[uren / jaar werkdagen]]</f>
        <v>0</v>
      </c>
      <c r="AF729" s="89">
        <f>Ruimtestaat[[#This Row],[kosten / jaar weekend]]+Ruimtestaat[[#This Row],[kosten / jaar werkdagen]]</f>
        <v>0</v>
      </c>
    </row>
    <row r="730" spans="1:32" ht="15" customHeight="1">
      <c r="A730" s="280">
        <v>5</v>
      </c>
      <c r="B730" s="21" t="str">
        <f>VLOOKUP(Ruimtestaat[[#This Row],[Code]],Locaties[#All],2,FALSE)</f>
        <v>SGC Almelo</v>
      </c>
      <c r="C730" s="281" t="str">
        <f>VLOOKUP(Ruimtestaat[[#This Row],[Code]],Locaties[#All],4,FALSE)</f>
        <v>Slot 31</v>
      </c>
      <c r="D730" s="281" t="str">
        <f>VLOOKUP(Ruimtestaat[[#This Row],[Code]],Locaties[#All],5,FALSE)</f>
        <v>7608 ND</v>
      </c>
      <c r="E730" s="281" t="str">
        <f>VLOOKUP(Ruimtestaat[[#This Row],[Code]],Locaties[#All],6,FALSE)</f>
        <v>Almelo</v>
      </c>
      <c r="F730" s="282"/>
      <c r="G730" s="283" t="s">
        <v>533</v>
      </c>
      <c r="H730" s="280" t="s">
        <v>849</v>
      </c>
      <c r="I730" s="282" t="s">
        <v>736</v>
      </c>
      <c r="J730" s="200">
        <v>21</v>
      </c>
      <c r="K730" s="243" t="s">
        <v>110</v>
      </c>
      <c r="L730" s="291" t="s">
        <v>132</v>
      </c>
      <c r="M730" s="213"/>
      <c r="N730" s="202">
        <v>4.13</v>
      </c>
      <c r="O730" s="243" t="str">
        <f>VLOOKUP(Ruimtestaat[[#This Row],[Ruimte code]],Ruimtegroepen[#All],4,FALSE)</f>
        <v>Niet in onderhoud</v>
      </c>
      <c r="P730" s="214"/>
      <c r="Q730" s="215"/>
      <c r="R730" s="215"/>
      <c r="S730" s="215">
        <f>IF(R730&gt;0,IF(RIGHT(Ruimtestaat[[#This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0" s="215">
        <f>IF(S730&gt;0,VLOOKUP($J730,Ruimtegroepen[],3,FALSE)*VLOOKUP($K730,Vloersoorten[],3,FALSE)*VLOOKUP($R730,Frequenties[],3,FALSE)*VLOOKUP($A730,Locaties[],3,FALSE),0)</f>
        <v>0</v>
      </c>
      <c r="U730" s="215">
        <f>Ruimtestaat[[#This Row],[Uitvoeringen werkdagen]]*Ruimtestaat[[#This Row],[Oppervlak (netto)]]</f>
        <v>0</v>
      </c>
      <c r="V730" s="259">
        <f>IF(T730&gt;0,Ruimtestaat[[#This Row],[Prest. (m2 /jaar) werkdagen]]/Ruimtestaat[[#This Row],[Norm (m2/uur) werkdagen]],0)</f>
        <v>0</v>
      </c>
      <c r="W730" s="260">
        <f>Ruimtestaat[[#This Row],[uren / jaar werkdagen]]*Tariefsopbouw!$D$38</f>
        <v>0</v>
      </c>
      <c r="X730" s="33"/>
      <c r="Y730" s="33">
        <f>IF(Ruimtestaat[[#This Row],[Frequentie weekend]]&gt;0,VALUE(LEFT(X730,1))*Q730,0)</f>
        <v>0</v>
      </c>
      <c r="Z730" s="33">
        <f>IF($Y730&gt;0,VLOOKUP($J730,Ruimtegroepen[],3,FALSE)*VLOOKUP($K730,Vloersoorten[],3,FALSE)*VLOOKUP($X730,Frequenties[],3,FALSE)*VLOOKUP(#REF!,Locaties[],3,FALSE),0)</f>
        <v>0</v>
      </c>
      <c r="AA730" s="33"/>
      <c r="AB730" s="33"/>
      <c r="AC730" s="33">
        <f>Ruimtestaat[[#This Row],[uren / jaar weekend]]*Tariefsopbouw!$D$40</f>
        <v>0</v>
      </c>
      <c r="AD730" s="88">
        <f>Ruimtestaat[[#This Row],[Prest. (m2 /jaar) weekend]]+Ruimtestaat[[#This Row],[Prest. (m2 /jaar) werkdagen]]</f>
        <v>0</v>
      </c>
      <c r="AE730" s="88">
        <f>Ruimtestaat[[#This Row],[uren / jaar weekend]]+Ruimtestaat[[#This Row],[uren / jaar werkdagen]]</f>
        <v>0</v>
      </c>
      <c r="AF730" s="89">
        <f>Ruimtestaat[[#This Row],[kosten / jaar weekend]]+Ruimtestaat[[#This Row],[kosten / jaar werkdagen]]</f>
        <v>0</v>
      </c>
    </row>
    <row r="731" spans="1:32" ht="15" customHeight="1">
      <c r="A731" s="280">
        <v>5</v>
      </c>
      <c r="B731" s="21" t="str">
        <f>VLOOKUP(Ruimtestaat[[#This Row],[Code]],Locaties[#All],2,FALSE)</f>
        <v>SGC Almelo</v>
      </c>
      <c r="C731" s="281" t="str">
        <f>VLOOKUP(Ruimtestaat[[#This Row],[Code]],Locaties[#All],4,FALSE)</f>
        <v>Slot 31</v>
      </c>
      <c r="D731" s="281" t="str">
        <f>VLOOKUP(Ruimtestaat[[#This Row],[Code]],Locaties[#All],5,FALSE)</f>
        <v>7608 ND</v>
      </c>
      <c r="E731" s="281" t="str">
        <f>VLOOKUP(Ruimtestaat[[#This Row],[Code]],Locaties[#All],6,FALSE)</f>
        <v>Almelo</v>
      </c>
      <c r="F731" s="282"/>
      <c r="G731" s="283" t="s">
        <v>533</v>
      </c>
      <c r="H731" s="280" t="s">
        <v>850</v>
      </c>
      <c r="I731" s="282" t="s">
        <v>455</v>
      </c>
      <c r="J731" s="200">
        <v>10</v>
      </c>
      <c r="K731" s="243" t="s">
        <v>110</v>
      </c>
      <c r="L731" s="291" t="s">
        <v>132</v>
      </c>
      <c r="M731" s="213">
        <v>25.4</v>
      </c>
      <c r="N731" s="213"/>
      <c r="O731" s="243" t="str">
        <f>VLOOKUP(Ruimtestaat[[#This Row],[Ruimte code]],Ruimtegroepen[#All],4,FALSE)</f>
        <v>V  (Verkeersruimte)</v>
      </c>
      <c r="P731" s="214"/>
      <c r="Q731" s="215">
        <v>40</v>
      </c>
      <c r="R731" s="215" t="s">
        <v>2</v>
      </c>
      <c r="S731" s="215">
        <f>IF(R731&gt;0,IF(RIGHT(Ruimtestaat[[#This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1" s="215">
        <f>IF(S731&gt;0,VLOOKUP($J731,Ruimtegroepen[],3,FALSE)*VLOOKUP($K731,Vloersoorten[],3,FALSE)*VLOOKUP($R731,Frequenties[],3,FALSE)*VLOOKUP($A731,Locaties[],3,FALSE),0)</f>
        <v>0</v>
      </c>
      <c r="U731" s="215">
        <f>Ruimtestaat[[#This Row],[Uitvoeringen werkdagen]]*Ruimtestaat[[#This Row],[Oppervlak (netto)]]</f>
        <v>5080</v>
      </c>
      <c r="V731" s="259">
        <f>IF(T731&gt;0,Ruimtestaat[[#This Row],[Prest. (m2 /jaar) werkdagen]]/Ruimtestaat[[#This Row],[Norm (m2/uur) werkdagen]],0)</f>
        <v>0</v>
      </c>
      <c r="W731" s="260">
        <f>Ruimtestaat[[#This Row],[uren / jaar werkdagen]]*Tariefsopbouw!$D$38</f>
        <v>0</v>
      </c>
      <c r="X731" s="33"/>
      <c r="Y731" s="33">
        <f>IF(Ruimtestaat[[#This Row],[Frequentie weekend]]&gt;0,VALUE(LEFT(X731,1))*Q731,0)</f>
        <v>0</v>
      </c>
      <c r="Z731" s="33">
        <f>IF($Y731&gt;0,VLOOKUP($J731,Ruimtegroepen[],3,FALSE)*VLOOKUP($K731,Vloersoorten[],3,FALSE)*VLOOKUP($X731,Frequenties[],3,FALSE)*VLOOKUP(#REF!,Locaties[],3,FALSE),0)</f>
        <v>0</v>
      </c>
      <c r="AA731" s="33"/>
      <c r="AB731" s="33"/>
      <c r="AC731" s="33">
        <f>Ruimtestaat[[#This Row],[uren / jaar weekend]]*Tariefsopbouw!$D$40</f>
        <v>0</v>
      </c>
      <c r="AD731" s="88">
        <f>Ruimtestaat[[#This Row],[Prest. (m2 /jaar) weekend]]+Ruimtestaat[[#This Row],[Prest. (m2 /jaar) werkdagen]]</f>
        <v>5080</v>
      </c>
      <c r="AE731" s="88">
        <f>Ruimtestaat[[#This Row],[uren / jaar weekend]]+Ruimtestaat[[#This Row],[uren / jaar werkdagen]]</f>
        <v>0</v>
      </c>
      <c r="AF731" s="89">
        <f>Ruimtestaat[[#This Row],[kosten / jaar weekend]]+Ruimtestaat[[#This Row],[kosten / jaar werkdagen]]</f>
        <v>0</v>
      </c>
    </row>
    <row r="732" spans="1:32" ht="15" customHeight="1">
      <c r="A732" s="280">
        <v>5</v>
      </c>
      <c r="B732" s="21" t="str">
        <f>VLOOKUP(Ruimtestaat[[#This Row],[Code]],Locaties[#All],2,FALSE)</f>
        <v>SGC Almelo</v>
      </c>
      <c r="C732" s="281" t="str">
        <f>VLOOKUP(Ruimtestaat[[#This Row],[Code]],Locaties[#All],4,FALSE)</f>
        <v>Slot 31</v>
      </c>
      <c r="D732" s="281" t="str">
        <f>VLOOKUP(Ruimtestaat[[#This Row],[Code]],Locaties[#All],5,FALSE)</f>
        <v>7608 ND</v>
      </c>
      <c r="E732" s="281" t="str">
        <f>VLOOKUP(Ruimtestaat[[#This Row],[Code]],Locaties[#All],6,FALSE)</f>
        <v>Almelo</v>
      </c>
      <c r="F732" s="282"/>
      <c r="G732" s="283" t="s">
        <v>533</v>
      </c>
      <c r="H732" s="280" t="s">
        <v>851</v>
      </c>
      <c r="I732" s="282" t="s">
        <v>447</v>
      </c>
      <c r="J732" s="200">
        <v>21</v>
      </c>
      <c r="K732" s="243" t="s">
        <v>110</v>
      </c>
      <c r="L732" s="291" t="s">
        <v>132</v>
      </c>
      <c r="M732" s="213"/>
      <c r="N732" s="202">
        <v>5.81</v>
      </c>
      <c r="O732" s="243" t="str">
        <f>VLOOKUP(Ruimtestaat[[#This Row],[Ruimte code]],Ruimtegroepen[#All],4,FALSE)</f>
        <v>Niet in onderhoud</v>
      </c>
      <c r="P732" s="214"/>
      <c r="Q732" s="215"/>
      <c r="R732" s="215"/>
      <c r="S732" s="215">
        <f>IF(R732&gt;0,IF(RIGHT(Ruimtestaat[[#This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2" s="215">
        <f>IF(S732&gt;0,VLOOKUP($J732,Ruimtegroepen[],3,FALSE)*VLOOKUP($K732,Vloersoorten[],3,FALSE)*VLOOKUP($R732,Frequenties[],3,FALSE)*VLOOKUP($A732,Locaties[],3,FALSE),0)</f>
        <v>0</v>
      </c>
      <c r="U732" s="215">
        <f>Ruimtestaat[[#This Row],[Uitvoeringen werkdagen]]*Ruimtestaat[[#This Row],[Oppervlak (netto)]]</f>
        <v>0</v>
      </c>
      <c r="V732" s="259">
        <f>IF(T732&gt;0,Ruimtestaat[[#This Row],[Prest. (m2 /jaar) werkdagen]]/Ruimtestaat[[#This Row],[Norm (m2/uur) werkdagen]],0)</f>
        <v>0</v>
      </c>
      <c r="W732" s="260">
        <f>Ruimtestaat[[#This Row],[uren / jaar werkdagen]]*Tariefsopbouw!$D$38</f>
        <v>0</v>
      </c>
      <c r="X732" s="33"/>
      <c r="Y732" s="33">
        <f>IF(Ruimtestaat[[#This Row],[Frequentie weekend]]&gt;0,VALUE(LEFT(X732,1))*Q732,0)</f>
        <v>0</v>
      </c>
      <c r="Z732" s="33">
        <f>IF($Y732&gt;0,VLOOKUP($J732,Ruimtegroepen[],3,FALSE)*VLOOKUP($K732,Vloersoorten[],3,FALSE)*VLOOKUP($X732,Frequenties[],3,FALSE)*VLOOKUP(#REF!,Locaties[],3,FALSE),0)</f>
        <v>0</v>
      </c>
      <c r="AA732" s="33"/>
      <c r="AB732" s="33"/>
      <c r="AC732" s="33">
        <f>Ruimtestaat[[#This Row],[uren / jaar weekend]]*Tariefsopbouw!$D$40</f>
        <v>0</v>
      </c>
      <c r="AD732" s="88">
        <f>Ruimtestaat[[#This Row],[Prest. (m2 /jaar) weekend]]+Ruimtestaat[[#This Row],[Prest. (m2 /jaar) werkdagen]]</f>
        <v>0</v>
      </c>
      <c r="AE732" s="88">
        <f>Ruimtestaat[[#This Row],[uren / jaar weekend]]+Ruimtestaat[[#This Row],[uren / jaar werkdagen]]</f>
        <v>0</v>
      </c>
      <c r="AF732" s="89">
        <f>Ruimtestaat[[#This Row],[kosten / jaar weekend]]+Ruimtestaat[[#This Row],[kosten / jaar werkdagen]]</f>
        <v>0</v>
      </c>
    </row>
    <row r="733" spans="1:32" ht="15" customHeight="1">
      <c r="A733" s="280">
        <v>5</v>
      </c>
      <c r="B733" s="21" t="str">
        <f>VLOOKUP(Ruimtestaat[[#This Row],[Code]],Locaties[#All],2,FALSE)</f>
        <v>SGC Almelo</v>
      </c>
      <c r="C733" s="281" t="str">
        <f>VLOOKUP(Ruimtestaat[[#This Row],[Code]],Locaties[#All],4,FALSE)</f>
        <v>Slot 31</v>
      </c>
      <c r="D733" s="281" t="str">
        <f>VLOOKUP(Ruimtestaat[[#This Row],[Code]],Locaties[#All],5,FALSE)</f>
        <v>7608 ND</v>
      </c>
      <c r="E733" s="281" t="str">
        <f>VLOOKUP(Ruimtestaat[[#This Row],[Code]],Locaties[#All],6,FALSE)</f>
        <v>Almelo</v>
      </c>
      <c r="F733" s="282"/>
      <c r="G733" s="283" t="s">
        <v>533</v>
      </c>
      <c r="H733" s="280" t="s">
        <v>852</v>
      </c>
      <c r="I733" s="282" t="s">
        <v>447</v>
      </c>
      <c r="J733" s="200">
        <v>21</v>
      </c>
      <c r="K733" s="243" t="s">
        <v>110</v>
      </c>
      <c r="L733" s="291" t="s">
        <v>132</v>
      </c>
      <c r="M733" s="213"/>
      <c r="N733" s="202">
        <v>6.21</v>
      </c>
      <c r="O733" s="243" t="str">
        <f>VLOOKUP(Ruimtestaat[[#This Row],[Ruimte code]],Ruimtegroepen[#All],4,FALSE)</f>
        <v>Niet in onderhoud</v>
      </c>
      <c r="P733" s="214"/>
      <c r="Q733" s="215"/>
      <c r="R733" s="215"/>
      <c r="S733" s="215">
        <f>IF(R733&gt;0,IF(RIGHT(Ruimtestaat[[#This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3" s="215">
        <f>IF(S733&gt;0,VLOOKUP($J733,Ruimtegroepen[],3,FALSE)*VLOOKUP($K733,Vloersoorten[],3,FALSE)*VLOOKUP($R733,Frequenties[],3,FALSE)*VLOOKUP($A733,Locaties[],3,FALSE),0)</f>
        <v>0</v>
      </c>
      <c r="U733" s="215">
        <f>Ruimtestaat[[#This Row],[Uitvoeringen werkdagen]]*Ruimtestaat[[#This Row],[Oppervlak (netto)]]</f>
        <v>0</v>
      </c>
      <c r="V733" s="259">
        <f>IF(T733&gt;0,Ruimtestaat[[#This Row],[Prest. (m2 /jaar) werkdagen]]/Ruimtestaat[[#This Row],[Norm (m2/uur) werkdagen]],0)</f>
        <v>0</v>
      </c>
      <c r="W733" s="260">
        <f>Ruimtestaat[[#This Row],[uren / jaar werkdagen]]*Tariefsopbouw!$D$38</f>
        <v>0</v>
      </c>
      <c r="X733" s="33"/>
      <c r="Y733" s="33">
        <f>IF(Ruimtestaat[[#This Row],[Frequentie weekend]]&gt;0,VALUE(LEFT(X733,1))*Q733,0)</f>
        <v>0</v>
      </c>
      <c r="Z733" s="33">
        <f>IF($Y733&gt;0,VLOOKUP($J733,Ruimtegroepen[],3,FALSE)*VLOOKUP($K733,Vloersoorten[],3,FALSE)*VLOOKUP($X733,Frequenties[],3,FALSE)*VLOOKUP(#REF!,Locaties[],3,FALSE),0)</f>
        <v>0</v>
      </c>
      <c r="AA733" s="33"/>
      <c r="AB733" s="33"/>
      <c r="AC733" s="33">
        <f>Ruimtestaat[[#This Row],[uren / jaar weekend]]*Tariefsopbouw!$D$40</f>
        <v>0</v>
      </c>
      <c r="AD733" s="88">
        <f>Ruimtestaat[[#This Row],[Prest. (m2 /jaar) weekend]]+Ruimtestaat[[#This Row],[Prest. (m2 /jaar) werkdagen]]</f>
        <v>0</v>
      </c>
      <c r="AE733" s="88">
        <f>Ruimtestaat[[#This Row],[uren / jaar weekend]]+Ruimtestaat[[#This Row],[uren / jaar werkdagen]]</f>
        <v>0</v>
      </c>
      <c r="AF733" s="89">
        <f>Ruimtestaat[[#This Row],[kosten / jaar weekend]]+Ruimtestaat[[#This Row],[kosten / jaar werkdagen]]</f>
        <v>0</v>
      </c>
    </row>
    <row r="734" spans="1:32" ht="15" customHeight="1">
      <c r="A734" s="280">
        <v>5</v>
      </c>
      <c r="B734" s="21" t="str">
        <f>VLOOKUP(Ruimtestaat[[#This Row],[Code]],Locaties[#All],2,FALSE)</f>
        <v>SGC Almelo</v>
      </c>
      <c r="C734" s="281" t="str">
        <f>VLOOKUP(Ruimtestaat[[#This Row],[Code]],Locaties[#All],4,FALSE)</f>
        <v>Slot 31</v>
      </c>
      <c r="D734" s="281" t="str">
        <f>VLOOKUP(Ruimtestaat[[#This Row],[Code]],Locaties[#All],5,FALSE)</f>
        <v>7608 ND</v>
      </c>
      <c r="E734" s="281" t="str">
        <f>VLOOKUP(Ruimtestaat[[#This Row],[Code]],Locaties[#All],6,FALSE)</f>
        <v>Almelo</v>
      </c>
      <c r="F734" s="282"/>
      <c r="G734" s="283" t="s">
        <v>533</v>
      </c>
      <c r="H734" s="280" t="s">
        <v>853</v>
      </c>
      <c r="I734" s="282" t="s">
        <v>396</v>
      </c>
      <c r="J734" s="200">
        <v>16</v>
      </c>
      <c r="K734" s="243" t="s">
        <v>109</v>
      </c>
      <c r="L734" s="291" t="s">
        <v>1046</v>
      </c>
      <c r="M734" s="213">
        <v>51.72</v>
      </c>
      <c r="N734" s="202"/>
      <c r="O734" s="243" t="str">
        <f>VLOOKUP(Ruimtestaat[[#This Row],[Ruimte code]],Ruimtegroepen[#All],4,FALSE)</f>
        <v>L  (Lesruimte)</v>
      </c>
      <c r="P734" s="214"/>
      <c r="Q734" s="215">
        <v>40</v>
      </c>
      <c r="R734" s="215" t="s">
        <v>2</v>
      </c>
      <c r="S734" s="215">
        <f>IF(R734&gt;0,IF(RIGHT(Ruimtestaat[[#This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4" s="215">
        <f>IF(S734&gt;0,VLOOKUP($J734,Ruimtegroepen[],3,FALSE)*VLOOKUP($K734,Vloersoorten[],3,FALSE)*VLOOKUP($R734,Frequenties[],3,FALSE)*VLOOKUP($A734,Locaties[],3,FALSE),0)</f>
        <v>0</v>
      </c>
      <c r="U734" s="215">
        <f>Ruimtestaat[[#This Row],[Uitvoeringen werkdagen]]*Ruimtestaat[[#This Row],[Oppervlak (netto)]]</f>
        <v>10344</v>
      </c>
      <c r="V734" s="259">
        <f>IF(T734&gt;0,Ruimtestaat[[#This Row],[Prest. (m2 /jaar) werkdagen]]/Ruimtestaat[[#This Row],[Norm (m2/uur) werkdagen]],0)</f>
        <v>0</v>
      </c>
      <c r="W734" s="260">
        <f>Ruimtestaat[[#This Row],[uren / jaar werkdagen]]*Tariefsopbouw!$D$38</f>
        <v>0</v>
      </c>
      <c r="X734" s="33"/>
      <c r="Y734" s="33">
        <f>IF(Ruimtestaat[[#This Row],[Frequentie weekend]]&gt;0,VALUE(LEFT(X734,1))*Q734,0)</f>
        <v>0</v>
      </c>
      <c r="Z734" s="33">
        <f>IF($Y734&gt;0,VLOOKUP($J734,Ruimtegroepen[],3,FALSE)*VLOOKUP($K734,Vloersoorten[],3,FALSE)*VLOOKUP($X734,Frequenties[],3,FALSE)*VLOOKUP(#REF!,Locaties[],3,FALSE),0)</f>
        <v>0</v>
      </c>
      <c r="AA734" s="33"/>
      <c r="AB734" s="33"/>
      <c r="AC734" s="33">
        <f>Ruimtestaat[[#This Row],[uren / jaar weekend]]*Tariefsopbouw!$D$40</f>
        <v>0</v>
      </c>
      <c r="AD734" s="88">
        <f>Ruimtestaat[[#This Row],[Prest. (m2 /jaar) weekend]]+Ruimtestaat[[#This Row],[Prest. (m2 /jaar) werkdagen]]</f>
        <v>10344</v>
      </c>
      <c r="AE734" s="88">
        <f>Ruimtestaat[[#This Row],[uren / jaar weekend]]+Ruimtestaat[[#This Row],[uren / jaar werkdagen]]</f>
        <v>0</v>
      </c>
      <c r="AF734" s="89">
        <f>Ruimtestaat[[#This Row],[kosten / jaar weekend]]+Ruimtestaat[[#This Row],[kosten / jaar werkdagen]]</f>
        <v>0</v>
      </c>
    </row>
    <row r="735" spans="1:32" ht="15" customHeight="1">
      <c r="A735" s="280">
        <v>5</v>
      </c>
      <c r="B735" s="21" t="str">
        <f>VLOOKUP(Ruimtestaat[[#This Row],[Code]],Locaties[#All],2,FALSE)</f>
        <v>SGC Almelo</v>
      </c>
      <c r="C735" s="281" t="str">
        <f>VLOOKUP(Ruimtestaat[[#This Row],[Code]],Locaties[#All],4,FALSE)</f>
        <v>Slot 31</v>
      </c>
      <c r="D735" s="281" t="str">
        <f>VLOOKUP(Ruimtestaat[[#This Row],[Code]],Locaties[#All],5,FALSE)</f>
        <v>7608 ND</v>
      </c>
      <c r="E735" s="281" t="str">
        <f>VLOOKUP(Ruimtestaat[[#This Row],[Code]],Locaties[#All],6,FALSE)</f>
        <v>Almelo</v>
      </c>
      <c r="F735" s="282"/>
      <c r="G735" s="283" t="s">
        <v>533</v>
      </c>
      <c r="H735" s="280" t="s">
        <v>568</v>
      </c>
      <c r="I735" s="282" t="s">
        <v>396</v>
      </c>
      <c r="J735" s="200">
        <v>16</v>
      </c>
      <c r="K735" s="243" t="s">
        <v>109</v>
      </c>
      <c r="L735" s="291" t="s">
        <v>1046</v>
      </c>
      <c r="M735" s="213">
        <v>51.36</v>
      </c>
      <c r="N735" s="202"/>
      <c r="O735" s="243" t="str">
        <f>VLOOKUP(Ruimtestaat[[#This Row],[Ruimte code]],Ruimtegroepen[#All],4,FALSE)</f>
        <v>L  (Lesruimte)</v>
      </c>
      <c r="P735" s="214"/>
      <c r="Q735" s="215">
        <v>40</v>
      </c>
      <c r="R735" s="215" t="s">
        <v>2</v>
      </c>
      <c r="S735" s="215">
        <f>IF(R735&gt;0,IF(RIGHT(Ruimtestaat[[#This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5" s="215">
        <f>IF(S735&gt;0,VLOOKUP($J735,Ruimtegroepen[],3,FALSE)*VLOOKUP($K735,Vloersoorten[],3,FALSE)*VLOOKUP($R735,Frequenties[],3,FALSE)*VLOOKUP($A735,Locaties[],3,FALSE),0)</f>
        <v>0</v>
      </c>
      <c r="U735" s="215">
        <f>Ruimtestaat[[#This Row],[Uitvoeringen werkdagen]]*Ruimtestaat[[#This Row],[Oppervlak (netto)]]</f>
        <v>10272</v>
      </c>
      <c r="V735" s="259">
        <f>IF(T735&gt;0,Ruimtestaat[[#This Row],[Prest. (m2 /jaar) werkdagen]]/Ruimtestaat[[#This Row],[Norm (m2/uur) werkdagen]],0)</f>
        <v>0</v>
      </c>
      <c r="W735" s="260">
        <f>Ruimtestaat[[#This Row],[uren / jaar werkdagen]]*Tariefsopbouw!$D$38</f>
        <v>0</v>
      </c>
      <c r="X735" s="33"/>
      <c r="Y735" s="33">
        <f>IF(Ruimtestaat[[#This Row],[Frequentie weekend]]&gt;0,VALUE(LEFT(X735,1))*Q735,0)</f>
        <v>0</v>
      </c>
      <c r="Z735" s="33">
        <f>IF($Y735&gt;0,VLOOKUP($J735,Ruimtegroepen[],3,FALSE)*VLOOKUP($K735,Vloersoorten[],3,FALSE)*VLOOKUP($X735,Frequenties[],3,FALSE)*VLOOKUP(#REF!,Locaties[],3,FALSE),0)</f>
        <v>0</v>
      </c>
      <c r="AA735" s="33"/>
      <c r="AB735" s="33"/>
      <c r="AC735" s="33">
        <f>Ruimtestaat[[#This Row],[uren / jaar weekend]]*Tariefsopbouw!$D$40</f>
        <v>0</v>
      </c>
      <c r="AD735" s="88">
        <f>Ruimtestaat[[#This Row],[Prest. (m2 /jaar) weekend]]+Ruimtestaat[[#This Row],[Prest. (m2 /jaar) werkdagen]]</f>
        <v>10272</v>
      </c>
      <c r="AE735" s="88">
        <f>Ruimtestaat[[#This Row],[uren / jaar weekend]]+Ruimtestaat[[#This Row],[uren / jaar werkdagen]]</f>
        <v>0</v>
      </c>
      <c r="AF735" s="89">
        <f>Ruimtestaat[[#This Row],[kosten / jaar weekend]]+Ruimtestaat[[#This Row],[kosten / jaar werkdagen]]</f>
        <v>0</v>
      </c>
    </row>
    <row r="736" spans="1:32" ht="15" customHeight="1">
      <c r="A736" s="280">
        <v>5</v>
      </c>
      <c r="B736" s="21" t="str">
        <f>VLOOKUP(Ruimtestaat[[#This Row],[Code]],Locaties[#All],2,FALSE)</f>
        <v>SGC Almelo</v>
      </c>
      <c r="C736" s="281" t="str">
        <f>VLOOKUP(Ruimtestaat[[#This Row],[Code]],Locaties[#All],4,FALSE)</f>
        <v>Slot 31</v>
      </c>
      <c r="D736" s="281" t="str">
        <f>VLOOKUP(Ruimtestaat[[#This Row],[Code]],Locaties[#All],5,FALSE)</f>
        <v>7608 ND</v>
      </c>
      <c r="E736" s="281" t="str">
        <f>VLOOKUP(Ruimtestaat[[#This Row],[Code]],Locaties[#All],6,FALSE)</f>
        <v>Almelo</v>
      </c>
      <c r="F736" s="282"/>
      <c r="G736" s="283" t="s">
        <v>533</v>
      </c>
      <c r="H736" s="280" t="s">
        <v>572</v>
      </c>
      <c r="I736" s="282" t="s">
        <v>487</v>
      </c>
      <c r="J736" s="200">
        <v>2</v>
      </c>
      <c r="K736" s="243" t="s">
        <v>109</v>
      </c>
      <c r="L736" s="291" t="s">
        <v>1046</v>
      </c>
      <c r="M736" s="213">
        <v>14.29</v>
      </c>
      <c r="N736" s="202"/>
      <c r="O736" s="243" t="str">
        <f>VLOOKUP(Ruimtestaat[[#This Row],[Ruimte code]],Ruimtegroepen[#All],4,FALSE)</f>
        <v>B  (Bureauruimte)</v>
      </c>
      <c r="P736" s="214"/>
      <c r="Q736" s="215">
        <v>40</v>
      </c>
      <c r="R736" s="215" t="s">
        <v>2</v>
      </c>
      <c r="S736" s="215">
        <f>IF(R736&gt;0,IF(RIGHT(Ruimtestaat[[#This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36" s="215">
        <f>IF(S736&gt;0,VLOOKUP($J736,Ruimtegroepen[],3,FALSE)*VLOOKUP($K736,Vloersoorten[],3,FALSE)*VLOOKUP($R736,Frequenties[],3,FALSE)*VLOOKUP($A736,Locaties[],3,FALSE),0)</f>
        <v>0</v>
      </c>
      <c r="U736" s="215">
        <f>Ruimtestaat[[#This Row],[Uitvoeringen werkdagen]]*Ruimtestaat[[#This Row],[Oppervlak (netto)]]</f>
        <v>2858</v>
      </c>
      <c r="V736" s="259">
        <f>IF(T736&gt;0,Ruimtestaat[[#This Row],[Prest. (m2 /jaar) werkdagen]]/Ruimtestaat[[#This Row],[Norm (m2/uur) werkdagen]],0)</f>
        <v>0</v>
      </c>
      <c r="W736" s="260">
        <f>Ruimtestaat[[#This Row],[uren / jaar werkdagen]]*Tariefsopbouw!$D$38</f>
        <v>0</v>
      </c>
      <c r="X736" s="33"/>
      <c r="Y736" s="33">
        <f>IF(Ruimtestaat[[#This Row],[Frequentie weekend]]&gt;0,VALUE(LEFT(X736,1))*Q736,0)</f>
        <v>0</v>
      </c>
      <c r="Z736" s="33">
        <f>IF($Y736&gt;0,VLOOKUP($J736,Ruimtegroepen[],3,FALSE)*VLOOKUP($K736,Vloersoorten[],3,FALSE)*VLOOKUP($X736,Frequenties[],3,FALSE)*VLOOKUP(#REF!,Locaties[],3,FALSE),0)</f>
        <v>0</v>
      </c>
      <c r="AA736" s="33"/>
      <c r="AB736" s="33"/>
      <c r="AC736" s="33">
        <f>Ruimtestaat[[#This Row],[uren / jaar weekend]]*Tariefsopbouw!$D$40</f>
        <v>0</v>
      </c>
      <c r="AD736" s="88">
        <f>Ruimtestaat[[#This Row],[Prest. (m2 /jaar) weekend]]+Ruimtestaat[[#This Row],[Prest. (m2 /jaar) werkdagen]]</f>
        <v>2858</v>
      </c>
      <c r="AE736" s="88">
        <f>Ruimtestaat[[#This Row],[uren / jaar weekend]]+Ruimtestaat[[#This Row],[uren / jaar werkdagen]]</f>
        <v>0</v>
      </c>
      <c r="AF736" s="89">
        <f>Ruimtestaat[[#This Row],[kosten / jaar weekend]]+Ruimtestaat[[#This Row],[kosten / jaar werkdagen]]</f>
        <v>0</v>
      </c>
    </row>
    <row r="737" spans="1:32" ht="15" customHeight="1">
      <c r="A737" s="280">
        <v>5</v>
      </c>
      <c r="B737" s="21" t="str">
        <f>VLOOKUP(Ruimtestaat[[#This Row],[Code]],Locaties[#All],2,FALSE)</f>
        <v>SGC Almelo</v>
      </c>
      <c r="C737" s="281" t="str">
        <f>VLOOKUP(Ruimtestaat[[#This Row],[Code]],Locaties[#All],4,FALSE)</f>
        <v>Slot 31</v>
      </c>
      <c r="D737" s="281" t="str">
        <f>VLOOKUP(Ruimtestaat[[#This Row],[Code]],Locaties[#All],5,FALSE)</f>
        <v>7608 ND</v>
      </c>
      <c r="E737" s="281" t="str">
        <f>VLOOKUP(Ruimtestaat[[#This Row],[Code]],Locaties[#All],6,FALSE)</f>
        <v>Almelo</v>
      </c>
      <c r="F737" s="282"/>
      <c r="G737" s="283" t="s">
        <v>533</v>
      </c>
      <c r="H737" s="280" t="s">
        <v>854</v>
      </c>
      <c r="I737" s="282" t="s">
        <v>487</v>
      </c>
      <c r="J737" s="200">
        <v>2</v>
      </c>
      <c r="K737" s="243" t="s">
        <v>109</v>
      </c>
      <c r="L737" s="291" t="s">
        <v>1046</v>
      </c>
      <c r="M737" s="213">
        <v>6.63</v>
      </c>
      <c r="N737" s="202"/>
      <c r="O737" s="243" t="str">
        <f>VLOOKUP(Ruimtestaat[[#This Row],[Ruimte code]],Ruimtegroepen[#All],4,FALSE)</f>
        <v>B  (Bureauruimte)</v>
      </c>
      <c r="P737" s="214"/>
      <c r="Q737" s="215">
        <v>40</v>
      </c>
      <c r="R737" s="215" t="s">
        <v>17</v>
      </c>
      <c r="S737" s="215">
        <f>IF(R737&gt;0,IF(RIGHT(Ruimtestaat[[#This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37" s="215">
        <f>IF(S737&gt;0,VLOOKUP($J737,Ruimtegroepen[],3,FALSE)*VLOOKUP($K737,Vloersoorten[],3,FALSE)*VLOOKUP($R737,Frequenties[],3,FALSE)*VLOOKUP($A737,Locaties[],3,FALSE),0)</f>
        <v>0</v>
      </c>
      <c r="U737" s="215">
        <f>Ruimtestaat[[#This Row],[Uitvoeringen werkdagen]]*Ruimtestaat[[#This Row],[Oppervlak (netto)]]</f>
        <v>530.4</v>
      </c>
      <c r="V737" s="259">
        <f>IF(T737&gt;0,Ruimtestaat[[#This Row],[Prest. (m2 /jaar) werkdagen]]/Ruimtestaat[[#This Row],[Norm (m2/uur) werkdagen]],0)</f>
        <v>0</v>
      </c>
      <c r="W737" s="260">
        <f>Ruimtestaat[[#This Row],[uren / jaar werkdagen]]*Tariefsopbouw!$D$38</f>
        <v>0</v>
      </c>
      <c r="X737" s="33"/>
      <c r="Y737" s="33">
        <f>IF(Ruimtestaat[[#This Row],[Frequentie weekend]]&gt;0,VALUE(LEFT(X737,1))*Q737,0)</f>
        <v>0</v>
      </c>
      <c r="Z737" s="33">
        <f>IF($Y737&gt;0,VLOOKUP($J737,Ruimtegroepen[],3,FALSE)*VLOOKUP($K737,Vloersoorten[],3,FALSE)*VLOOKUP($X737,Frequenties[],3,FALSE)*VLOOKUP(#REF!,Locaties[],3,FALSE),0)</f>
        <v>0</v>
      </c>
      <c r="AA737" s="33"/>
      <c r="AB737" s="33"/>
      <c r="AC737" s="33">
        <f>Ruimtestaat[[#This Row],[uren / jaar weekend]]*Tariefsopbouw!$D$40</f>
        <v>0</v>
      </c>
      <c r="AD737" s="88">
        <f>Ruimtestaat[[#This Row],[Prest. (m2 /jaar) weekend]]+Ruimtestaat[[#This Row],[Prest. (m2 /jaar) werkdagen]]</f>
        <v>530.4</v>
      </c>
      <c r="AE737" s="88">
        <f>Ruimtestaat[[#This Row],[uren / jaar weekend]]+Ruimtestaat[[#This Row],[uren / jaar werkdagen]]</f>
        <v>0</v>
      </c>
      <c r="AF737" s="89">
        <f>Ruimtestaat[[#This Row],[kosten / jaar weekend]]+Ruimtestaat[[#This Row],[kosten / jaar werkdagen]]</f>
        <v>0</v>
      </c>
    </row>
    <row r="738" spans="1:32" ht="15" customHeight="1">
      <c r="A738" s="280">
        <v>5</v>
      </c>
      <c r="B738" s="21" t="str">
        <f>VLOOKUP(Ruimtestaat[[#This Row],[Code]],Locaties[#All],2,FALSE)</f>
        <v>SGC Almelo</v>
      </c>
      <c r="C738" s="281" t="str">
        <f>VLOOKUP(Ruimtestaat[[#This Row],[Code]],Locaties[#All],4,FALSE)</f>
        <v>Slot 31</v>
      </c>
      <c r="D738" s="281" t="str">
        <f>VLOOKUP(Ruimtestaat[[#This Row],[Code]],Locaties[#All],5,FALSE)</f>
        <v>7608 ND</v>
      </c>
      <c r="E738" s="281" t="str">
        <f>VLOOKUP(Ruimtestaat[[#This Row],[Code]],Locaties[#All],6,FALSE)</f>
        <v>Almelo</v>
      </c>
      <c r="F738" s="282"/>
      <c r="G738" s="283" t="s">
        <v>533</v>
      </c>
      <c r="H738" s="280" t="s">
        <v>855</v>
      </c>
      <c r="I738" s="282" t="s">
        <v>459</v>
      </c>
      <c r="J738" s="200">
        <v>21</v>
      </c>
      <c r="K738" s="243" t="s">
        <v>110</v>
      </c>
      <c r="L738" s="291" t="s">
        <v>132</v>
      </c>
      <c r="M738" s="213"/>
      <c r="N738" s="202">
        <v>3.55</v>
      </c>
      <c r="O738" s="243" t="str">
        <f>VLOOKUP(Ruimtestaat[[#This Row],[Ruimte code]],Ruimtegroepen[#All],4,FALSE)</f>
        <v>Niet in onderhoud</v>
      </c>
      <c r="P738" s="214"/>
      <c r="Q738" s="215"/>
      <c r="R738" s="215"/>
      <c r="S738" s="215">
        <f>IF(R738&gt;0,IF(RIGHT(Ruimtestaat[[#This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38" s="215">
        <f>IF(S738&gt;0,VLOOKUP($J738,Ruimtegroepen[],3,FALSE)*VLOOKUP($K738,Vloersoorten[],3,FALSE)*VLOOKUP($R738,Frequenties[],3,FALSE)*VLOOKUP($A738,Locaties[],3,FALSE),0)</f>
        <v>0</v>
      </c>
      <c r="U738" s="215">
        <f>Ruimtestaat[[#This Row],[Uitvoeringen werkdagen]]*Ruimtestaat[[#This Row],[Oppervlak (netto)]]</f>
        <v>0</v>
      </c>
      <c r="V738" s="259">
        <f>IF(T738&gt;0,Ruimtestaat[[#This Row],[Prest. (m2 /jaar) werkdagen]]/Ruimtestaat[[#This Row],[Norm (m2/uur) werkdagen]],0)</f>
        <v>0</v>
      </c>
      <c r="W738" s="260">
        <f>Ruimtestaat[[#This Row],[uren / jaar werkdagen]]*Tariefsopbouw!$D$38</f>
        <v>0</v>
      </c>
      <c r="X738" s="33"/>
      <c r="Y738" s="33">
        <f>IF(Ruimtestaat[[#This Row],[Frequentie weekend]]&gt;0,VALUE(LEFT(X738,1))*Q738,0)</f>
        <v>0</v>
      </c>
      <c r="Z738" s="33">
        <f>IF($Y738&gt;0,VLOOKUP($J738,Ruimtegroepen[],3,FALSE)*VLOOKUP($K738,Vloersoorten[],3,FALSE)*VLOOKUP($X738,Frequenties[],3,FALSE)*VLOOKUP(#REF!,Locaties[],3,FALSE),0)</f>
        <v>0</v>
      </c>
      <c r="AA738" s="33"/>
      <c r="AB738" s="33"/>
      <c r="AC738" s="33">
        <f>Ruimtestaat[[#This Row],[uren / jaar weekend]]*Tariefsopbouw!$D$40</f>
        <v>0</v>
      </c>
      <c r="AD738" s="88">
        <f>Ruimtestaat[[#This Row],[Prest. (m2 /jaar) weekend]]+Ruimtestaat[[#This Row],[Prest. (m2 /jaar) werkdagen]]</f>
        <v>0</v>
      </c>
      <c r="AE738" s="88">
        <f>Ruimtestaat[[#This Row],[uren / jaar weekend]]+Ruimtestaat[[#This Row],[uren / jaar werkdagen]]</f>
        <v>0</v>
      </c>
      <c r="AF738" s="89">
        <f>Ruimtestaat[[#This Row],[kosten / jaar weekend]]+Ruimtestaat[[#This Row],[kosten / jaar werkdagen]]</f>
        <v>0</v>
      </c>
    </row>
    <row r="739" spans="1:32" ht="15" customHeight="1">
      <c r="A739" s="280">
        <v>5</v>
      </c>
      <c r="B739" s="21" t="str">
        <f>VLOOKUP(Ruimtestaat[[#This Row],[Code]],Locaties[#All],2,FALSE)</f>
        <v>SGC Almelo</v>
      </c>
      <c r="C739" s="281" t="str">
        <f>VLOOKUP(Ruimtestaat[[#This Row],[Code]],Locaties[#All],4,FALSE)</f>
        <v>Slot 31</v>
      </c>
      <c r="D739" s="281" t="str">
        <f>VLOOKUP(Ruimtestaat[[#This Row],[Code]],Locaties[#All],5,FALSE)</f>
        <v>7608 ND</v>
      </c>
      <c r="E739" s="281" t="str">
        <f>VLOOKUP(Ruimtestaat[[#This Row],[Code]],Locaties[#All],6,FALSE)</f>
        <v>Almelo</v>
      </c>
      <c r="F739" s="282"/>
      <c r="G739" s="283" t="s">
        <v>533</v>
      </c>
      <c r="H739" s="280" t="s">
        <v>856</v>
      </c>
      <c r="I739" s="282" t="s">
        <v>447</v>
      </c>
      <c r="J739" s="200">
        <v>1</v>
      </c>
      <c r="K739" s="243" t="s">
        <v>110</v>
      </c>
      <c r="L739" s="291" t="s">
        <v>132</v>
      </c>
      <c r="M739" s="213">
        <v>5.25</v>
      </c>
      <c r="N739" s="213"/>
      <c r="O739" s="243" t="str">
        <f>VLOOKUP(Ruimtestaat[[#This Row],[Ruimte code]],Ruimtegroepen[#All],4,FALSE)</f>
        <v>V  (Verkeersruimte)</v>
      </c>
      <c r="P739" s="214"/>
      <c r="Q739" s="215">
        <v>40</v>
      </c>
      <c r="R739" s="215" t="s">
        <v>16</v>
      </c>
      <c r="S739" s="215">
        <f>IF(R739&gt;0,IF(RIGHT(Ruimtestaat[[#This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39" s="215">
        <f>IF(S739&gt;0,VLOOKUP($J739,Ruimtegroepen[],3,FALSE)*VLOOKUP($K739,Vloersoorten[],3,FALSE)*VLOOKUP($R739,Frequenties[],3,FALSE)*VLOOKUP($A739,Locaties[],3,FALSE),0)</f>
        <v>0</v>
      </c>
      <c r="U739" s="215">
        <f>Ruimtestaat[[#This Row],[Uitvoeringen werkdagen]]*Ruimtestaat[[#This Row],[Oppervlak (netto)]]</f>
        <v>63</v>
      </c>
      <c r="V739" s="259">
        <f>IF(T739&gt;0,Ruimtestaat[[#This Row],[Prest. (m2 /jaar) werkdagen]]/Ruimtestaat[[#This Row],[Norm (m2/uur) werkdagen]],0)</f>
        <v>0</v>
      </c>
      <c r="W739" s="260">
        <f>Ruimtestaat[[#This Row],[uren / jaar werkdagen]]*Tariefsopbouw!$D$38</f>
        <v>0</v>
      </c>
      <c r="X739" s="33"/>
      <c r="Y739" s="33">
        <f>IF(Ruimtestaat[[#This Row],[Frequentie weekend]]&gt;0,VALUE(LEFT(X739,1))*Q739,0)</f>
        <v>0</v>
      </c>
      <c r="Z739" s="33">
        <f>IF($Y739&gt;0,VLOOKUP($J739,Ruimtegroepen[],3,FALSE)*VLOOKUP($K739,Vloersoorten[],3,FALSE)*VLOOKUP($X739,Frequenties[],3,FALSE)*VLOOKUP(#REF!,Locaties[],3,FALSE),0)</f>
        <v>0</v>
      </c>
      <c r="AA739" s="33"/>
      <c r="AB739" s="33"/>
      <c r="AC739" s="33">
        <f>Ruimtestaat[[#This Row],[uren / jaar weekend]]*Tariefsopbouw!$D$40</f>
        <v>0</v>
      </c>
      <c r="AD739" s="88">
        <f>Ruimtestaat[[#This Row],[Prest. (m2 /jaar) weekend]]+Ruimtestaat[[#This Row],[Prest. (m2 /jaar) werkdagen]]</f>
        <v>63</v>
      </c>
      <c r="AE739" s="88">
        <f>Ruimtestaat[[#This Row],[uren / jaar weekend]]+Ruimtestaat[[#This Row],[uren / jaar werkdagen]]</f>
        <v>0</v>
      </c>
      <c r="AF739" s="89">
        <f>Ruimtestaat[[#This Row],[kosten / jaar weekend]]+Ruimtestaat[[#This Row],[kosten / jaar werkdagen]]</f>
        <v>0</v>
      </c>
    </row>
    <row r="740" spans="1:32" ht="15" customHeight="1">
      <c r="A740" s="280">
        <v>5</v>
      </c>
      <c r="B740" s="21" t="str">
        <f>VLOOKUP(Ruimtestaat[[#This Row],[Code]],Locaties[#All],2,FALSE)</f>
        <v>SGC Almelo</v>
      </c>
      <c r="C740" s="281" t="str">
        <f>VLOOKUP(Ruimtestaat[[#This Row],[Code]],Locaties[#All],4,FALSE)</f>
        <v>Slot 31</v>
      </c>
      <c r="D740" s="281" t="str">
        <f>VLOOKUP(Ruimtestaat[[#This Row],[Code]],Locaties[#All],5,FALSE)</f>
        <v>7608 ND</v>
      </c>
      <c r="E740" s="281" t="str">
        <f>VLOOKUP(Ruimtestaat[[#This Row],[Code]],Locaties[#All],6,FALSE)</f>
        <v>Almelo</v>
      </c>
      <c r="F740" s="282"/>
      <c r="G740" s="283" t="s">
        <v>533</v>
      </c>
      <c r="H740" s="280" t="s">
        <v>857</v>
      </c>
      <c r="I740" s="282" t="s">
        <v>447</v>
      </c>
      <c r="J740" s="200">
        <v>1</v>
      </c>
      <c r="K740" s="243" t="s">
        <v>110</v>
      </c>
      <c r="L740" s="291" t="s">
        <v>132</v>
      </c>
      <c r="M740" s="213">
        <v>7.08</v>
      </c>
      <c r="N740" s="202"/>
      <c r="O740" s="243" t="str">
        <f>VLOOKUP(Ruimtestaat[[#This Row],[Ruimte code]],Ruimtegroepen[#All],4,FALSE)</f>
        <v>V  (Verkeersruimte)</v>
      </c>
      <c r="P740" s="214"/>
      <c r="Q740" s="215">
        <v>40</v>
      </c>
      <c r="R740" s="215" t="s">
        <v>16</v>
      </c>
      <c r="S740" s="215">
        <f>IF(R740&gt;0,IF(RIGHT(Ruimtestaat[[#This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40" s="215">
        <f>IF(S740&gt;0,VLOOKUP($J740,Ruimtegroepen[],3,FALSE)*VLOOKUP($K740,Vloersoorten[],3,FALSE)*VLOOKUP($R740,Frequenties[],3,FALSE)*VLOOKUP($A740,Locaties[],3,FALSE),0)</f>
        <v>0</v>
      </c>
      <c r="U740" s="215">
        <f>Ruimtestaat[[#This Row],[Uitvoeringen werkdagen]]*Ruimtestaat[[#This Row],[Oppervlak (netto)]]</f>
        <v>84.960000000000008</v>
      </c>
      <c r="V740" s="259">
        <f>IF(T740&gt;0,Ruimtestaat[[#This Row],[Prest. (m2 /jaar) werkdagen]]/Ruimtestaat[[#This Row],[Norm (m2/uur) werkdagen]],0)</f>
        <v>0</v>
      </c>
      <c r="W740" s="260">
        <f>Ruimtestaat[[#This Row],[uren / jaar werkdagen]]*Tariefsopbouw!$D$38</f>
        <v>0</v>
      </c>
      <c r="X740" s="33"/>
      <c r="Y740" s="33">
        <f>IF(Ruimtestaat[[#This Row],[Frequentie weekend]]&gt;0,VALUE(LEFT(X740,1))*Q740,0)</f>
        <v>0</v>
      </c>
      <c r="Z740" s="33">
        <f>IF($Y740&gt;0,VLOOKUP($J740,Ruimtegroepen[],3,FALSE)*VLOOKUP($K740,Vloersoorten[],3,FALSE)*VLOOKUP($X740,Frequenties[],3,FALSE)*VLOOKUP(#REF!,Locaties[],3,FALSE),0)</f>
        <v>0</v>
      </c>
      <c r="AA740" s="33"/>
      <c r="AB740" s="33"/>
      <c r="AC740" s="33">
        <f>Ruimtestaat[[#This Row],[uren / jaar weekend]]*Tariefsopbouw!$D$40</f>
        <v>0</v>
      </c>
      <c r="AD740" s="88">
        <f>Ruimtestaat[[#This Row],[Prest. (m2 /jaar) weekend]]+Ruimtestaat[[#This Row],[Prest. (m2 /jaar) werkdagen]]</f>
        <v>84.960000000000008</v>
      </c>
      <c r="AE740" s="88">
        <f>Ruimtestaat[[#This Row],[uren / jaar weekend]]+Ruimtestaat[[#This Row],[uren / jaar werkdagen]]</f>
        <v>0</v>
      </c>
      <c r="AF740" s="89">
        <f>Ruimtestaat[[#This Row],[kosten / jaar weekend]]+Ruimtestaat[[#This Row],[kosten / jaar werkdagen]]</f>
        <v>0</v>
      </c>
    </row>
    <row r="741" spans="1:32" ht="15" customHeight="1">
      <c r="A741" s="280">
        <v>5</v>
      </c>
      <c r="B741" s="21" t="str">
        <f>VLOOKUP(Ruimtestaat[[#This Row],[Code]],Locaties[#All],2,FALSE)</f>
        <v>SGC Almelo</v>
      </c>
      <c r="C741" s="281" t="str">
        <f>VLOOKUP(Ruimtestaat[[#This Row],[Code]],Locaties[#All],4,FALSE)</f>
        <v>Slot 31</v>
      </c>
      <c r="D741" s="281" t="str">
        <f>VLOOKUP(Ruimtestaat[[#This Row],[Code]],Locaties[#All],5,FALSE)</f>
        <v>7608 ND</v>
      </c>
      <c r="E741" s="281" t="str">
        <f>VLOOKUP(Ruimtestaat[[#This Row],[Code]],Locaties[#All],6,FALSE)</f>
        <v>Almelo</v>
      </c>
      <c r="F741" s="282"/>
      <c r="G741" s="283" t="s">
        <v>533</v>
      </c>
      <c r="H741" s="280" t="s">
        <v>576</v>
      </c>
      <c r="I741" s="282" t="s">
        <v>396</v>
      </c>
      <c r="J741" s="200">
        <v>16</v>
      </c>
      <c r="K741" s="243" t="s">
        <v>109</v>
      </c>
      <c r="L741" s="291" t="s">
        <v>1046</v>
      </c>
      <c r="M741" s="213">
        <v>51.61</v>
      </c>
      <c r="N741" s="202"/>
      <c r="O741" s="243" t="str">
        <f>VLOOKUP(Ruimtestaat[[#This Row],[Ruimte code]],Ruimtegroepen[#All],4,FALSE)</f>
        <v>L  (Lesruimte)</v>
      </c>
      <c r="P741" s="214"/>
      <c r="Q741" s="215">
        <v>40</v>
      </c>
      <c r="R741" s="215" t="s">
        <v>2</v>
      </c>
      <c r="S741" s="215">
        <f>IF(R741&gt;0,IF(RIGHT(Ruimtestaat[[#This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1" s="215">
        <f>IF(S741&gt;0,VLOOKUP($J741,Ruimtegroepen[],3,FALSE)*VLOOKUP($K741,Vloersoorten[],3,FALSE)*VLOOKUP($R741,Frequenties[],3,FALSE)*VLOOKUP($A741,Locaties[],3,FALSE),0)</f>
        <v>0</v>
      </c>
      <c r="U741" s="215">
        <f>Ruimtestaat[[#This Row],[Uitvoeringen werkdagen]]*Ruimtestaat[[#This Row],[Oppervlak (netto)]]</f>
        <v>10322</v>
      </c>
      <c r="V741" s="259">
        <f>IF(T741&gt;0,Ruimtestaat[[#This Row],[Prest. (m2 /jaar) werkdagen]]/Ruimtestaat[[#This Row],[Norm (m2/uur) werkdagen]],0)</f>
        <v>0</v>
      </c>
      <c r="W741" s="260">
        <f>Ruimtestaat[[#This Row],[uren / jaar werkdagen]]*Tariefsopbouw!$D$38</f>
        <v>0</v>
      </c>
      <c r="X741" s="33"/>
      <c r="Y741" s="33">
        <f>IF(Ruimtestaat[[#This Row],[Frequentie weekend]]&gt;0,VALUE(LEFT(X741,1))*Q741,0)</f>
        <v>0</v>
      </c>
      <c r="Z741" s="33">
        <f>IF($Y741&gt;0,VLOOKUP($J741,Ruimtegroepen[],3,FALSE)*VLOOKUP($K741,Vloersoorten[],3,FALSE)*VLOOKUP($X741,Frequenties[],3,FALSE)*VLOOKUP(#REF!,Locaties[],3,FALSE),0)</f>
        <v>0</v>
      </c>
      <c r="AA741" s="33"/>
      <c r="AB741" s="33"/>
      <c r="AC741" s="33">
        <f>Ruimtestaat[[#This Row],[uren / jaar weekend]]*Tariefsopbouw!$D$40</f>
        <v>0</v>
      </c>
      <c r="AD741" s="88">
        <f>Ruimtestaat[[#This Row],[Prest. (m2 /jaar) weekend]]+Ruimtestaat[[#This Row],[Prest. (m2 /jaar) werkdagen]]</f>
        <v>10322</v>
      </c>
      <c r="AE741" s="88">
        <f>Ruimtestaat[[#This Row],[uren / jaar weekend]]+Ruimtestaat[[#This Row],[uren / jaar werkdagen]]</f>
        <v>0</v>
      </c>
      <c r="AF741" s="89">
        <f>Ruimtestaat[[#This Row],[kosten / jaar weekend]]+Ruimtestaat[[#This Row],[kosten / jaar werkdagen]]</f>
        <v>0</v>
      </c>
    </row>
    <row r="742" spans="1:32" ht="15" customHeight="1">
      <c r="A742" s="280">
        <v>5</v>
      </c>
      <c r="B742" s="21" t="str">
        <f>VLOOKUP(Ruimtestaat[[#This Row],[Code]],Locaties[#All],2,FALSE)</f>
        <v>SGC Almelo</v>
      </c>
      <c r="C742" s="281" t="str">
        <f>VLOOKUP(Ruimtestaat[[#This Row],[Code]],Locaties[#All],4,FALSE)</f>
        <v>Slot 31</v>
      </c>
      <c r="D742" s="281" t="str">
        <f>VLOOKUP(Ruimtestaat[[#This Row],[Code]],Locaties[#All],5,FALSE)</f>
        <v>7608 ND</v>
      </c>
      <c r="E742" s="281" t="str">
        <f>VLOOKUP(Ruimtestaat[[#This Row],[Code]],Locaties[#All],6,FALSE)</f>
        <v>Almelo</v>
      </c>
      <c r="F742" s="282"/>
      <c r="G742" s="283" t="s">
        <v>533</v>
      </c>
      <c r="H742" s="280" t="s">
        <v>858</v>
      </c>
      <c r="I742" s="282" t="s">
        <v>396</v>
      </c>
      <c r="J742" s="200">
        <v>16</v>
      </c>
      <c r="K742" s="243" t="s">
        <v>109</v>
      </c>
      <c r="L742" s="291" t="s">
        <v>1046</v>
      </c>
      <c r="M742" s="213">
        <v>68.650000000000006</v>
      </c>
      <c r="N742" s="202"/>
      <c r="O742" s="243" t="str">
        <f>VLOOKUP(Ruimtestaat[[#This Row],[Ruimte code]],Ruimtegroepen[#All],4,FALSE)</f>
        <v>L  (Lesruimte)</v>
      </c>
      <c r="P742" s="214"/>
      <c r="Q742" s="215">
        <v>40</v>
      </c>
      <c r="R742" s="215" t="s">
        <v>2</v>
      </c>
      <c r="S742" s="215">
        <f>IF(R742&gt;0,IF(RIGHT(Ruimtestaat[[#This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2" s="215">
        <f>IF(S742&gt;0,VLOOKUP($J742,Ruimtegroepen[],3,FALSE)*VLOOKUP($K742,Vloersoorten[],3,FALSE)*VLOOKUP($R742,Frequenties[],3,FALSE)*VLOOKUP($A742,Locaties[],3,FALSE),0)</f>
        <v>0</v>
      </c>
      <c r="U742" s="215">
        <f>Ruimtestaat[[#This Row],[Uitvoeringen werkdagen]]*Ruimtestaat[[#This Row],[Oppervlak (netto)]]</f>
        <v>13730.000000000002</v>
      </c>
      <c r="V742" s="259">
        <f>IF(T742&gt;0,Ruimtestaat[[#This Row],[Prest. (m2 /jaar) werkdagen]]/Ruimtestaat[[#This Row],[Norm (m2/uur) werkdagen]],0)</f>
        <v>0</v>
      </c>
      <c r="W742" s="260">
        <f>Ruimtestaat[[#This Row],[uren / jaar werkdagen]]*Tariefsopbouw!$D$38</f>
        <v>0</v>
      </c>
      <c r="X742" s="33"/>
      <c r="Y742" s="33">
        <f>IF(Ruimtestaat[[#This Row],[Frequentie weekend]]&gt;0,VALUE(LEFT(X742,1))*Q742,0)</f>
        <v>0</v>
      </c>
      <c r="Z742" s="33">
        <f>IF($Y742&gt;0,VLOOKUP($J742,Ruimtegroepen[],3,FALSE)*VLOOKUP($K742,Vloersoorten[],3,FALSE)*VLOOKUP($X742,Frequenties[],3,FALSE)*VLOOKUP(#REF!,Locaties[],3,FALSE),0)</f>
        <v>0</v>
      </c>
      <c r="AA742" s="33"/>
      <c r="AB742" s="33"/>
      <c r="AC742" s="33">
        <f>Ruimtestaat[[#This Row],[uren / jaar weekend]]*Tariefsopbouw!$D$40</f>
        <v>0</v>
      </c>
      <c r="AD742" s="88">
        <f>Ruimtestaat[[#This Row],[Prest. (m2 /jaar) weekend]]+Ruimtestaat[[#This Row],[Prest. (m2 /jaar) werkdagen]]</f>
        <v>13730.000000000002</v>
      </c>
      <c r="AE742" s="88">
        <f>Ruimtestaat[[#This Row],[uren / jaar weekend]]+Ruimtestaat[[#This Row],[uren / jaar werkdagen]]</f>
        <v>0</v>
      </c>
      <c r="AF742" s="89">
        <f>Ruimtestaat[[#This Row],[kosten / jaar weekend]]+Ruimtestaat[[#This Row],[kosten / jaar werkdagen]]</f>
        <v>0</v>
      </c>
    </row>
    <row r="743" spans="1:32" ht="15" customHeight="1">
      <c r="A743" s="280">
        <v>5</v>
      </c>
      <c r="B743" s="21" t="str">
        <f>VLOOKUP(Ruimtestaat[[#This Row],[Code]],Locaties[#All],2,FALSE)</f>
        <v>SGC Almelo</v>
      </c>
      <c r="C743" s="281" t="str">
        <f>VLOOKUP(Ruimtestaat[[#This Row],[Code]],Locaties[#All],4,FALSE)</f>
        <v>Slot 31</v>
      </c>
      <c r="D743" s="281" t="str">
        <f>VLOOKUP(Ruimtestaat[[#This Row],[Code]],Locaties[#All],5,FALSE)</f>
        <v>7608 ND</v>
      </c>
      <c r="E743" s="281" t="str">
        <f>VLOOKUP(Ruimtestaat[[#This Row],[Code]],Locaties[#All],6,FALSE)</f>
        <v>Almelo</v>
      </c>
      <c r="F743" s="282"/>
      <c r="G743" s="283" t="s">
        <v>533</v>
      </c>
      <c r="H743" s="280" t="s">
        <v>859</v>
      </c>
      <c r="I743" s="282" t="s">
        <v>455</v>
      </c>
      <c r="J743" s="200">
        <v>10</v>
      </c>
      <c r="K743" s="243" t="s">
        <v>109</v>
      </c>
      <c r="L743" s="291" t="s">
        <v>1046</v>
      </c>
      <c r="M743" s="213">
        <v>12.85</v>
      </c>
      <c r="N743" s="202"/>
      <c r="O743" s="243" t="str">
        <f>VLOOKUP(Ruimtestaat[[#This Row],[Ruimte code]],Ruimtegroepen[#All],4,FALSE)</f>
        <v>V  (Verkeersruimte)</v>
      </c>
      <c r="P743" s="214"/>
      <c r="Q743" s="215">
        <v>40</v>
      </c>
      <c r="R743" s="215" t="s">
        <v>2</v>
      </c>
      <c r="S743" s="215">
        <f>IF(R743&gt;0,IF(RIGHT(Ruimtestaat[[#This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3" s="215">
        <f>IF(S743&gt;0,VLOOKUP($J743,Ruimtegroepen[],3,FALSE)*VLOOKUP($K743,Vloersoorten[],3,FALSE)*VLOOKUP($R743,Frequenties[],3,FALSE)*VLOOKUP($A743,Locaties[],3,FALSE),0)</f>
        <v>0</v>
      </c>
      <c r="U743" s="215">
        <f>Ruimtestaat[[#This Row],[Uitvoeringen werkdagen]]*Ruimtestaat[[#This Row],[Oppervlak (netto)]]</f>
        <v>2570</v>
      </c>
      <c r="V743" s="259">
        <f>IF(T743&gt;0,Ruimtestaat[[#This Row],[Prest. (m2 /jaar) werkdagen]]/Ruimtestaat[[#This Row],[Norm (m2/uur) werkdagen]],0)</f>
        <v>0</v>
      </c>
      <c r="W743" s="260">
        <f>Ruimtestaat[[#This Row],[uren / jaar werkdagen]]*Tariefsopbouw!$D$38</f>
        <v>0</v>
      </c>
      <c r="X743" s="33"/>
      <c r="Y743" s="33">
        <f>IF(Ruimtestaat[[#This Row],[Frequentie weekend]]&gt;0,VALUE(LEFT(X743,1))*Q743,0)</f>
        <v>0</v>
      </c>
      <c r="Z743" s="33">
        <f>IF($Y743&gt;0,VLOOKUP($J743,Ruimtegroepen[],3,FALSE)*VLOOKUP($K743,Vloersoorten[],3,FALSE)*VLOOKUP($X743,Frequenties[],3,FALSE)*VLOOKUP(#REF!,Locaties[],3,FALSE),0)</f>
        <v>0</v>
      </c>
      <c r="AA743" s="33"/>
      <c r="AB743" s="33"/>
      <c r="AC743" s="33">
        <f>Ruimtestaat[[#This Row],[uren / jaar weekend]]*Tariefsopbouw!$D$40</f>
        <v>0</v>
      </c>
      <c r="AD743" s="88">
        <f>Ruimtestaat[[#This Row],[Prest. (m2 /jaar) weekend]]+Ruimtestaat[[#This Row],[Prest. (m2 /jaar) werkdagen]]</f>
        <v>2570</v>
      </c>
      <c r="AE743" s="88">
        <f>Ruimtestaat[[#This Row],[uren / jaar weekend]]+Ruimtestaat[[#This Row],[uren / jaar werkdagen]]</f>
        <v>0</v>
      </c>
      <c r="AF743" s="89">
        <f>Ruimtestaat[[#This Row],[kosten / jaar weekend]]+Ruimtestaat[[#This Row],[kosten / jaar werkdagen]]</f>
        <v>0</v>
      </c>
    </row>
    <row r="744" spans="1:32" ht="15" customHeight="1">
      <c r="A744" s="280">
        <v>5</v>
      </c>
      <c r="B744" s="21" t="str">
        <f>VLOOKUP(Ruimtestaat[[#This Row],[Code]],Locaties[#All],2,FALSE)</f>
        <v>SGC Almelo</v>
      </c>
      <c r="C744" s="281" t="str">
        <f>VLOOKUP(Ruimtestaat[[#This Row],[Code]],Locaties[#All],4,FALSE)</f>
        <v>Slot 31</v>
      </c>
      <c r="D744" s="281" t="str">
        <f>VLOOKUP(Ruimtestaat[[#This Row],[Code]],Locaties[#All],5,FALSE)</f>
        <v>7608 ND</v>
      </c>
      <c r="E744" s="281" t="str">
        <f>VLOOKUP(Ruimtestaat[[#This Row],[Code]],Locaties[#All],6,FALSE)</f>
        <v>Almelo</v>
      </c>
      <c r="F744" s="282"/>
      <c r="G744" s="283" t="s">
        <v>533</v>
      </c>
      <c r="H744" s="280" t="s">
        <v>578</v>
      </c>
      <c r="I744" s="282" t="s">
        <v>396</v>
      </c>
      <c r="J744" s="200">
        <v>16</v>
      </c>
      <c r="K744" s="243" t="s">
        <v>109</v>
      </c>
      <c r="L744" s="291" t="s">
        <v>1046</v>
      </c>
      <c r="M744" s="213">
        <v>50.4</v>
      </c>
      <c r="N744" s="202"/>
      <c r="O744" s="243" t="str">
        <f>VLOOKUP(Ruimtestaat[[#This Row],[Ruimte code]],Ruimtegroepen[#All],4,FALSE)</f>
        <v>L  (Lesruimte)</v>
      </c>
      <c r="P744" s="214"/>
      <c r="Q744" s="215">
        <v>40</v>
      </c>
      <c r="R744" s="215" t="s">
        <v>2</v>
      </c>
      <c r="S744" s="215">
        <f>IF(R744&gt;0,IF(RIGHT(Ruimtestaat[[#This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4" s="215">
        <f>IF(S744&gt;0,VLOOKUP($J744,Ruimtegroepen[],3,FALSE)*VLOOKUP($K744,Vloersoorten[],3,FALSE)*VLOOKUP($R744,Frequenties[],3,FALSE)*VLOOKUP($A744,Locaties[],3,FALSE),0)</f>
        <v>0</v>
      </c>
      <c r="U744" s="215">
        <f>Ruimtestaat[[#This Row],[Uitvoeringen werkdagen]]*Ruimtestaat[[#This Row],[Oppervlak (netto)]]</f>
        <v>10080</v>
      </c>
      <c r="V744" s="259">
        <f>IF(T744&gt;0,Ruimtestaat[[#This Row],[Prest. (m2 /jaar) werkdagen]]/Ruimtestaat[[#This Row],[Norm (m2/uur) werkdagen]],0)</f>
        <v>0</v>
      </c>
      <c r="W744" s="260">
        <f>Ruimtestaat[[#This Row],[uren / jaar werkdagen]]*Tariefsopbouw!$D$38</f>
        <v>0</v>
      </c>
      <c r="X744" s="33"/>
      <c r="Y744" s="33">
        <f>IF(Ruimtestaat[[#This Row],[Frequentie weekend]]&gt;0,VALUE(LEFT(X744,1))*Q744,0)</f>
        <v>0</v>
      </c>
      <c r="Z744" s="33">
        <f>IF($Y744&gt;0,VLOOKUP($J744,Ruimtegroepen[],3,FALSE)*VLOOKUP($K744,Vloersoorten[],3,FALSE)*VLOOKUP($X744,Frequenties[],3,FALSE)*VLOOKUP(#REF!,Locaties[],3,FALSE),0)</f>
        <v>0</v>
      </c>
      <c r="AA744" s="33"/>
      <c r="AB744" s="33"/>
      <c r="AC744" s="33">
        <f>Ruimtestaat[[#This Row],[uren / jaar weekend]]*Tariefsopbouw!$D$40</f>
        <v>0</v>
      </c>
      <c r="AD744" s="88">
        <f>Ruimtestaat[[#This Row],[Prest. (m2 /jaar) weekend]]+Ruimtestaat[[#This Row],[Prest. (m2 /jaar) werkdagen]]</f>
        <v>10080</v>
      </c>
      <c r="AE744" s="88">
        <f>Ruimtestaat[[#This Row],[uren / jaar weekend]]+Ruimtestaat[[#This Row],[uren / jaar werkdagen]]</f>
        <v>0</v>
      </c>
      <c r="AF744" s="89">
        <f>Ruimtestaat[[#This Row],[kosten / jaar weekend]]+Ruimtestaat[[#This Row],[kosten / jaar werkdagen]]</f>
        <v>0</v>
      </c>
    </row>
    <row r="745" spans="1:32" ht="15" customHeight="1">
      <c r="A745" s="280">
        <v>5</v>
      </c>
      <c r="B745" s="21" t="str">
        <f>VLOOKUP(Ruimtestaat[[#This Row],[Code]],Locaties[#All],2,FALSE)</f>
        <v>SGC Almelo</v>
      </c>
      <c r="C745" s="281" t="str">
        <f>VLOOKUP(Ruimtestaat[[#This Row],[Code]],Locaties[#All],4,FALSE)</f>
        <v>Slot 31</v>
      </c>
      <c r="D745" s="281" t="str">
        <f>VLOOKUP(Ruimtestaat[[#This Row],[Code]],Locaties[#All],5,FALSE)</f>
        <v>7608 ND</v>
      </c>
      <c r="E745" s="281" t="str">
        <f>VLOOKUP(Ruimtestaat[[#This Row],[Code]],Locaties[#All],6,FALSE)</f>
        <v>Almelo</v>
      </c>
      <c r="F745" s="282"/>
      <c r="G745" s="283" t="s">
        <v>533</v>
      </c>
      <c r="H745" s="280" t="s">
        <v>860</v>
      </c>
      <c r="I745" s="282" t="s">
        <v>469</v>
      </c>
      <c r="J745" s="200">
        <v>6</v>
      </c>
      <c r="K745" s="243" t="s">
        <v>109</v>
      </c>
      <c r="L745" s="291" t="s">
        <v>1046</v>
      </c>
      <c r="M745" s="213">
        <v>152.72999999999999</v>
      </c>
      <c r="N745" s="202"/>
      <c r="O745" s="243" t="str">
        <f>VLOOKUP(Ruimtestaat[[#This Row],[Ruimte code]],Ruimtegroepen[#All],4,FALSE)</f>
        <v>V  (Verkeersruimte)</v>
      </c>
      <c r="P745" s="214"/>
      <c r="Q745" s="215">
        <v>40</v>
      </c>
      <c r="R745" s="215" t="s">
        <v>2</v>
      </c>
      <c r="S745" s="215">
        <f>IF(R745&gt;0,IF(RIGHT(Ruimtestaat[[#This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5" s="215">
        <f>IF(S745&gt;0,VLOOKUP($J745,Ruimtegroepen[],3,FALSE)*VLOOKUP($K745,Vloersoorten[],3,FALSE)*VLOOKUP($R745,Frequenties[],3,FALSE)*VLOOKUP($A745,Locaties[],3,FALSE),0)</f>
        <v>0</v>
      </c>
      <c r="U745" s="215">
        <f>Ruimtestaat[[#This Row],[Uitvoeringen werkdagen]]*Ruimtestaat[[#This Row],[Oppervlak (netto)]]</f>
        <v>30545.999999999996</v>
      </c>
      <c r="V745" s="259">
        <f>IF(T745&gt;0,Ruimtestaat[[#This Row],[Prest. (m2 /jaar) werkdagen]]/Ruimtestaat[[#This Row],[Norm (m2/uur) werkdagen]],0)</f>
        <v>0</v>
      </c>
      <c r="W745" s="260">
        <f>Ruimtestaat[[#This Row],[uren / jaar werkdagen]]*Tariefsopbouw!$D$38</f>
        <v>0</v>
      </c>
      <c r="X745" s="33"/>
      <c r="Y745" s="33">
        <f>IF(Ruimtestaat[[#This Row],[Frequentie weekend]]&gt;0,VALUE(LEFT(X745,1))*Q745,0)</f>
        <v>0</v>
      </c>
      <c r="Z745" s="33">
        <f>IF($Y745&gt;0,VLOOKUP($J745,Ruimtegroepen[],3,FALSE)*VLOOKUP($K745,Vloersoorten[],3,FALSE)*VLOOKUP($X745,Frequenties[],3,FALSE)*VLOOKUP(#REF!,Locaties[],3,FALSE),0)</f>
        <v>0</v>
      </c>
      <c r="AA745" s="33"/>
      <c r="AB745" s="33"/>
      <c r="AC745" s="33">
        <f>Ruimtestaat[[#This Row],[uren / jaar weekend]]*Tariefsopbouw!$D$40</f>
        <v>0</v>
      </c>
      <c r="AD745" s="88">
        <f>Ruimtestaat[[#This Row],[Prest. (m2 /jaar) weekend]]+Ruimtestaat[[#This Row],[Prest. (m2 /jaar) werkdagen]]</f>
        <v>30545.999999999996</v>
      </c>
      <c r="AE745" s="88">
        <f>Ruimtestaat[[#This Row],[uren / jaar weekend]]+Ruimtestaat[[#This Row],[uren / jaar werkdagen]]</f>
        <v>0</v>
      </c>
      <c r="AF745" s="89">
        <f>Ruimtestaat[[#This Row],[kosten / jaar weekend]]+Ruimtestaat[[#This Row],[kosten / jaar werkdagen]]</f>
        <v>0</v>
      </c>
    </row>
    <row r="746" spans="1:32" ht="15" customHeight="1">
      <c r="A746" s="280">
        <v>5</v>
      </c>
      <c r="B746" s="21" t="str">
        <f>VLOOKUP(Ruimtestaat[[#This Row],[Code]],Locaties[#All],2,FALSE)</f>
        <v>SGC Almelo</v>
      </c>
      <c r="C746" s="281" t="str">
        <f>VLOOKUP(Ruimtestaat[[#This Row],[Code]],Locaties[#All],4,FALSE)</f>
        <v>Slot 31</v>
      </c>
      <c r="D746" s="281" t="str">
        <f>VLOOKUP(Ruimtestaat[[#This Row],[Code]],Locaties[#All],5,FALSE)</f>
        <v>7608 ND</v>
      </c>
      <c r="E746" s="281" t="str">
        <f>VLOOKUP(Ruimtestaat[[#This Row],[Code]],Locaties[#All],6,FALSE)</f>
        <v>Almelo</v>
      </c>
      <c r="F746" s="282"/>
      <c r="G746" s="283" t="s">
        <v>533</v>
      </c>
      <c r="H746" s="280" t="s">
        <v>580</v>
      </c>
      <c r="I746" s="282" t="s">
        <v>396</v>
      </c>
      <c r="J746" s="200">
        <v>16</v>
      </c>
      <c r="K746" s="243" t="s">
        <v>109</v>
      </c>
      <c r="L746" s="291" t="s">
        <v>1046</v>
      </c>
      <c r="M746" s="213">
        <v>59.98</v>
      </c>
      <c r="N746" s="202"/>
      <c r="O746" s="243" t="str">
        <f>VLOOKUP(Ruimtestaat[[#This Row],[Ruimte code]],Ruimtegroepen[#All],4,FALSE)</f>
        <v>L  (Lesruimte)</v>
      </c>
      <c r="P746" s="214"/>
      <c r="Q746" s="215">
        <v>40</v>
      </c>
      <c r="R746" s="215" t="s">
        <v>2</v>
      </c>
      <c r="S746" s="215">
        <f>IF(R746&gt;0,IF(RIGHT(Ruimtestaat[[#This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6" s="215">
        <f>IF(S746&gt;0,VLOOKUP($J746,Ruimtegroepen[],3,FALSE)*VLOOKUP($K746,Vloersoorten[],3,FALSE)*VLOOKUP($R746,Frequenties[],3,FALSE)*VLOOKUP($A746,Locaties[],3,FALSE),0)</f>
        <v>0</v>
      </c>
      <c r="U746" s="215">
        <f>Ruimtestaat[[#This Row],[Uitvoeringen werkdagen]]*Ruimtestaat[[#This Row],[Oppervlak (netto)]]</f>
        <v>11996</v>
      </c>
      <c r="V746" s="259">
        <f>IF(T746&gt;0,Ruimtestaat[[#This Row],[Prest. (m2 /jaar) werkdagen]]/Ruimtestaat[[#This Row],[Norm (m2/uur) werkdagen]],0)</f>
        <v>0</v>
      </c>
      <c r="W746" s="260">
        <f>Ruimtestaat[[#This Row],[uren / jaar werkdagen]]*Tariefsopbouw!$D$38</f>
        <v>0</v>
      </c>
      <c r="X746" s="33"/>
      <c r="Y746" s="33">
        <f>IF(Ruimtestaat[[#This Row],[Frequentie weekend]]&gt;0,VALUE(LEFT(X746,1))*Q746,0)</f>
        <v>0</v>
      </c>
      <c r="Z746" s="33">
        <f>IF($Y746&gt;0,VLOOKUP($J746,Ruimtegroepen[],3,FALSE)*VLOOKUP($K746,Vloersoorten[],3,FALSE)*VLOOKUP($X746,Frequenties[],3,FALSE)*VLOOKUP(#REF!,Locaties[],3,FALSE),0)</f>
        <v>0</v>
      </c>
      <c r="AA746" s="33"/>
      <c r="AB746" s="33"/>
      <c r="AC746" s="33">
        <f>Ruimtestaat[[#This Row],[uren / jaar weekend]]*Tariefsopbouw!$D$40</f>
        <v>0</v>
      </c>
      <c r="AD746" s="88">
        <f>Ruimtestaat[[#This Row],[Prest. (m2 /jaar) weekend]]+Ruimtestaat[[#This Row],[Prest. (m2 /jaar) werkdagen]]</f>
        <v>11996</v>
      </c>
      <c r="AE746" s="88">
        <f>Ruimtestaat[[#This Row],[uren / jaar weekend]]+Ruimtestaat[[#This Row],[uren / jaar werkdagen]]</f>
        <v>0</v>
      </c>
      <c r="AF746" s="89">
        <f>Ruimtestaat[[#This Row],[kosten / jaar weekend]]+Ruimtestaat[[#This Row],[kosten / jaar werkdagen]]</f>
        <v>0</v>
      </c>
    </row>
    <row r="747" spans="1:32" ht="15" customHeight="1">
      <c r="A747" s="280">
        <v>5</v>
      </c>
      <c r="B747" s="21" t="str">
        <f>VLOOKUP(Ruimtestaat[[#This Row],[Code]],Locaties[#All],2,FALSE)</f>
        <v>SGC Almelo</v>
      </c>
      <c r="C747" s="281" t="str">
        <f>VLOOKUP(Ruimtestaat[[#This Row],[Code]],Locaties[#All],4,FALSE)</f>
        <v>Slot 31</v>
      </c>
      <c r="D747" s="281" t="str">
        <f>VLOOKUP(Ruimtestaat[[#This Row],[Code]],Locaties[#All],5,FALSE)</f>
        <v>7608 ND</v>
      </c>
      <c r="E747" s="281" t="str">
        <f>VLOOKUP(Ruimtestaat[[#This Row],[Code]],Locaties[#All],6,FALSE)</f>
        <v>Almelo</v>
      </c>
      <c r="F747" s="282"/>
      <c r="G747" s="283" t="s">
        <v>533</v>
      </c>
      <c r="H747" s="280" t="s">
        <v>582</v>
      </c>
      <c r="I747" s="282" t="s">
        <v>396</v>
      </c>
      <c r="J747" s="200">
        <v>16</v>
      </c>
      <c r="K747" s="243" t="s">
        <v>109</v>
      </c>
      <c r="L747" s="291" t="s">
        <v>1046</v>
      </c>
      <c r="M747" s="213">
        <v>60.39</v>
      </c>
      <c r="N747" s="202"/>
      <c r="O747" s="243" t="str">
        <f>VLOOKUP(Ruimtestaat[[#This Row],[Ruimte code]],Ruimtegroepen[#All],4,FALSE)</f>
        <v>L  (Lesruimte)</v>
      </c>
      <c r="P747" s="214"/>
      <c r="Q747" s="215">
        <v>40</v>
      </c>
      <c r="R747" s="215" t="s">
        <v>2</v>
      </c>
      <c r="S747" s="215">
        <f>IF(R747&gt;0,IF(RIGHT(Ruimtestaat[[#This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7" s="215">
        <f>IF(S747&gt;0,VLOOKUP($J747,Ruimtegroepen[],3,FALSE)*VLOOKUP($K747,Vloersoorten[],3,FALSE)*VLOOKUP($R747,Frequenties[],3,FALSE)*VLOOKUP($A747,Locaties[],3,FALSE),0)</f>
        <v>0</v>
      </c>
      <c r="U747" s="215">
        <f>Ruimtestaat[[#This Row],[Uitvoeringen werkdagen]]*Ruimtestaat[[#This Row],[Oppervlak (netto)]]</f>
        <v>12078</v>
      </c>
      <c r="V747" s="259">
        <f>IF(T747&gt;0,Ruimtestaat[[#This Row],[Prest. (m2 /jaar) werkdagen]]/Ruimtestaat[[#This Row],[Norm (m2/uur) werkdagen]],0)</f>
        <v>0</v>
      </c>
      <c r="W747" s="260">
        <f>Ruimtestaat[[#This Row],[uren / jaar werkdagen]]*Tariefsopbouw!$D$38</f>
        <v>0</v>
      </c>
      <c r="X747" s="33"/>
      <c r="Y747" s="33">
        <f>IF(Ruimtestaat[[#This Row],[Frequentie weekend]]&gt;0,VALUE(LEFT(X747,1))*Q747,0)</f>
        <v>0</v>
      </c>
      <c r="Z747" s="33">
        <f>IF($Y747&gt;0,VLOOKUP($J747,Ruimtegroepen[],3,FALSE)*VLOOKUP($K747,Vloersoorten[],3,FALSE)*VLOOKUP($X747,Frequenties[],3,FALSE)*VLOOKUP(#REF!,Locaties[],3,FALSE),0)</f>
        <v>0</v>
      </c>
      <c r="AA747" s="33"/>
      <c r="AB747" s="33"/>
      <c r="AC747" s="33">
        <f>Ruimtestaat[[#This Row],[uren / jaar weekend]]*Tariefsopbouw!$D$40</f>
        <v>0</v>
      </c>
      <c r="AD747" s="88">
        <f>Ruimtestaat[[#This Row],[Prest. (m2 /jaar) weekend]]+Ruimtestaat[[#This Row],[Prest. (m2 /jaar) werkdagen]]</f>
        <v>12078</v>
      </c>
      <c r="AE747" s="88">
        <f>Ruimtestaat[[#This Row],[uren / jaar weekend]]+Ruimtestaat[[#This Row],[uren / jaar werkdagen]]</f>
        <v>0</v>
      </c>
      <c r="AF747" s="89">
        <f>Ruimtestaat[[#This Row],[kosten / jaar weekend]]+Ruimtestaat[[#This Row],[kosten / jaar werkdagen]]</f>
        <v>0</v>
      </c>
    </row>
    <row r="748" spans="1:32" ht="15" customHeight="1">
      <c r="A748" s="280">
        <v>5</v>
      </c>
      <c r="B748" s="21" t="str">
        <f>VLOOKUP(Ruimtestaat[[#This Row],[Code]],Locaties[#All],2,FALSE)</f>
        <v>SGC Almelo</v>
      </c>
      <c r="C748" s="281" t="str">
        <f>VLOOKUP(Ruimtestaat[[#This Row],[Code]],Locaties[#All],4,FALSE)</f>
        <v>Slot 31</v>
      </c>
      <c r="D748" s="281" t="str">
        <f>VLOOKUP(Ruimtestaat[[#This Row],[Code]],Locaties[#All],5,FALSE)</f>
        <v>7608 ND</v>
      </c>
      <c r="E748" s="281" t="str">
        <f>VLOOKUP(Ruimtestaat[[#This Row],[Code]],Locaties[#All],6,FALSE)</f>
        <v>Almelo</v>
      </c>
      <c r="F748" s="282"/>
      <c r="G748" s="283" t="s">
        <v>533</v>
      </c>
      <c r="H748" s="280" t="s">
        <v>584</v>
      </c>
      <c r="I748" s="282" t="s">
        <v>396</v>
      </c>
      <c r="J748" s="200">
        <v>16</v>
      </c>
      <c r="K748" s="243" t="s">
        <v>109</v>
      </c>
      <c r="L748" s="291" t="s">
        <v>1046</v>
      </c>
      <c r="M748" s="213">
        <v>51.79</v>
      </c>
      <c r="N748" s="202"/>
      <c r="O748" s="243" t="str">
        <f>VLOOKUP(Ruimtestaat[[#This Row],[Ruimte code]],Ruimtegroepen[#All],4,FALSE)</f>
        <v>L  (Lesruimte)</v>
      </c>
      <c r="P748" s="214"/>
      <c r="Q748" s="215">
        <v>40</v>
      </c>
      <c r="R748" s="215" t="s">
        <v>2</v>
      </c>
      <c r="S748" s="215">
        <f>IF(R748&gt;0,IF(RIGHT(Ruimtestaat[[#This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8" s="215">
        <f>IF(S748&gt;0,VLOOKUP($J748,Ruimtegroepen[],3,FALSE)*VLOOKUP($K748,Vloersoorten[],3,FALSE)*VLOOKUP($R748,Frequenties[],3,FALSE)*VLOOKUP($A748,Locaties[],3,FALSE),0)</f>
        <v>0</v>
      </c>
      <c r="U748" s="215">
        <f>Ruimtestaat[[#This Row],[Uitvoeringen werkdagen]]*Ruimtestaat[[#This Row],[Oppervlak (netto)]]</f>
        <v>10358</v>
      </c>
      <c r="V748" s="259">
        <f>IF(T748&gt;0,Ruimtestaat[[#This Row],[Prest. (m2 /jaar) werkdagen]]/Ruimtestaat[[#This Row],[Norm (m2/uur) werkdagen]],0)</f>
        <v>0</v>
      </c>
      <c r="W748" s="260">
        <f>Ruimtestaat[[#This Row],[uren / jaar werkdagen]]*Tariefsopbouw!$D$38</f>
        <v>0</v>
      </c>
      <c r="X748" s="33"/>
      <c r="Y748" s="33">
        <f>IF(Ruimtestaat[[#This Row],[Frequentie weekend]]&gt;0,VALUE(LEFT(X748,1))*Q748,0)</f>
        <v>0</v>
      </c>
      <c r="Z748" s="33">
        <f>IF($Y748&gt;0,VLOOKUP($J748,Ruimtegroepen[],3,FALSE)*VLOOKUP($K748,Vloersoorten[],3,FALSE)*VLOOKUP($X748,Frequenties[],3,FALSE)*VLOOKUP(#REF!,Locaties[],3,FALSE),0)</f>
        <v>0</v>
      </c>
      <c r="AA748" s="33"/>
      <c r="AB748" s="33"/>
      <c r="AC748" s="33">
        <f>Ruimtestaat[[#This Row],[uren / jaar weekend]]*Tariefsopbouw!$D$40</f>
        <v>0</v>
      </c>
      <c r="AD748" s="88">
        <f>Ruimtestaat[[#This Row],[Prest. (m2 /jaar) weekend]]+Ruimtestaat[[#This Row],[Prest. (m2 /jaar) werkdagen]]</f>
        <v>10358</v>
      </c>
      <c r="AE748" s="88">
        <f>Ruimtestaat[[#This Row],[uren / jaar weekend]]+Ruimtestaat[[#This Row],[uren / jaar werkdagen]]</f>
        <v>0</v>
      </c>
      <c r="AF748" s="89">
        <f>Ruimtestaat[[#This Row],[kosten / jaar weekend]]+Ruimtestaat[[#This Row],[kosten / jaar werkdagen]]</f>
        <v>0</v>
      </c>
    </row>
    <row r="749" spans="1:32" ht="15" customHeight="1">
      <c r="A749" s="280">
        <v>5</v>
      </c>
      <c r="B749" s="21" t="str">
        <f>VLOOKUP(Ruimtestaat[[#This Row],[Code]],Locaties[#All],2,FALSE)</f>
        <v>SGC Almelo</v>
      </c>
      <c r="C749" s="281" t="str">
        <f>VLOOKUP(Ruimtestaat[[#This Row],[Code]],Locaties[#All],4,FALSE)</f>
        <v>Slot 31</v>
      </c>
      <c r="D749" s="281" t="str">
        <f>VLOOKUP(Ruimtestaat[[#This Row],[Code]],Locaties[#All],5,FALSE)</f>
        <v>7608 ND</v>
      </c>
      <c r="E749" s="281" t="str">
        <f>VLOOKUP(Ruimtestaat[[#This Row],[Code]],Locaties[#All],6,FALSE)</f>
        <v>Almelo</v>
      </c>
      <c r="F749" s="282"/>
      <c r="G749" s="283" t="s">
        <v>533</v>
      </c>
      <c r="H749" s="280" t="s">
        <v>586</v>
      </c>
      <c r="I749" s="282" t="s">
        <v>396</v>
      </c>
      <c r="J749" s="200">
        <v>16</v>
      </c>
      <c r="K749" s="243" t="s">
        <v>109</v>
      </c>
      <c r="L749" s="291" t="s">
        <v>1046</v>
      </c>
      <c r="M749" s="213">
        <v>51.4</v>
      </c>
      <c r="N749" s="202"/>
      <c r="O749" s="243" t="str">
        <f>VLOOKUP(Ruimtestaat[[#This Row],[Ruimte code]],Ruimtegroepen[#All],4,FALSE)</f>
        <v>L  (Lesruimte)</v>
      </c>
      <c r="P749" s="214"/>
      <c r="Q749" s="215">
        <v>40</v>
      </c>
      <c r="R749" s="215" t="s">
        <v>2</v>
      </c>
      <c r="S749" s="215">
        <f>IF(R749&gt;0,IF(RIGHT(Ruimtestaat[[#This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49" s="215">
        <f>IF(S749&gt;0,VLOOKUP($J749,Ruimtegroepen[],3,FALSE)*VLOOKUP($K749,Vloersoorten[],3,FALSE)*VLOOKUP($R749,Frequenties[],3,FALSE)*VLOOKUP($A749,Locaties[],3,FALSE),0)</f>
        <v>0</v>
      </c>
      <c r="U749" s="215">
        <f>Ruimtestaat[[#This Row],[Uitvoeringen werkdagen]]*Ruimtestaat[[#This Row],[Oppervlak (netto)]]</f>
        <v>10280</v>
      </c>
      <c r="V749" s="259">
        <f>IF(T749&gt;0,Ruimtestaat[[#This Row],[Prest. (m2 /jaar) werkdagen]]/Ruimtestaat[[#This Row],[Norm (m2/uur) werkdagen]],0)</f>
        <v>0</v>
      </c>
      <c r="W749" s="260">
        <f>Ruimtestaat[[#This Row],[uren / jaar werkdagen]]*Tariefsopbouw!$D$38</f>
        <v>0</v>
      </c>
      <c r="X749" s="33"/>
      <c r="Y749" s="33">
        <f>IF(Ruimtestaat[[#This Row],[Frequentie weekend]]&gt;0,VALUE(LEFT(X749,1))*Q749,0)</f>
        <v>0</v>
      </c>
      <c r="Z749" s="33">
        <f>IF($Y749&gt;0,VLOOKUP($J749,Ruimtegroepen[],3,FALSE)*VLOOKUP($K749,Vloersoorten[],3,FALSE)*VLOOKUP($X749,Frequenties[],3,FALSE)*VLOOKUP(#REF!,Locaties[],3,FALSE),0)</f>
        <v>0</v>
      </c>
      <c r="AA749" s="33"/>
      <c r="AB749" s="33"/>
      <c r="AC749" s="33">
        <f>Ruimtestaat[[#This Row],[uren / jaar weekend]]*Tariefsopbouw!$D$40</f>
        <v>0</v>
      </c>
      <c r="AD749" s="88">
        <f>Ruimtestaat[[#This Row],[Prest. (m2 /jaar) weekend]]+Ruimtestaat[[#This Row],[Prest. (m2 /jaar) werkdagen]]</f>
        <v>10280</v>
      </c>
      <c r="AE749" s="88">
        <f>Ruimtestaat[[#This Row],[uren / jaar weekend]]+Ruimtestaat[[#This Row],[uren / jaar werkdagen]]</f>
        <v>0</v>
      </c>
      <c r="AF749" s="89">
        <f>Ruimtestaat[[#This Row],[kosten / jaar weekend]]+Ruimtestaat[[#This Row],[kosten / jaar werkdagen]]</f>
        <v>0</v>
      </c>
    </row>
    <row r="750" spans="1:32" ht="15" customHeight="1">
      <c r="A750" s="280">
        <v>5</v>
      </c>
      <c r="B750" s="21" t="str">
        <f>VLOOKUP(Ruimtestaat[[#This Row],[Code]],Locaties[#All],2,FALSE)</f>
        <v>SGC Almelo</v>
      </c>
      <c r="C750" s="281" t="str">
        <f>VLOOKUP(Ruimtestaat[[#This Row],[Code]],Locaties[#All],4,FALSE)</f>
        <v>Slot 31</v>
      </c>
      <c r="D750" s="281" t="str">
        <f>VLOOKUP(Ruimtestaat[[#This Row],[Code]],Locaties[#All],5,FALSE)</f>
        <v>7608 ND</v>
      </c>
      <c r="E750" s="281" t="str">
        <f>VLOOKUP(Ruimtestaat[[#This Row],[Code]],Locaties[#All],6,FALSE)</f>
        <v>Almelo</v>
      </c>
      <c r="F750" s="282"/>
      <c r="G750" s="283" t="s">
        <v>533</v>
      </c>
      <c r="H750" s="280" t="s">
        <v>861</v>
      </c>
      <c r="I750" s="282" t="s">
        <v>789</v>
      </c>
      <c r="J750" s="200">
        <v>21</v>
      </c>
      <c r="K750" s="243" t="s">
        <v>111</v>
      </c>
      <c r="L750" s="291" t="s">
        <v>909</v>
      </c>
      <c r="M750" s="213"/>
      <c r="N750" s="202">
        <v>23.89</v>
      </c>
      <c r="O750" s="243" t="str">
        <f>VLOOKUP(Ruimtestaat[[#This Row],[Ruimte code]],Ruimtegroepen[#All],4,FALSE)</f>
        <v>Niet in onderhoud</v>
      </c>
      <c r="P750" s="214"/>
      <c r="Q750" s="215"/>
      <c r="R750" s="215"/>
      <c r="S750" s="215">
        <f>IF(R750&gt;0,IF(RIGHT(Ruimtestaat[[#This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0" s="215">
        <f>IF(S750&gt;0,VLOOKUP($J750,Ruimtegroepen[],3,FALSE)*VLOOKUP($K750,Vloersoorten[],3,FALSE)*VLOOKUP($R750,Frequenties[],3,FALSE)*VLOOKUP($A750,Locaties[],3,FALSE),0)</f>
        <v>0</v>
      </c>
      <c r="U750" s="215">
        <f>Ruimtestaat[[#This Row],[Uitvoeringen werkdagen]]*Ruimtestaat[[#This Row],[Oppervlak (netto)]]</f>
        <v>0</v>
      </c>
      <c r="V750" s="259">
        <f>IF(T750&gt;0,Ruimtestaat[[#This Row],[Prest. (m2 /jaar) werkdagen]]/Ruimtestaat[[#This Row],[Norm (m2/uur) werkdagen]],0)</f>
        <v>0</v>
      </c>
      <c r="W750" s="260">
        <f>Ruimtestaat[[#This Row],[uren / jaar werkdagen]]*Tariefsopbouw!$D$38</f>
        <v>0</v>
      </c>
      <c r="X750" s="33"/>
      <c r="Y750" s="33">
        <f>IF(Ruimtestaat[[#This Row],[Frequentie weekend]]&gt;0,VALUE(LEFT(X750,1))*Q750,0)</f>
        <v>0</v>
      </c>
      <c r="Z750" s="33">
        <f>IF($Y750&gt;0,VLOOKUP($J750,Ruimtegroepen[],3,FALSE)*VLOOKUP($K750,Vloersoorten[],3,FALSE)*VLOOKUP($X750,Frequenties[],3,FALSE)*VLOOKUP(#REF!,Locaties[],3,FALSE),0)</f>
        <v>0</v>
      </c>
      <c r="AA750" s="33"/>
      <c r="AB750" s="33"/>
      <c r="AC750" s="33">
        <f>Ruimtestaat[[#This Row],[uren / jaar weekend]]*Tariefsopbouw!$D$40</f>
        <v>0</v>
      </c>
      <c r="AD750" s="88">
        <f>Ruimtestaat[[#This Row],[Prest. (m2 /jaar) weekend]]+Ruimtestaat[[#This Row],[Prest. (m2 /jaar) werkdagen]]</f>
        <v>0</v>
      </c>
      <c r="AE750" s="88">
        <f>Ruimtestaat[[#This Row],[uren / jaar weekend]]+Ruimtestaat[[#This Row],[uren / jaar werkdagen]]</f>
        <v>0</v>
      </c>
      <c r="AF750" s="89">
        <f>Ruimtestaat[[#This Row],[kosten / jaar weekend]]+Ruimtestaat[[#This Row],[kosten / jaar werkdagen]]</f>
        <v>0</v>
      </c>
    </row>
    <row r="751" spans="1:32" ht="15" customHeight="1">
      <c r="A751" s="280">
        <v>5</v>
      </c>
      <c r="B751" s="21" t="str">
        <f>VLOOKUP(Ruimtestaat[[#This Row],[Code]],Locaties[#All],2,FALSE)</f>
        <v>SGC Almelo</v>
      </c>
      <c r="C751" s="281" t="str">
        <f>VLOOKUP(Ruimtestaat[[#This Row],[Code]],Locaties[#All],4,FALSE)</f>
        <v>Slot 31</v>
      </c>
      <c r="D751" s="281" t="str">
        <f>VLOOKUP(Ruimtestaat[[#This Row],[Code]],Locaties[#All],5,FALSE)</f>
        <v>7608 ND</v>
      </c>
      <c r="E751" s="281" t="str">
        <f>VLOOKUP(Ruimtestaat[[#This Row],[Code]],Locaties[#All],6,FALSE)</f>
        <v>Almelo</v>
      </c>
      <c r="F751" s="282"/>
      <c r="G751" s="283" t="s">
        <v>533</v>
      </c>
      <c r="H751" s="280" t="s">
        <v>862</v>
      </c>
      <c r="I751" s="282" t="s">
        <v>459</v>
      </c>
      <c r="J751" s="200">
        <v>21</v>
      </c>
      <c r="K751" s="243" t="s">
        <v>111</v>
      </c>
      <c r="L751" s="291" t="s">
        <v>909</v>
      </c>
      <c r="M751" s="213"/>
      <c r="N751" s="213">
        <v>1.75</v>
      </c>
      <c r="O751" s="243" t="str">
        <f>VLOOKUP(Ruimtestaat[[#This Row],[Ruimte code]],Ruimtegroepen[#All],4,FALSE)</f>
        <v>Niet in onderhoud</v>
      </c>
      <c r="P751" s="214"/>
      <c r="Q751" s="215"/>
      <c r="R751" s="215"/>
      <c r="S751" s="215">
        <f>IF(R751&gt;0,IF(RIGHT(Ruimtestaat[[#This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1" s="215">
        <f>IF(S751&gt;0,VLOOKUP($J751,Ruimtegroepen[],3,FALSE)*VLOOKUP($K751,Vloersoorten[],3,FALSE)*VLOOKUP($R751,Frequenties[],3,FALSE)*VLOOKUP($A751,Locaties[],3,FALSE),0)</f>
        <v>0</v>
      </c>
      <c r="U751" s="215">
        <f>Ruimtestaat[[#This Row],[Uitvoeringen werkdagen]]*Ruimtestaat[[#This Row],[Oppervlak (netto)]]</f>
        <v>0</v>
      </c>
      <c r="V751" s="259">
        <f>IF(T751&gt;0,Ruimtestaat[[#This Row],[Prest. (m2 /jaar) werkdagen]]/Ruimtestaat[[#This Row],[Norm (m2/uur) werkdagen]],0)</f>
        <v>0</v>
      </c>
      <c r="W751" s="260">
        <f>Ruimtestaat[[#This Row],[uren / jaar werkdagen]]*Tariefsopbouw!$D$38</f>
        <v>0</v>
      </c>
      <c r="X751" s="33"/>
      <c r="Y751" s="33">
        <f>IF(Ruimtestaat[[#This Row],[Frequentie weekend]]&gt;0,VALUE(LEFT(X751,1))*Q751,0)</f>
        <v>0</v>
      </c>
      <c r="Z751" s="33">
        <f>IF($Y751&gt;0,VLOOKUP($J751,Ruimtegroepen[],3,FALSE)*VLOOKUP($K751,Vloersoorten[],3,FALSE)*VLOOKUP($X751,Frequenties[],3,FALSE)*VLOOKUP(#REF!,Locaties[],3,FALSE),0)</f>
        <v>0</v>
      </c>
      <c r="AA751" s="33"/>
      <c r="AB751" s="33"/>
      <c r="AC751" s="33">
        <f>Ruimtestaat[[#This Row],[uren / jaar weekend]]*Tariefsopbouw!$D$40</f>
        <v>0</v>
      </c>
      <c r="AD751" s="88">
        <f>Ruimtestaat[[#This Row],[Prest. (m2 /jaar) weekend]]+Ruimtestaat[[#This Row],[Prest. (m2 /jaar) werkdagen]]</f>
        <v>0</v>
      </c>
      <c r="AE751" s="88">
        <f>Ruimtestaat[[#This Row],[uren / jaar weekend]]+Ruimtestaat[[#This Row],[uren / jaar werkdagen]]</f>
        <v>0</v>
      </c>
      <c r="AF751" s="89">
        <f>Ruimtestaat[[#This Row],[kosten / jaar weekend]]+Ruimtestaat[[#This Row],[kosten / jaar werkdagen]]</f>
        <v>0</v>
      </c>
    </row>
    <row r="752" spans="1:32" ht="15" customHeight="1">
      <c r="A752" s="280">
        <v>5</v>
      </c>
      <c r="B752" s="21" t="str">
        <f>VLOOKUP(Ruimtestaat[[#This Row],[Code]],Locaties[#All],2,FALSE)</f>
        <v>SGC Almelo</v>
      </c>
      <c r="C752" s="281" t="str">
        <f>VLOOKUP(Ruimtestaat[[#This Row],[Code]],Locaties[#All],4,FALSE)</f>
        <v>Slot 31</v>
      </c>
      <c r="D752" s="281" t="str">
        <f>VLOOKUP(Ruimtestaat[[#This Row],[Code]],Locaties[#All],5,FALSE)</f>
        <v>7608 ND</v>
      </c>
      <c r="E752" s="281" t="str">
        <f>VLOOKUP(Ruimtestaat[[#This Row],[Code]],Locaties[#All],6,FALSE)</f>
        <v>Almelo</v>
      </c>
      <c r="F752" s="282"/>
      <c r="G752" s="283" t="s">
        <v>533</v>
      </c>
      <c r="H752" s="280" t="s">
        <v>863</v>
      </c>
      <c r="I752" s="282" t="s">
        <v>272</v>
      </c>
      <c r="J752" s="200">
        <v>10</v>
      </c>
      <c r="K752" s="243" t="s">
        <v>110</v>
      </c>
      <c r="L752" s="291" t="s">
        <v>132</v>
      </c>
      <c r="M752" s="213">
        <v>5.23</v>
      </c>
      <c r="N752" s="213"/>
      <c r="O752" s="243" t="str">
        <f>VLOOKUP(Ruimtestaat[[#This Row],[Ruimte code]],Ruimtegroepen[#All],4,FALSE)</f>
        <v>V  (Verkeersruimte)</v>
      </c>
      <c r="P752" s="214"/>
      <c r="Q752" s="215">
        <v>40</v>
      </c>
      <c r="R752" s="215" t="s">
        <v>2</v>
      </c>
      <c r="S752" s="215">
        <f>IF(R752&gt;0,IF(RIGHT(Ruimtestaat[[#This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2" s="215">
        <f>IF(S752&gt;0,VLOOKUP($J752,Ruimtegroepen[],3,FALSE)*VLOOKUP($K752,Vloersoorten[],3,FALSE)*VLOOKUP($R752,Frequenties[],3,FALSE)*VLOOKUP($A752,Locaties[],3,FALSE),0)</f>
        <v>0</v>
      </c>
      <c r="U752" s="215">
        <f>Ruimtestaat[[#This Row],[Uitvoeringen werkdagen]]*Ruimtestaat[[#This Row],[Oppervlak (netto)]]</f>
        <v>1046</v>
      </c>
      <c r="V752" s="259">
        <f>IF(T752&gt;0,Ruimtestaat[[#This Row],[Prest. (m2 /jaar) werkdagen]]/Ruimtestaat[[#This Row],[Norm (m2/uur) werkdagen]],0)</f>
        <v>0</v>
      </c>
      <c r="W752" s="260">
        <f>Ruimtestaat[[#This Row],[uren / jaar werkdagen]]*Tariefsopbouw!$D$38</f>
        <v>0</v>
      </c>
      <c r="X752" s="33"/>
      <c r="Y752" s="33">
        <f>IF(Ruimtestaat[[#This Row],[Frequentie weekend]]&gt;0,VALUE(LEFT(X752,1))*Q752,0)</f>
        <v>0</v>
      </c>
      <c r="Z752" s="33">
        <f>IF($Y752&gt;0,VLOOKUP($J752,Ruimtegroepen[],3,FALSE)*VLOOKUP($K752,Vloersoorten[],3,FALSE)*VLOOKUP($X752,Frequenties[],3,FALSE)*VLOOKUP(#REF!,Locaties[],3,FALSE),0)</f>
        <v>0</v>
      </c>
      <c r="AA752" s="33"/>
      <c r="AB752" s="33"/>
      <c r="AC752" s="33">
        <f>Ruimtestaat[[#This Row],[uren / jaar weekend]]*Tariefsopbouw!$D$40</f>
        <v>0</v>
      </c>
      <c r="AD752" s="88">
        <f>Ruimtestaat[[#This Row],[Prest. (m2 /jaar) weekend]]+Ruimtestaat[[#This Row],[Prest. (m2 /jaar) werkdagen]]</f>
        <v>1046</v>
      </c>
      <c r="AE752" s="88">
        <f>Ruimtestaat[[#This Row],[uren / jaar weekend]]+Ruimtestaat[[#This Row],[uren / jaar werkdagen]]</f>
        <v>0</v>
      </c>
      <c r="AF752" s="89">
        <f>Ruimtestaat[[#This Row],[kosten / jaar weekend]]+Ruimtestaat[[#This Row],[kosten / jaar werkdagen]]</f>
        <v>0</v>
      </c>
    </row>
    <row r="753" spans="1:32" ht="15" customHeight="1">
      <c r="A753" s="280">
        <v>5</v>
      </c>
      <c r="B753" s="21" t="str">
        <f>VLOOKUP(Ruimtestaat[[#This Row],[Code]],Locaties[#All],2,FALSE)</f>
        <v>SGC Almelo</v>
      </c>
      <c r="C753" s="281" t="str">
        <f>VLOOKUP(Ruimtestaat[[#This Row],[Code]],Locaties[#All],4,FALSE)</f>
        <v>Slot 31</v>
      </c>
      <c r="D753" s="281" t="str">
        <f>VLOOKUP(Ruimtestaat[[#This Row],[Code]],Locaties[#All],5,FALSE)</f>
        <v>7608 ND</v>
      </c>
      <c r="E753" s="281" t="str">
        <f>VLOOKUP(Ruimtestaat[[#This Row],[Code]],Locaties[#All],6,FALSE)</f>
        <v>Almelo</v>
      </c>
      <c r="F753" s="282"/>
      <c r="G753" s="283" t="s">
        <v>533</v>
      </c>
      <c r="H753" s="280" t="s">
        <v>588</v>
      </c>
      <c r="I753" s="282" t="s">
        <v>699</v>
      </c>
      <c r="J753" s="200">
        <v>21</v>
      </c>
      <c r="K753" s="243" t="s">
        <v>111</v>
      </c>
      <c r="L753" s="291" t="s">
        <v>909</v>
      </c>
      <c r="M753" s="213"/>
      <c r="N753" s="202">
        <v>14.91</v>
      </c>
      <c r="O753" s="243" t="str">
        <f>VLOOKUP(Ruimtestaat[[#This Row],[Ruimte code]],Ruimtegroepen[#All],4,FALSE)</f>
        <v>Niet in onderhoud</v>
      </c>
      <c r="P753" s="214"/>
      <c r="Q753" s="215"/>
      <c r="R753" s="215"/>
      <c r="S753" s="215">
        <f>IF(R753&gt;0,IF(RIGHT(Ruimtestaat[[#This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3" s="215">
        <f>IF(S753&gt;0,VLOOKUP($J753,Ruimtegroepen[],3,FALSE)*VLOOKUP($K753,Vloersoorten[],3,FALSE)*VLOOKUP($R753,Frequenties[],3,FALSE)*VLOOKUP($A753,Locaties[],3,FALSE),0)</f>
        <v>0</v>
      </c>
      <c r="U753" s="215">
        <f>Ruimtestaat[[#This Row],[Uitvoeringen werkdagen]]*Ruimtestaat[[#This Row],[Oppervlak (netto)]]</f>
        <v>0</v>
      </c>
      <c r="V753" s="259">
        <f>IF(T753&gt;0,Ruimtestaat[[#This Row],[Prest. (m2 /jaar) werkdagen]]/Ruimtestaat[[#This Row],[Norm (m2/uur) werkdagen]],0)</f>
        <v>0</v>
      </c>
      <c r="W753" s="260">
        <f>Ruimtestaat[[#This Row],[uren / jaar werkdagen]]*Tariefsopbouw!$D$38</f>
        <v>0</v>
      </c>
      <c r="X753" s="33"/>
      <c r="Y753" s="33">
        <f>IF(Ruimtestaat[[#This Row],[Frequentie weekend]]&gt;0,VALUE(LEFT(X753,1))*Q753,0)</f>
        <v>0</v>
      </c>
      <c r="Z753" s="33">
        <f>IF($Y753&gt;0,VLOOKUP($J753,Ruimtegroepen[],3,FALSE)*VLOOKUP($K753,Vloersoorten[],3,FALSE)*VLOOKUP($X753,Frequenties[],3,FALSE)*VLOOKUP(#REF!,Locaties[],3,FALSE),0)</f>
        <v>0</v>
      </c>
      <c r="AA753" s="33"/>
      <c r="AB753" s="33"/>
      <c r="AC753" s="33">
        <f>Ruimtestaat[[#This Row],[uren / jaar weekend]]*Tariefsopbouw!$D$40</f>
        <v>0</v>
      </c>
      <c r="AD753" s="88">
        <f>Ruimtestaat[[#This Row],[Prest. (m2 /jaar) weekend]]+Ruimtestaat[[#This Row],[Prest. (m2 /jaar) werkdagen]]</f>
        <v>0</v>
      </c>
      <c r="AE753" s="88">
        <f>Ruimtestaat[[#This Row],[uren / jaar weekend]]+Ruimtestaat[[#This Row],[uren / jaar werkdagen]]</f>
        <v>0</v>
      </c>
      <c r="AF753" s="89">
        <f>Ruimtestaat[[#This Row],[kosten / jaar weekend]]+Ruimtestaat[[#This Row],[kosten / jaar werkdagen]]</f>
        <v>0</v>
      </c>
    </row>
    <row r="754" spans="1:32" ht="15" customHeight="1">
      <c r="A754" s="280">
        <v>5</v>
      </c>
      <c r="B754" s="21" t="str">
        <f>VLOOKUP(Ruimtestaat[[#This Row],[Code]],Locaties[#All],2,FALSE)</f>
        <v>SGC Almelo</v>
      </c>
      <c r="C754" s="281" t="str">
        <f>VLOOKUP(Ruimtestaat[[#This Row],[Code]],Locaties[#All],4,FALSE)</f>
        <v>Slot 31</v>
      </c>
      <c r="D754" s="281" t="str">
        <f>VLOOKUP(Ruimtestaat[[#This Row],[Code]],Locaties[#All],5,FALSE)</f>
        <v>7608 ND</v>
      </c>
      <c r="E754" s="281" t="str">
        <f>VLOOKUP(Ruimtestaat[[#This Row],[Code]],Locaties[#All],6,FALSE)</f>
        <v>Almelo</v>
      </c>
      <c r="F754" s="282"/>
      <c r="G754" s="283" t="s">
        <v>533</v>
      </c>
      <c r="H754" s="280" t="s">
        <v>591</v>
      </c>
      <c r="I754" s="282" t="s">
        <v>698</v>
      </c>
      <c r="J754" s="281">
        <v>6</v>
      </c>
      <c r="K754" s="281" t="s">
        <v>109</v>
      </c>
      <c r="L754" s="284" t="s">
        <v>1046</v>
      </c>
      <c r="M754" s="213">
        <v>18.7</v>
      </c>
      <c r="N754" s="213"/>
      <c r="O754" s="243" t="str">
        <f>VLOOKUP(Ruimtestaat[[#This Row],[Ruimte code]],Ruimtegroepen[#All],4,FALSE)</f>
        <v>V  (Verkeersruimte)</v>
      </c>
      <c r="P754" s="214"/>
      <c r="Q754" s="215">
        <v>40</v>
      </c>
      <c r="R754" s="215" t="s">
        <v>2</v>
      </c>
      <c r="S754" s="215">
        <f>IF(R754&gt;0,IF(RIGHT(Ruimtestaat[[#This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4" s="215">
        <f>IF(S754&gt;0,VLOOKUP($J754,Ruimtegroepen[],3,FALSE)*VLOOKUP($K754,Vloersoorten[],3,FALSE)*VLOOKUP($R754,Frequenties[],3,FALSE)*VLOOKUP($A754,Locaties[],3,FALSE),0)</f>
        <v>0</v>
      </c>
      <c r="U754" s="215">
        <f>Ruimtestaat[[#This Row],[Uitvoeringen werkdagen]]*Ruimtestaat[[#This Row],[Oppervlak (netto)]]</f>
        <v>3740</v>
      </c>
      <c r="V754" s="259">
        <f>IF(T754&gt;0,Ruimtestaat[[#This Row],[Prest. (m2 /jaar) werkdagen]]/Ruimtestaat[[#This Row],[Norm (m2/uur) werkdagen]],0)</f>
        <v>0</v>
      </c>
      <c r="W754" s="260">
        <f>Ruimtestaat[[#This Row],[uren / jaar werkdagen]]*Tariefsopbouw!$D$38</f>
        <v>0</v>
      </c>
      <c r="X754" s="33"/>
      <c r="Y754" s="33">
        <f>IF(Ruimtestaat[[#This Row],[Frequentie weekend]]&gt;0,VALUE(LEFT(X754,1))*Q754,0)</f>
        <v>0</v>
      </c>
      <c r="Z754" s="33">
        <f>IF($Y754&gt;0,VLOOKUP($J754,Ruimtegroepen[],3,FALSE)*VLOOKUP($K754,Vloersoorten[],3,FALSE)*VLOOKUP($X754,Frequenties[],3,FALSE)*VLOOKUP(#REF!,Locaties[],3,FALSE),0)</f>
        <v>0</v>
      </c>
      <c r="AA754" s="33"/>
      <c r="AB754" s="33"/>
      <c r="AC754" s="33">
        <f>Ruimtestaat[[#This Row],[uren / jaar weekend]]*Tariefsopbouw!$D$40</f>
        <v>0</v>
      </c>
      <c r="AD754" s="88">
        <f>Ruimtestaat[[#This Row],[Prest. (m2 /jaar) weekend]]+Ruimtestaat[[#This Row],[Prest. (m2 /jaar) werkdagen]]</f>
        <v>3740</v>
      </c>
      <c r="AE754" s="88">
        <f>Ruimtestaat[[#This Row],[uren / jaar weekend]]+Ruimtestaat[[#This Row],[uren / jaar werkdagen]]</f>
        <v>0</v>
      </c>
      <c r="AF754" s="89">
        <f>Ruimtestaat[[#This Row],[kosten / jaar weekend]]+Ruimtestaat[[#This Row],[kosten / jaar werkdagen]]</f>
        <v>0</v>
      </c>
    </row>
    <row r="755" spans="1:32" ht="15" customHeight="1">
      <c r="A755" s="280">
        <v>5</v>
      </c>
      <c r="B755" s="21" t="str">
        <f>VLOOKUP(Ruimtestaat[[#This Row],[Code]],Locaties[#All],2,FALSE)</f>
        <v>SGC Almelo</v>
      </c>
      <c r="C755" s="281" t="str">
        <f>VLOOKUP(Ruimtestaat[[#This Row],[Code]],Locaties[#All],4,FALSE)</f>
        <v>Slot 31</v>
      </c>
      <c r="D755" s="281" t="str">
        <f>VLOOKUP(Ruimtestaat[[#This Row],[Code]],Locaties[#All],5,FALSE)</f>
        <v>7608 ND</v>
      </c>
      <c r="E755" s="281" t="str">
        <f>VLOOKUP(Ruimtestaat[[#This Row],[Code]],Locaties[#All],6,FALSE)</f>
        <v>Almelo</v>
      </c>
      <c r="F755" s="282"/>
      <c r="G755" s="283" t="s">
        <v>533</v>
      </c>
      <c r="H755" s="280" t="s">
        <v>592</v>
      </c>
      <c r="I755" s="282" t="s">
        <v>864</v>
      </c>
      <c r="J755" s="200">
        <v>18</v>
      </c>
      <c r="K755" s="243" t="s">
        <v>109</v>
      </c>
      <c r="L755" s="291" t="s">
        <v>1046</v>
      </c>
      <c r="M755" s="213">
        <v>83.34</v>
      </c>
      <c r="N755" s="202"/>
      <c r="O755" s="243" t="str">
        <f>VLOOKUP(Ruimtestaat[[#This Row],[Ruimte code]],Ruimtegroepen[#All],4,FALSE)</f>
        <v>Sp  (Sportruimte)</v>
      </c>
      <c r="P755" s="214"/>
      <c r="Q755" s="215">
        <v>40</v>
      </c>
      <c r="R755" s="215" t="s">
        <v>2</v>
      </c>
      <c r="S755" s="215">
        <f>IF(R755&gt;0,IF(RIGHT(Ruimtestaat[[#This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5" s="215">
        <f>IF(S755&gt;0,VLOOKUP($J755,Ruimtegroepen[],3,FALSE)*VLOOKUP($K755,Vloersoorten[],3,FALSE)*VLOOKUP($R755,Frequenties[],3,FALSE)*VLOOKUP($A755,Locaties[],3,FALSE),0)</f>
        <v>0</v>
      </c>
      <c r="U755" s="215">
        <f>Ruimtestaat[[#This Row],[Uitvoeringen werkdagen]]*Ruimtestaat[[#This Row],[Oppervlak (netto)]]</f>
        <v>16668</v>
      </c>
      <c r="V755" s="259">
        <f>IF(T755&gt;0,Ruimtestaat[[#This Row],[Prest. (m2 /jaar) werkdagen]]/Ruimtestaat[[#This Row],[Norm (m2/uur) werkdagen]],0)</f>
        <v>0</v>
      </c>
      <c r="W755" s="260">
        <f>Ruimtestaat[[#This Row],[uren / jaar werkdagen]]*Tariefsopbouw!$D$38</f>
        <v>0</v>
      </c>
      <c r="X755" s="33"/>
      <c r="Y755" s="33">
        <f>IF(Ruimtestaat[[#This Row],[Frequentie weekend]]&gt;0,VALUE(LEFT(X755,1))*Q755,0)</f>
        <v>0</v>
      </c>
      <c r="Z755" s="33">
        <f>IF($Y755&gt;0,VLOOKUP($J755,Ruimtegroepen[],3,FALSE)*VLOOKUP($K755,Vloersoorten[],3,FALSE)*VLOOKUP($X755,Frequenties[],3,FALSE)*VLOOKUP(#REF!,Locaties[],3,FALSE),0)</f>
        <v>0</v>
      </c>
      <c r="AA755" s="33"/>
      <c r="AB755" s="33"/>
      <c r="AC755" s="33">
        <f>Ruimtestaat[[#This Row],[uren / jaar weekend]]*Tariefsopbouw!$D$40</f>
        <v>0</v>
      </c>
      <c r="AD755" s="88">
        <f>Ruimtestaat[[#This Row],[Prest. (m2 /jaar) weekend]]+Ruimtestaat[[#This Row],[Prest. (m2 /jaar) werkdagen]]</f>
        <v>16668</v>
      </c>
      <c r="AE755" s="88">
        <f>Ruimtestaat[[#This Row],[uren / jaar weekend]]+Ruimtestaat[[#This Row],[uren / jaar werkdagen]]</f>
        <v>0</v>
      </c>
      <c r="AF755" s="89">
        <f>Ruimtestaat[[#This Row],[kosten / jaar weekend]]+Ruimtestaat[[#This Row],[kosten / jaar werkdagen]]</f>
        <v>0</v>
      </c>
    </row>
    <row r="756" spans="1:32" ht="15" customHeight="1">
      <c r="A756" s="280">
        <v>5</v>
      </c>
      <c r="B756" s="21" t="str">
        <f>VLOOKUP(Ruimtestaat[[#This Row],[Code]],Locaties[#All],2,FALSE)</f>
        <v>SGC Almelo</v>
      </c>
      <c r="C756" s="281" t="str">
        <f>VLOOKUP(Ruimtestaat[[#This Row],[Code]],Locaties[#All],4,FALSE)</f>
        <v>Slot 31</v>
      </c>
      <c r="D756" s="281" t="str">
        <f>VLOOKUP(Ruimtestaat[[#This Row],[Code]],Locaties[#All],5,FALSE)</f>
        <v>7608 ND</v>
      </c>
      <c r="E756" s="281" t="str">
        <f>VLOOKUP(Ruimtestaat[[#This Row],[Code]],Locaties[#All],6,FALSE)</f>
        <v>Almelo</v>
      </c>
      <c r="F756" s="282"/>
      <c r="G756" s="283" t="s">
        <v>533</v>
      </c>
      <c r="H756" s="280" t="s">
        <v>593</v>
      </c>
      <c r="I756" s="282" t="s">
        <v>396</v>
      </c>
      <c r="J756" s="281">
        <v>16</v>
      </c>
      <c r="K756" s="243" t="s">
        <v>110</v>
      </c>
      <c r="L756" s="291" t="s">
        <v>132</v>
      </c>
      <c r="M756" s="213">
        <v>88.01</v>
      </c>
      <c r="N756" s="202"/>
      <c r="O756" s="243" t="str">
        <f>VLOOKUP(Ruimtestaat[[#This Row],[Ruimte code]],Ruimtegroepen[#All],4,FALSE)</f>
        <v>L  (Lesruimte)</v>
      </c>
      <c r="P756" s="214"/>
      <c r="Q756" s="215">
        <v>40</v>
      </c>
      <c r="R756" s="215" t="s">
        <v>2</v>
      </c>
      <c r="S756" s="215">
        <f>IF(R756&gt;0,IF(RIGHT(Ruimtestaat[[#This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6" s="215">
        <f>IF(S756&gt;0,VLOOKUP($J756,Ruimtegroepen[],3,FALSE)*VLOOKUP($K756,Vloersoorten[],3,FALSE)*VLOOKUP($R756,Frequenties[],3,FALSE)*VLOOKUP($A756,Locaties[],3,FALSE),0)</f>
        <v>0</v>
      </c>
      <c r="U756" s="215">
        <f>Ruimtestaat[[#This Row],[Uitvoeringen werkdagen]]*Ruimtestaat[[#This Row],[Oppervlak (netto)]]</f>
        <v>17602</v>
      </c>
      <c r="V756" s="259">
        <f>IF(T756&gt;0,Ruimtestaat[[#This Row],[Prest. (m2 /jaar) werkdagen]]/Ruimtestaat[[#This Row],[Norm (m2/uur) werkdagen]],0)</f>
        <v>0</v>
      </c>
      <c r="W756" s="260">
        <f>Ruimtestaat[[#This Row],[uren / jaar werkdagen]]*Tariefsopbouw!$D$38</f>
        <v>0</v>
      </c>
      <c r="X756" s="33"/>
      <c r="Y756" s="33">
        <f>IF(Ruimtestaat[[#This Row],[Frequentie weekend]]&gt;0,VALUE(LEFT(X756,1))*Q756,0)</f>
        <v>0</v>
      </c>
      <c r="Z756" s="33">
        <f>IF($Y756&gt;0,VLOOKUP($J756,Ruimtegroepen[],3,FALSE)*VLOOKUP($K756,Vloersoorten[],3,FALSE)*VLOOKUP($X756,Frequenties[],3,FALSE)*VLOOKUP(#REF!,Locaties[],3,FALSE),0)</f>
        <v>0</v>
      </c>
      <c r="AA756" s="33"/>
      <c r="AB756" s="33"/>
      <c r="AC756" s="33">
        <f>Ruimtestaat[[#This Row],[uren / jaar weekend]]*Tariefsopbouw!$D$40</f>
        <v>0</v>
      </c>
      <c r="AD756" s="88">
        <f>Ruimtestaat[[#This Row],[Prest. (m2 /jaar) weekend]]+Ruimtestaat[[#This Row],[Prest. (m2 /jaar) werkdagen]]</f>
        <v>17602</v>
      </c>
      <c r="AE756" s="88">
        <f>Ruimtestaat[[#This Row],[uren / jaar weekend]]+Ruimtestaat[[#This Row],[uren / jaar werkdagen]]</f>
        <v>0</v>
      </c>
      <c r="AF756" s="89">
        <f>Ruimtestaat[[#This Row],[kosten / jaar weekend]]+Ruimtestaat[[#This Row],[kosten / jaar werkdagen]]</f>
        <v>0</v>
      </c>
    </row>
    <row r="757" spans="1:32" ht="15" customHeight="1">
      <c r="A757" s="280">
        <v>5</v>
      </c>
      <c r="B757" s="21" t="str">
        <f>VLOOKUP(Ruimtestaat[[#This Row],[Code]],Locaties[#All],2,FALSE)</f>
        <v>SGC Almelo</v>
      </c>
      <c r="C757" s="281" t="str">
        <f>VLOOKUP(Ruimtestaat[[#This Row],[Code]],Locaties[#All],4,FALSE)</f>
        <v>Slot 31</v>
      </c>
      <c r="D757" s="281" t="str">
        <f>VLOOKUP(Ruimtestaat[[#This Row],[Code]],Locaties[#All],5,FALSE)</f>
        <v>7608 ND</v>
      </c>
      <c r="E757" s="281" t="str">
        <f>VLOOKUP(Ruimtestaat[[#This Row],[Code]],Locaties[#All],6,FALSE)</f>
        <v>Almelo</v>
      </c>
      <c r="F757" s="282"/>
      <c r="G757" s="283" t="s">
        <v>533</v>
      </c>
      <c r="H757" s="280" t="s">
        <v>594</v>
      </c>
      <c r="I757" s="282" t="s">
        <v>789</v>
      </c>
      <c r="J757" s="200">
        <v>21</v>
      </c>
      <c r="K757" s="243" t="s">
        <v>111</v>
      </c>
      <c r="L757" s="291" t="s">
        <v>909</v>
      </c>
      <c r="M757" s="213"/>
      <c r="N757" s="202">
        <v>8.26</v>
      </c>
      <c r="O757" s="243" t="str">
        <f>VLOOKUP(Ruimtestaat[[#This Row],[Ruimte code]],Ruimtegroepen[#All],4,FALSE)</f>
        <v>Niet in onderhoud</v>
      </c>
      <c r="P757" s="214"/>
      <c r="Q757" s="215"/>
      <c r="R757" s="215"/>
      <c r="S757" s="215">
        <f>IF(R757&gt;0,IF(RIGHT(Ruimtestaat[[#This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757" s="215">
        <f>IF(S757&gt;0,VLOOKUP($J757,Ruimtegroepen[],3,FALSE)*VLOOKUP($K757,Vloersoorten[],3,FALSE)*VLOOKUP($R757,Frequenties[],3,FALSE)*VLOOKUP($A757,Locaties[],3,FALSE),0)</f>
        <v>0</v>
      </c>
      <c r="U757" s="215">
        <f>Ruimtestaat[[#This Row],[Uitvoeringen werkdagen]]*Ruimtestaat[[#This Row],[Oppervlak (netto)]]</f>
        <v>0</v>
      </c>
      <c r="V757" s="259">
        <f>IF(T757&gt;0,Ruimtestaat[[#This Row],[Prest. (m2 /jaar) werkdagen]]/Ruimtestaat[[#This Row],[Norm (m2/uur) werkdagen]],0)</f>
        <v>0</v>
      </c>
      <c r="W757" s="260">
        <f>Ruimtestaat[[#This Row],[uren / jaar werkdagen]]*Tariefsopbouw!$D$38</f>
        <v>0</v>
      </c>
      <c r="X757" s="33"/>
      <c r="Y757" s="33">
        <f>IF(Ruimtestaat[[#This Row],[Frequentie weekend]]&gt;0,VALUE(LEFT(X757,1))*Q757,0)</f>
        <v>0</v>
      </c>
      <c r="Z757" s="33">
        <f>IF($Y757&gt;0,VLOOKUP($J757,Ruimtegroepen[],3,FALSE)*VLOOKUP($K757,Vloersoorten[],3,FALSE)*VLOOKUP($X757,Frequenties[],3,FALSE)*VLOOKUP(#REF!,Locaties[],3,FALSE),0)</f>
        <v>0</v>
      </c>
      <c r="AA757" s="33"/>
      <c r="AB757" s="33"/>
      <c r="AC757" s="33">
        <f>Ruimtestaat[[#This Row],[uren / jaar weekend]]*Tariefsopbouw!$D$40</f>
        <v>0</v>
      </c>
      <c r="AD757" s="88">
        <f>Ruimtestaat[[#This Row],[Prest. (m2 /jaar) weekend]]+Ruimtestaat[[#This Row],[Prest. (m2 /jaar) werkdagen]]</f>
        <v>0</v>
      </c>
      <c r="AE757" s="88">
        <f>Ruimtestaat[[#This Row],[uren / jaar weekend]]+Ruimtestaat[[#This Row],[uren / jaar werkdagen]]</f>
        <v>0</v>
      </c>
      <c r="AF757" s="89">
        <f>Ruimtestaat[[#This Row],[kosten / jaar weekend]]+Ruimtestaat[[#This Row],[kosten / jaar werkdagen]]</f>
        <v>0</v>
      </c>
    </row>
    <row r="758" spans="1:32" ht="15" customHeight="1">
      <c r="A758" s="280">
        <v>5</v>
      </c>
      <c r="B758" s="21" t="str">
        <f>VLOOKUP(Ruimtestaat[[#This Row],[Code]],Locaties[#All],2,FALSE)</f>
        <v>SGC Almelo</v>
      </c>
      <c r="C758" s="281" t="str">
        <f>VLOOKUP(Ruimtestaat[[#This Row],[Code]],Locaties[#All],4,FALSE)</f>
        <v>Slot 31</v>
      </c>
      <c r="D758" s="281" t="str">
        <f>VLOOKUP(Ruimtestaat[[#This Row],[Code]],Locaties[#All],5,FALSE)</f>
        <v>7608 ND</v>
      </c>
      <c r="E758" s="281" t="str">
        <f>VLOOKUP(Ruimtestaat[[#This Row],[Code]],Locaties[#All],6,FALSE)</f>
        <v>Almelo</v>
      </c>
      <c r="F758" s="282"/>
      <c r="G758" s="283" t="s">
        <v>533</v>
      </c>
      <c r="H758" s="280" t="s">
        <v>865</v>
      </c>
      <c r="I758" s="282" t="s">
        <v>457</v>
      </c>
      <c r="J758" s="200">
        <v>10</v>
      </c>
      <c r="K758" s="243" t="s">
        <v>110</v>
      </c>
      <c r="L758" s="291" t="s">
        <v>132</v>
      </c>
      <c r="M758" s="213">
        <v>3.62</v>
      </c>
      <c r="N758" s="213"/>
      <c r="O758" s="243" t="str">
        <f>VLOOKUP(Ruimtestaat[[#This Row],[Ruimte code]],Ruimtegroepen[#All],4,FALSE)</f>
        <v>V  (Verkeersruimte)</v>
      </c>
      <c r="P758" s="214"/>
      <c r="Q758" s="215">
        <v>40</v>
      </c>
      <c r="R758" s="215" t="s">
        <v>2</v>
      </c>
      <c r="S758" s="215">
        <f>IF(R758&gt;0,IF(RIGHT(Ruimtestaat[[#This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58" s="215">
        <f>IF(S758&gt;0,VLOOKUP($J758,Ruimtegroepen[],3,FALSE)*VLOOKUP($K758,Vloersoorten[],3,FALSE)*VLOOKUP($R758,Frequenties[],3,FALSE)*VLOOKUP($A758,Locaties[],3,FALSE),0)</f>
        <v>0</v>
      </c>
      <c r="U758" s="215">
        <f>Ruimtestaat[[#This Row],[Uitvoeringen werkdagen]]*Ruimtestaat[[#This Row],[Oppervlak (netto)]]</f>
        <v>724</v>
      </c>
      <c r="V758" s="259">
        <f>IF(T758&gt;0,Ruimtestaat[[#This Row],[Prest. (m2 /jaar) werkdagen]]/Ruimtestaat[[#This Row],[Norm (m2/uur) werkdagen]],0)</f>
        <v>0</v>
      </c>
      <c r="W758" s="260">
        <f>Ruimtestaat[[#This Row],[uren / jaar werkdagen]]*Tariefsopbouw!$D$38</f>
        <v>0</v>
      </c>
      <c r="X758" s="33"/>
      <c r="Y758" s="33">
        <f>IF(Ruimtestaat[[#This Row],[Frequentie weekend]]&gt;0,VALUE(LEFT(X758,1))*Q758,0)</f>
        <v>0</v>
      </c>
      <c r="Z758" s="33">
        <f>IF($Y758&gt;0,VLOOKUP($J758,Ruimtegroepen[],3,FALSE)*VLOOKUP($K758,Vloersoorten[],3,FALSE)*VLOOKUP($X758,Frequenties[],3,FALSE)*VLOOKUP(#REF!,Locaties[],3,FALSE),0)</f>
        <v>0</v>
      </c>
      <c r="AA758" s="33"/>
      <c r="AB758" s="33"/>
      <c r="AC758" s="33">
        <f>Ruimtestaat[[#This Row],[uren / jaar weekend]]*Tariefsopbouw!$D$40</f>
        <v>0</v>
      </c>
      <c r="AD758" s="88">
        <f>Ruimtestaat[[#This Row],[Prest. (m2 /jaar) weekend]]+Ruimtestaat[[#This Row],[Prest. (m2 /jaar) werkdagen]]</f>
        <v>724</v>
      </c>
      <c r="AE758" s="88">
        <f>Ruimtestaat[[#This Row],[uren / jaar weekend]]+Ruimtestaat[[#This Row],[uren / jaar werkdagen]]</f>
        <v>0</v>
      </c>
      <c r="AF758" s="89">
        <f>Ruimtestaat[[#This Row],[kosten / jaar weekend]]+Ruimtestaat[[#This Row],[kosten / jaar werkdagen]]</f>
        <v>0</v>
      </c>
    </row>
    <row r="759" spans="1:32" ht="15" customHeight="1">
      <c r="A759" s="280">
        <v>5</v>
      </c>
      <c r="B759" s="21" t="str">
        <f>VLOOKUP(Ruimtestaat[[#This Row],[Code]],Locaties[#All],2,FALSE)</f>
        <v>SGC Almelo</v>
      </c>
      <c r="C759" s="281" t="str">
        <f>VLOOKUP(Ruimtestaat[[#This Row],[Code]],Locaties[#All],4,FALSE)</f>
        <v>Slot 31</v>
      </c>
      <c r="D759" s="281" t="str">
        <f>VLOOKUP(Ruimtestaat[[#This Row],[Code]],Locaties[#All],5,FALSE)</f>
        <v>7608 ND</v>
      </c>
      <c r="E759" s="281" t="str">
        <f>VLOOKUP(Ruimtestaat[[#This Row],[Code]],Locaties[#All],6,FALSE)</f>
        <v>Almelo</v>
      </c>
      <c r="F759" s="282"/>
      <c r="G759" s="283" t="s">
        <v>533</v>
      </c>
      <c r="H759" s="280" t="s">
        <v>866</v>
      </c>
      <c r="I759" s="282" t="s">
        <v>457</v>
      </c>
      <c r="J759" s="200">
        <v>10</v>
      </c>
      <c r="K759" s="243" t="s">
        <v>111</v>
      </c>
      <c r="L759" s="291" t="s">
        <v>909</v>
      </c>
      <c r="M759" s="213">
        <v>4.93</v>
      </c>
      <c r="N759" s="202"/>
      <c r="O759" s="243" t="str">
        <f>VLOOKUP(Ruimtestaat[[#This Row],[Ruimte code]],Ruimtegroepen[#All],4,FALSE)</f>
        <v>V  (Verkeersruimte)</v>
      </c>
      <c r="P759" s="214"/>
      <c r="Q759" s="215">
        <v>40</v>
      </c>
      <c r="R759" s="215" t="s">
        <v>16</v>
      </c>
      <c r="S759" s="215">
        <f>IF(R759&gt;0,IF(RIGHT(Ruimtestaat[[#This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59" s="215">
        <f>IF(S759&gt;0,VLOOKUP($J759,Ruimtegroepen[],3,FALSE)*VLOOKUP($K759,Vloersoorten[],3,FALSE)*VLOOKUP($R759,Frequenties[],3,FALSE)*VLOOKUP($A759,Locaties[],3,FALSE),0)</f>
        <v>0</v>
      </c>
      <c r="U759" s="215">
        <f>Ruimtestaat[[#This Row],[Uitvoeringen werkdagen]]*Ruimtestaat[[#This Row],[Oppervlak (netto)]]</f>
        <v>59.16</v>
      </c>
      <c r="V759" s="259">
        <f>IF(T759&gt;0,Ruimtestaat[[#This Row],[Prest. (m2 /jaar) werkdagen]]/Ruimtestaat[[#This Row],[Norm (m2/uur) werkdagen]],0)</f>
        <v>0</v>
      </c>
      <c r="W759" s="260">
        <f>Ruimtestaat[[#This Row],[uren / jaar werkdagen]]*Tariefsopbouw!$D$38</f>
        <v>0</v>
      </c>
      <c r="X759" s="33"/>
      <c r="Y759" s="33">
        <f>IF(Ruimtestaat[[#This Row],[Frequentie weekend]]&gt;0,VALUE(LEFT(X759,1))*Q759,0)</f>
        <v>0</v>
      </c>
      <c r="Z759" s="33">
        <f>IF($Y759&gt;0,VLOOKUP($J759,Ruimtegroepen[],3,FALSE)*VLOOKUP($K759,Vloersoorten[],3,FALSE)*VLOOKUP($X759,Frequenties[],3,FALSE)*VLOOKUP(#REF!,Locaties[],3,FALSE),0)</f>
        <v>0</v>
      </c>
      <c r="AA759" s="33"/>
      <c r="AB759" s="33"/>
      <c r="AC759" s="33">
        <f>Ruimtestaat[[#This Row],[uren / jaar weekend]]*Tariefsopbouw!$D$40</f>
        <v>0</v>
      </c>
      <c r="AD759" s="88">
        <f>Ruimtestaat[[#This Row],[Prest. (m2 /jaar) weekend]]+Ruimtestaat[[#This Row],[Prest. (m2 /jaar) werkdagen]]</f>
        <v>59.16</v>
      </c>
      <c r="AE759" s="88">
        <f>Ruimtestaat[[#This Row],[uren / jaar weekend]]+Ruimtestaat[[#This Row],[uren / jaar werkdagen]]</f>
        <v>0</v>
      </c>
      <c r="AF759" s="89">
        <f>Ruimtestaat[[#This Row],[kosten / jaar weekend]]+Ruimtestaat[[#This Row],[kosten / jaar werkdagen]]</f>
        <v>0</v>
      </c>
    </row>
    <row r="760" spans="1:32" ht="15" customHeight="1">
      <c r="A760" s="280">
        <v>6</v>
      </c>
      <c r="B760" s="21" t="str">
        <f>VLOOKUP(Ruimtestaat[[#This Row],[Code]],Locaties[#All],2,FALSE)</f>
        <v>SGC Tubbergen</v>
      </c>
      <c r="C760" s="281" t="str">
        <f>VLOOKUP(Ruimtestaat[[#This Row],[Code]],Locaties[#All],4,FALSE)</f>
        <v>Huyerenseweg 1</v>
      </c>
      <c r="D760" s="281" t="str">
        <f>VLOOKUP(Ruimtestaat[[#This Row],[Code]],Locaties[#All],5,FALSE)</f>
        <v>7651 LR</v>
      </c>
      <c r="E760" s="281" t="str">
        <f>VLOOKUP(Ruimtestaat[[#This Row],[Code]],Locaties[#All],6,FALSE)</f>
        <v>Tubbergen</v>
      </c>
      <c r="F760" s="282"/>
      <c r="G760" s="201" t="s">
        <v>942</v>
      </c>
      <c r="H760" s="280" t="s">
        <v>943</v>
      </c>
      <c r="I760" s="244" t="s">
        <v>396</v>
      </c>
      <c r="J760" s="215">
        <v>16</v>
      </c>
      <c r="K760" s="243" t="s">
        <v>1043</v>
      </c>
      <c r="L760" s="284" t="s">
        <v>997</v>
      </c>
      <c r="M760" s="213">
        <v>130</v>
      </c>
      <c r="N760" s="202"/>
      <c r="O760" s="243" t="str">
        <f>VLOOKUP(Ruimtestaat[[#This Row],[Ruimte code]],Ruimtegroepen[#All],4,FALSE)</f>
        <v>L  (Lesruimte)</v>
      </c>
      <c r="P760" s="214"/>
      <c r="Q760" s="215">
        <v>40</v>
      </c>
      <c r="R760" s="215" t="s">
        <v>2</v>
      </c>
      <c r="S760" s="215">
        <f>IF(R760&gt;0,IF(RIGHT(Ruimtestaat[[#This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0" s="215">
        <f>IF(S760&gt;0,VLOOKUP($J760,Ruimtegroepen[],3,FALSE)*VLOOKUP($K760,Vloersoorten[],3,FALSE)*VLOOKUP($R760,Frequenties[],3,FALSE)*VLOOKUP($A760,Locaties[],3,FALSE),0)</f>
        <v>0</v>
      </c>
      <c r="U760" s="215">
        <f>Ruimtestaat[[#This Row],[Uitvoeringen werkdagen]]*Ruimtestaat[[#This Row],[Oppervlak (netto)]]</f>
        <v>26000</v>
      </c>
      <c r="V760" s="259">
        <f>IF(T760&gt;0,Ruimtestaat[[#This Row],[Prest. (m2 /jaar) werkdagen]]/Ruimtestaat[[#This Row],[Norm (m2/uur) werkdagen]],0)</f>
        <v>0</v>
      </c>
      <c r="W760" s="260">
        <f>Ruimtestaat[[#This Row],[uren / jaar werkdagen]]*Tariefsopbouw!$D$38</f>
        <v>0</v>
      </c>
      <c r="X760" s="33"/>
      <c r="Y760" s="33">
        <f>IF(Ruimtestaat[[#This Row],[Frequentie weekend]]&gt;0,VALUE(LEFT(X760,1))*Q760,0)</f>
        <v>0</v>
      </c>
      <c r="Z760" s="33">
        <f>IF($Y760&gt;0,VLOOKUP($J760,Ruimtegroepen[],3,FALSE)*VLOOKUP($K760,Vloersoorten[],3,FALSE)*VLOOKUP($X760,Frequenties[],3,FALSE)*VLOOKUP(#REF!,Locaties[],3,FALSE),0)</f>
        <v>0</v>
      </c>
      <c r="AA760" s="33"/>
      <c r="AB760" s="33"/>
      <c r="AC760" s="33">
        <f>Ruimtestaat[[#This Row],[uren / jaar weekend]]*Tariefsopbouw!$D$40</f>
        <v>0</v>
      </c>
      <c r="AD760" s="88">
        <f>Ruimtestaat[[#This Row],[Prest. (m2 /jaar) weekend]]+Ruimtestaat[[#This Row],[Prest. (m2 /jaar) werkdagen]]</f>
        <v>26000</v>
      </c>
      <c r="AE760" s="88">
        <f>Ruimtestaat[[#This Row],[uren / jaar weekend]]+Ruimtestaat[[#This Row],[uren / jaar werkdagen]]</f>
        <v>0</v>
      </c>
      <c r="AF760" s="89">
        <f>Ruimtestaat[[#This Row],[kosten / jaar weekend]]+Ruimtestaat[[#This Row],[kosten / jaar werkdagen]]</f>
        <v>0</v>
      </c>
    </row>
    <row r="761" spans="1:32" ht="15" customHeight="1">
      <c r="A761" s="280">
        <v>6</v>
      </c>
      <c r="B761" s="21" t="str">
        <f>VLOOKUP(Ruimtestaat[[#This Row],[Code]],Locaties[#All],2,FALSE)</f>
        <v>SGC Tubbergen</v>
      </c>
      <c r="C761" s="281" t="str">
        <f>VLOOKUP(Ruimtestaat[[#This Row],[Code]],Locaties[#All],4,FALSE)</f>
        <v>Huyerenseweg 1</v>
      </c>
      <c r="D761" s="281" t="str">
        <f>VLOOKUP(Ruimtestaat[[#This Row],[Code]],Locaties[#All],5,FALSE)</f>
        <v>7651 LR</v>
      </c>
      <c r="E761" s="281" t="str">
        <f>VLOOKUP(Ruimtestaat[[#This Row],[Code]],Locaties[#All],6,FALSE)</f>
        <v>Tubbergen</v>
      </c>
      <c r="F761" s="282"/>
      <c r="G761" s="201" t="s">
        <v>942</v>
      </c>
      <c r="H761" s="280" t="s">
        <v>943</v>
      </c>
      <c r="I761" s="244" t="s">
        <v>396</v>
      </c>
      <c r="J761" s="215">
        <v>16</v>
      </c>
      <c r="K761" s="243" t="s">
        <v>1041</v>
      </c>
      <c r="L761" s="284" t="s">
        <v>998</v>
      </c>
      <c r="M761" s="213">
        <v>21</v>
      </c>
      <c r="N761" s="213"/>
      <c r="O761" s="243" t="str">
        <f>VLOOKUP(Ruimtestaat[[#This Row],[Ruimte code]],Ruimtegroepen[#All],4,FALSE)</f>
        <v>L  (Lesruimte)</v>
      </c>
      <c r="P761" s="214"/>
      <c r="Q761" s="215">
        <v>40</v>
      </c>
      <c r="R761" s="215" t="s">
        <v>2</v>
      </c>
      <c r="S761" s="215">
        <f>IF(R761&gt;0,IF(RIGHT(Ruimtestaat[[#This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1" s="215">
        <f>IF(S761&gt;0,VLOOKUP($J761,Ruimtegroepen[],3,FALSE)*VLOOKUP($K761,Vloersoorten[],3,FALSE)*VLOOKUP($R761,Frequenties[],3,FALSE)*VLOOKUP($A761,Locaties[],3,FALSE),0)</f>
        <v>0</v>
      </c>
      <c r="U761" s="215">
        <f>Ruimtestaat[[#This Row],[Uitvoeringen werkdagen]]*Ruimtestaat[[#This Row],[Oppervlak (netto)]]</f>
        <v>4200</v>
      </c>
      <c r="V761" s="259">
        <f>IF(T761&gt;0,Ruimtestaat[[#This Row],[Prest. (m2 /jaar) werkdagen]]/Ruimtestaat[[#This Row],[Norm (m2/uur) werkdagen]],0)</f>
        <v>0</v>
      </c>
      <c r="W761" s="260">
        <f>Ruimtestaat[[#This Row],[uren / jaar werkdagen]]*Tariefsopbouw!$D$38</f>
        <v>0</v>
      </c>
      <c r="X761" s="33"/>
      <c r="Y761" s="33">
        <f>IF(Ruimtestaat[[#This Row],[Frequentie weekend]]&gt;0,VALUE(LEFT(X761,1))*Q761,0)</f>
        <v>0</v>
      </c>
      <c r="Z761" s="33">
        <f>IF($Y761&gt;0,VLOOKUP($J761,Ruimtegroepen[],3,FALSE)*VLOOKUP($K761,Vloersoorten[],3,FALSE)*VLOOKUP($X761,Frequenties[],3,FALSE)*VLOOKUP(#REF!,Locaties[],3,FALSE),0)</f>
        <v>0</v>
      </c>
      <c r="AA761" s="33"/>
      <c r="AB761" s="33"/>
      <c r="AC761" s="33">
        <f>Ruimtestaat[[#This Row],[uren / jaar weekend]]*Tariefsopbouw!$D$40</f>
        <v>0</v>
      </c>
      <c r="AD761" s="88">
        <f>Ruimtestaat[[#This Row],[Prest. (m2 /jaar) weekend]]+Ruimtestaat[[#This Row],[Prest. (m2 /jaar) werkdagen]]</f>
        <v>4200</v>
      </c>
      <c r="AE761" s="88">
        <f>Ruimtestaat[[#This Row],[uren / jaar weekend]]+Ruimtestaat[[#This Row],[uren / jaar werkdagen]]</f>
        <v>0</v>
      </c>
      <c r="AF761" s="89">
        <f>Ruimtestaat[[#This Row],[kosten / jaar weekend]]+Ruimtestaat[[#This Row],[kosten / jaar werkdagen]]</f>
        <v>0</v>
      </c>
    </row>
    <row r="762" spans="1:32" ht="15" customHeight="1">
      <c r="A762" s="280">
        <v>6</v>
      </c>
      <c r="B762" s="21" t="str">
        <f>VLOOKUP(Ruimtestaat[[#This Row],[Code]],Locaties[#All],2,FALSE)</f>
        <v>SGC Tubbergen</v>
      </c>
      <c r="C762" s="281" t="str">
        <f>VLOOKUP(Ruimtestaat[[#This Row],[Code]],Locaties[#All],4,FALSE)</f>
        <v>Huyerenseweg 1</v>
      </c>
      <c r="D762" s="281" t="str">
        <f>VLOOKUP(Ruimtestaat[[#This Row],[Code]],Locaties[#All],5,FALSE)</f>
        <v>7651 LR</v>
      </c>
      <c r="E762" s="281" t="str">
        <f>VLOOKUP(Ruimtestaat[[#This Row],[Code]],Locaties[#All],6,FALSE)</f>
        <v>Tubbergen</v>
      </c>
      <c r="F762" s="282"/>
      <c r="G762" s="201" t="s">
        <v>942</v>
      </c>
      <c r="H762" s="280" t="s">
        <v>944</v>
      </c>
      <c r="I762" s="244" t="s">
        <v>457</v>
      </c>
      <c r="J762" s="200">
        <v>10</v>
      </c>
      <c r="K762" s="243" t="s">
        <v>1043</v>
      </c>
      <c r="L762" s="284" t="s">
        <v>997</v>
      </c>
      <c r="M762" s="213">
        <v>4</v>
      </c>
      <c r="N762" s="202"/>
      <c r="O762" s="243" t="str">
        <f>VLOOKUP(Ruimtestaat[[#This Row],[Ruimte code]],Ruimtegroepen[#All],4,FALSE)</f>
        <v>V  (Verkeersruimte)</v>
      </c>
      <c r="P762" s="214"/>
      <c r="Q762" s="215">
        <v>40</v>
      </c>
      <c r="R762" s="215" t="s">
        <v>2</v>
      </c>
      <c r="S762" s="215">
        <f>IF(R762&gt;0,IF(RIGHT(Ruimtestaat[[#This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2" s="215">
        <f>IF(S762&gt;0,VLOOKUP($J762,Ruimtegroepen[],3,FALSE)*VLOOKUP($K762,Vloersoorten[],3,FALSE)*VLOOKUP($R762,Frequenties[],3,FALSE)*VLOOKUP($A762,Locaties[],3,FALSE),0)</f>
        <v>0</v>
      </c>
      <c r="U762" s="215">
        <f>Ruimtestaat[[#This Row],[Uitvoeringen werkdagen]]*Ruimtestaat[[#This Row],[Oppervlak (netto)]]</f>
        <v>800</v>
      </c>
      <c r="V762" s="259">
        <f>IF(T762&gt;0,Ruimtestaat[[#This Row],[Prest. (m2 /jaar) werkdagen]]/Ruimtestaat[[#This Row],[Norm (m2/uur) werkdagen]],0)</f>
        <v>0</v>
      </c>
      <c r="W762" s="260">
        <f>Ruimtestaat[[#This Row],[uren / jaar werkdagen]]*Tariefsopbouw!$D$38</f>
        <v>0</v>
      </c>
      <c r="X762" s="33"/>
      <c r="Y762" s="33">
        <f>IF(Ruimtestaat[[#This Row],[Frequentie weekend]]&gt;0,VALUE(LEFT(X762,1))*Q762,0)</f>
        <v>0</v>
      </c>
      <c r="Z762" s="33">
        <f>IF($Y762&gt;0,VLOOKUP($J762,Ruimtegroepen[],3,FALSE)*VLOOKUP($K762,Vloersoorten[],3,FALSE)*VLOOKUP($X762,Frequenties[],3,FALSE)*VLOOKUP(#REF!,Locaties[],3,FALSE),0)</f>
        <v>0</v>
      </c>
      <c r="AA762" s="33"/>
      <c r="AB762" s="33"/>
      <c r="AC762" s="33">
        <f>Ruimtestaat[[#This Row],[uren / jaar weekend]]*Tariefsopbouw!$D$40</f>
        <v>0</v>
      </c>
      <c r="AD762" s="88">
        <f>Ruimtestaat[[#This Row],[Prest. (m2 /jaar) weekend]]+Ruimtestaat[[#This Row],[Prest. (m2 /jaar) werkdagen]]</f>
        <v>800</v>
      </c>
      <c r="AE762" s="88">
        <f>Ruimtestaat[[#This Row],[uren / jaar weekend]]+Ruimtestaat[[#This Row],[uren / jaar werkdagen]]</f>
        <v>0</v>
      </c>
      <c r="AF762" s="89">
        <f>Ruimtestaat[[#This Row],[kosten / jaar weekend]]+Ruimtestaat[[#This Row],[kosten / jaar werkdagen]]</f>
        <v>0</v>
      </c>
    </row>
    <row r="763" spans="1:32" ht="15" customHeight="1">
      <c r="A763" s="280">
        <v>6</v>
      </c>
      <c r="B763" s="21" t="str">
        <f>VLOOKUP(Ruimtestaat[[#This Row],[Code]],Locaties[#All],2,FALSE)</f>
        <v>SGC Tubbergen</v>
      </c>
      <c r="C763" s="281" t="str">
        <f>VLOOKUP(Ruimtestaat[[#This Row],[Code]],Locaties[#All],4,FALSE)</f>
        <v>Huyerenseweg 1</v>
      </c>
      <c r="D763" s="281" t="str">
        <f>VLOOKUP(Ruimtestaat[[#This Row],[Code]],Locaties[#All],5,FALSE)</f>
        <v>7651 LR</v>
      </c>
      <c r="E763" s="281" t="str">
        <f>VLOOKUP(Ruimtestaat[[#This Row],[Code]],Locaties[#All],6,FALSE)</f>
        <v>Tubbergen</v>
      </c>
      <c r="F763" s="282"/>
      <c r="G763" s="201" t="s">
        <v>942</v>
      </c>
      <c r="H763" s="280" t="s">
        <v>945</v>
      </c>
      <c r="I763" s="244" t="s">
        <v>721</v>
      </c>
      <c r="J763" s="281">
        <v>5</v>
      </c>
      <c r="K763" s="243" t="s">
        <v>1043</v>
      </c>
      <c r="L763" s="284" t="s">
        <v>997</v>
      </c>
      <c r="M763" s="213">
        <v>1.9</v>
      </c>
      <c r="N763" s="202"/>
      <c r="O763" s="243" t="str">
        <f>VLOOKUP(Ruimtestaat[[#This Row],[Ruimte code]],Ruimtegroepen[#All],4,FALSE)</f>
        <v>S  (Sanitair)</v>
      </c>
      <c r="P763" s="214"/>
      <c r="Q763" s="215">
        <v>40</v>
      </c>
      <c r="R763" s="215" t="s">
        <v>2</v>
      </c>
      <c r="S763" s="215">
        <f>IF(R763&gt;0,IF(RIGHT(Ruimtestaat[[#This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3" s="215">
        <f>IF(S763&gt;0,VLOOKUP($J763,Ruimtegroepen[],3,FALSE)*VLOOKUP($K763,Vloersoorten[],3,FALSE)*VLOOKUP($R763,Frequenties[],3,FALSE)*VLOOKUP($A763,Locaties[],3,FALSE),0)</f>
        <v>0</v>
      </c>
      <c r="U763" s="215">
        <f>Ruimtestaat[[#This Row],[Uitvoeringen werkdagen]]*Ruimtestaat[[#This Row],[Oppervlak (netto)]]</f>
        <v>380</v>
      </c>
      <c r="V763" s="259">
        <f>IF(T763&gt;0,Ruimtestaat[[#This Row],[Prest. (m2 /jaar) werkdagen]]/Ruimtestaat[[#This Row],[Norm (m2/uur) werkdagen]],0)</f>
        <v>0</v>
      </c>
      <c r="W763" s="260">
        <f>Ruimtestaat[[#This Row],[uren / jaar werkdagen]]*Tariefsopbouw!$D$38</f>
        <v>0</v>
      </c>
      <c r="X763" s="33"/>
      <c r="Y763" s="33">
        <f>IF(Ruimtestaat[[#This Row],[Frequentie weekend]]&gt;0,VALUE(LEFT(X763,1))*Q763,0)</f>
        <v>0</v>
      </c>
      <c r="Z763" s="33">
        <f>IF($Y763&gt;0,VLOOKUP($J763,Ruimtegroepen[],3,FALSE)*VLOOKUP($K763,Vloersoorten[],3,FALSE)*VLOOKUP($X763,Frequenties[],3,FALSE)*VLOOKUP(#REF!,Locaties[],3,FALSE),0)</f>
        <v>0</v>
      </c>
      <c r="AA763" s="33"/>
      <c r="AB763" s="33"/>
      <c r="AC763" s="33">
        <f>Ruimtestaat[[#This Row],[uren / jaar weekend]]*Tariefsopbouw!$D$40</f>
        <v>0</v>
      </c>
      <c r="AD763" s="88">
        <f>Ruimtestaat[[#This Row],[Prest. (m2 /jaar) weekend]]+Ruimtestaat[[#This Row],[Prest. (m2 /jaar) werkdagen]]</f>
        <v>380</v>
      </c>
      <c r="AE763" s="88">
        <f>Ruimtestaat[[#This Row],[uren / jaar weekend]]+Ruimtestaat[[#This Row],[uren / jaar werkdagen]]</f>
        <v>0</v>
      </c>
      <c r="AF763" s="89">
        <f>Ruimtestaat[[#This Row],[kosten / jaar weekend]]+Ruimtestaat[[#This Row],[kosten / jaar werkdagen]]</f>
        <v>0</v>
      </c>
    </row>
    <row r="764" spans="1:32" ht="15" customHeight="1">
      <c r="A764" s="280">
        <v>6</v>
      </c>
      <c r="B764" s="21" t="str">
        <f>VLOOKUP(Ruimtestaat[[#This Row],[Code]],Locaties[#All],2,FALSE)</f>
        <v>SGC Tubbergen</v>
      </c>
      <c r="C764" s="281" t="str">
        <f>VLOOKUP(Ruimtestaat[[#This Row],[Code]],Locaties[#All],4,FALSE)</f>
        <v>Huyerenseweg 1</v>
      </c>
      <c r="D764" s="281" t="str">
        <f>VLOOKUP(Ruimtestaat[[#This Row],[Code]],Locaties[#All],5,FALSE)</f>
        <v>7651 LR</v>
      </c>
      <c r="E764" s="281" t="str">
        <f>VLOOKUP(Ruimtestaat[[#This Row],[Code]],Locaties[#All],6,FALSE)</f>
        <v>Tubbergen</v>
      </c>
      <c r="F764" s="282"/>
      <c r="G764" s="201" t="s">
        <v>942</v>
      </c>
      <c r="H764" s="280" t="s">
        <v>946</v>
      </c>
      <c r="I764" s="244" t="s">
        <v>508</v>
      </c>
      <c r="J764" s="200">
        <v>19</v>
      </c>
      <c r="K764" s="243" t="s">
        <v>1043</v>
      </c>
      <c r="L764" s="284" t="s">
        <v>997</v>
      </c>
      <c r="M764" s="213">
        <v>33.5</v>
      </c>
      <c r="N764" s="202"/>
      <c r="O764" s="243" t="str">
        <f>VLOOKUP(Ruimtestaat[[#This Row],[Ruimte code]],Ruimtegroepen[#All],4,FALSE)</f>
        <v>V  (Verkeersruimte)</v>
      </c>
      <c r="P764" s="214"/>
      <c r="Q764" s="215">
        <v>40</v>
      </c>
      <c r="R764" s="215" t="s">
        <v>2</v>
      </c>
      <c r="S764" s="215">
        <f>IF(R764&gt;0,IF(RIGHT(Ruimtestaat[[#This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4" s="215">
        <f>IF(S764&gt;0,VLOOKUP($J764,Ruimtegroepen[],3,FALSE)*VLOOKUP($K764,Vloersoorten[],3,FALSE)*VLOOKUP($R764,Frequenties[],3,FALSE)*VLOOKUP($A764,Locaties[],3,FALSE),0)</f>
        <v>0</v>
      </c>
      <c r="U764" s="215">
        <f>Ruimtestaat[[#This Row],[Uitvoeringen werkdagen]]*Ruimtestaat[[#This Row],[Oppervlak (netto)]]</f>
        <v>6700</v>
      </c>
      <c r="V764" s="259">
        <f>IF(T764&gt;0,Ruimtestaat[[#This Row],[Prest. (m2 /jaar) werkdagen]]/Ruimtestaat[[#This Row],[Norm (m2/uur) werkdagen]],0)</f>
        <v>0</v>
      </c>
      <c r="W764" s="260">
        <f>Ruimtestaat[[#This Row],[uren / jaar werkdagen]]*Tariefsopbouw!$D$38</f>
        <v>0</v>
      </c>
      <c r="X764" s="33"/>
      <c r="Y764" s="33">
        <f>IF(Ruimtestaat[[#This Row],[Frequentie weekend]]&gt;0,VALUE(LEFT(X764,1))*Q764,0)</f>
        <v>0</v>
      </c>
      <c r="Z764" s="33">
        <f>IF($Y764&gt;0,VLOOKUP($J764,Ruimtegroepen[],3,FALSE)*VLOOKUP($K764,Vloersoorten[],3,FALSE)*VLOOKUP($X764,Frequenties[],3,FALSE)*VLOOKUP(#REF!,Locaties[],3,FALSE),0)</f>
        <v>0</v>
      </c>
      <c r="AA764" s="33"/>
      <c r="AB764" s="33"/>
      <c r="AC764" s="33">
        <f>Ruimtestaat[[#This Row],[uren / jaar weekend]]*Tariefsopbouw!$D$40</f>
        <v>0</v>
      </c>
      <c r="AD764" s="88">
        <f>Ruimtestaat[[#This Row],[Prest. (m2 /jaar) weekend]]+Ruimtestaat[[#This Row],[Prest. (m2 /jaar) werkdagen]]</f>
        <v>6700</v>
      </c>
      <c r="AE764" s="88">
        <f>Ruimtestaat[[#This Row],[uren / jaar weekend]]+Ruimtestaat[[#This Row],[uren / jaar werkdagen]]</f>
        <v>0</v>
      </c>
      <c r="AF764" s="89">
        <f>Ruimtestaat[[#This Row],[kosten / jaar weekend]]+Ruimtestaat[[#This Row],[kosten / jaar werkdagen]]</f>
        <v>0</v>
      </c>
    </row>
    <row r="765" spans="1:32" ht="15" customHeight="1">
      <c r="A765" s="280">
        <v>6</v>
      </c>
      <c r="B765" s="21" t="str">
        <f>VLOOKUP(Ruimtestaat[[#This Row],[Code]],Locaties[#All],2,FALSE)</f>
        <v>SGC Tubbergen</v>
      </c>
      <c r="C765" s="281" t="str">
        <f>VLOOKUP(Ruimtestaat[[#This Row],[Code]],Locaties[#All],4,FALSE)</f>
        <v>Huyerenseweg 1</v>
      </c>
      <c r="D765" s="281" t="str">
        <f>VLOOKUP(Ruimtestaat[[#This Row],[Code]],Locaties[#All],5,FALSE)</f>
        <v>7651 LR</v>
      </c>
      <c r="E765" s="281" t="str">
        <f>VLOOKUP(Ruimtestaat[[#This Row],[Code]],Locaties[#All],6,FALSE)</f>
        <v>Tubbergen</v>
      </c>
      <c r="F765" s="282"/>
      <c r="G765" s="201" t="s">
        <v>942</v>
      </c>
      <c r="H765" s="280" t="s">
        <v>946</v>
      </c>
      <c r="I765" s="244" t="s">
        <v>721</v>
      </c>
      <c r="J765" s="200">
        <v>5</v>
      </c>
      <c r="K765" s="243" t="s">
        <v>1043</v>
      </c>
      <c r="L765" s="284" t="s">
        <v>997</v>
      </c>
      <c r="M765" s="213">
        <v>3</v>
      </c>
      <c r="N765" s="202"/>
      <c r="O765" s="243" t="str">
        <f>VLOOKUP(Ruimtestaat[[#This Row],[Ruimte code]],Ruimtegroepen[#All],4,FALSE)</f>
        <v>S  (Sanitair)</v>
      </c>
      <c r="P765" s="214"/>
      <c r="Q765" s="215">
        <v>40</v>
      </c>
      <c r="R765" s="215" t="s">
        <v>2</v>
      </c>
      <c r="S765" s="215">
        <f>IF(R765&gt;0,IF(RIGHT(Ruimtestaat[[#This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5" s="215">
        <f>IF(S765&gt;0,VLOOKUP($J765,Ruimtegroepen[],3,FALSE)*VLOOKUP($K765,Vloersoorten[],3,FALSE)*VLOOKUP($R765,Frequenties[],3,FALSE)*VLOOKUP($A765,Locaties[],3,FALSE),0)</f>
        <v>0</v>
      </c>
      <c r="U765" s="215">
        <f>Ruimtestaat[[#This Row],[Uitvoeringen werkdagen]]*Ruimtestaat[[#This Row],[Oppervlak (netto)]]</f>
        <v>600</v>
      </c>
      <c r="V765" s="259">
        <f>IF(T765&gt;0,Ruimtestaat[[#This Row],[Prest. (m2 /jaar) werkdagen]]/Ruimtestaat[[#This Row],[Norm (m2/uur) werkdagen]],0)</f>
        <v>0</v>
      </c>
      <c r="W765" s="260">
        <f>Ruimtestaat[[#This Row],[uren / jaar werkdagen]]*Tariefsopbouw!$D$38</f>
        <v>0</v>
      </c>
      <c r="X765" s="33"/>
      <c r="Y765" s="33">
        <f>IF(Ruimtestaat[[#This Row],[Frequentie weekend]]&gt;0,VALUE(LEFT(X765,1))*Q765,0)</f>
        <v>0</v>
      </c>
      <c r="Z765" s="33">
        <f>IF($Y765&gt;0,VLOOKUP($J765,Ruimtegroepen[],3,FALSE)*VLOOKUP($K765,Vloersoorten[],3,FALSE)*VLOOKUP($X765,Frequenties[],3,FALSE)*VLOOKUP(#REF!,Locaties[],3,FALSE),0)</f>
        <v>0</v>
      </c>
      <c r="AA765" s="33"/>
      <c r="AB765" s="33"/>
      <c r="AC765" s="33">
        <f>Ruimtestaat[[#This Row],[uren / jaar weekend]]*Tariefsopbouw!$D$40</f>
        <v>0</v>
      </c>
      <c r="AD765" s="88">
        <f>Ruimtestaat[[#This Row],[Prest. (m2 /jaar) weekend]]+Ruimtestaat[[#This Row],[Prest. (m2 /jaar) werkdagen]]</f>
        <v>600</v>
      </c>
      <c r="AE765" s="88">
        <f>Ruimtestaat[[#This Row],[uren / jaar weekend]]+Ruimtestaat[[#This Row],[uren / jaar werkdagen]]</f>
        <v>0</v>
      </c>
      <c r="AF765" s="89">
        <f>Ruimtestaat[[#This Row],[kosten / jaar weekend]]+Ruimtestaat[[#This Row],[kosten / jaar werkdagen]]</f>
        <v>0</v>
      </c>
    </row>
    <row r="766" spans="1:32" ht="15" customHeight="1">
      <c r="A766" s="280">
        <v>6</v>
      </c>
      <c r="B766" s="21" t="str">
        <f>VLOOKUP(Ruimtestaat[[#This Row],[Code]],Locaties[#All],2,FALSE)</f>
        <v>SGC Tubbergen</v>
      </c>
      <c r="C766" s="281" t="str">
        <f>VLOOKUP(Ruimtestaat[[#This Row],[Code]],Locaties[#All],4,FALSE)</f>
        <v>Huyerenseweg 1</v>
      </c>
      <c r="D766" s="281" t="str">
        <f>VLOOKUP(Ruimtestaat[[#This Row],[Code]],Locaties[#All],5,FALSE)</f>
        <v>7651 LR</v>
      </c>
      <c r="E766" s="281" t="str">
        <f>VLOOKUP(Ruimtestaat[[#This Row],[Code]],Locaties[#All],6,FALSE)</f>
        <v>Tubbergen</v>
      </c>
      <c r="F766" s="282"/>
      <c r="G766" s="201" t="s">
        <v>942</v>
      </c>
      <c r="H766" s="280" t="s">
        <v>946</v>
      </c>
      <c r="I766" s="244" t="s">
        <v>487</v>
      </c>
      <c r="J766" s="200">
        <v>2</v>
      </c>
      <c r="K766" s="243" t="s">
        <v>1041</v>
      </c>
      <c r="L766" s="284" t="s">
        <v>998</v>
      </c>
      <c r="M766" s="213">
        <v>6.7</v>
      </c>
      <c r="N766" s="202"/>
      <c r="O766" s="243" t="str">
        <f>VLOOKUP(Ruimtestaat[[#This Row],[Ruimte code]],Ruimtegroepen[#All],4,FALSE)</f>
        <v>B  (Bureauruimte)</v>
      </c>
      <c r="P766" s="214"/>
      <c r="Q766" s="215">
        <v>40</v>
      </c>
      <c r="R766" s="215" t="s">
        <v>17</v>
      </c>
      <c r="S766" s="215">
        <f>IF(R766&gt;0,IF(RIGHT(Ruimtestaat[[#This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66" s="215">
        <f>IF(S766&gt;0,VLOOKUP($J766,Ruimtegroepen[],3,FALSE)*VLOOKUP($K766,Vloersoorten[],3,FALSE)*VLOOKUP($R766,Frequenties[],3,FALSE)*VLOOKUP($A766,Locaties[],3,FALSE),0)</f>
        <v>0</v>
      </c>
      <c r="U766" s="215">
        <f>Ruimtestaat[[#This Row],[Uitvoeringen werkdagen]]*Ruimtestaat[[#This Row],[Oppervlak (netto)]]</f>
        <v>536</v>
      </c>
      <c r="V766" s="259">
        <f>IF(T766&gt;0,Ruimtestaat[[#This Row],[Prest. (m2 /jaar) werkdagen]]/Ruimtestaat[[#This Row],[Norm (m2/uur) werkdagen]],0)</f>
        <v>0</v>
      </c>
      <c r="W766" s="260">
        <f>Ruimtestaat[[#This Row],[uren / jaar werkdagen]]*Tariefsopbouw!$D$38</f>
        <v>0</v>
      </c>
      <c r="X766" s="33"/>
      <c r="Y766" s="33">
        <f>IF(Ruimtestaat[[#This Row],[Frequentie weekend]]&gt;0,VALUE(LEFT(X766,1))*Q766,0)</f>
        <v>0</v>
      </c>
      <c r="Z766" s="33">
        <f>IF($Y766&gt;0,VLOOKUP($J766,Ruimtegroepen[],3,FALSE)*VLOOKUP($K766,Vloersoorten[],3,FALSE)*VLOOKUP($X766,Frequenties[],3,FALSE)*VLOOKUP(#REF!,Locaties[],3,FALSE),0)</f>
        <v>0</v>
      </c>
      <c r="AA766" s="33"/>
      <c r="AB766" s="33"/>
      <c r="AC766" s="33">
        <f>Ruimtestaat[[#This Row],[uren / jaar weekend]]*Tariefsopbouw!$D$40</f>
        <v>0</v>
      </c>
      <c r="AD766" s="88">
        <f>Ruimtestaat[[#This Row],[Prest. (m2 /jaar) weekend]]+Ruimtestaat[[#This Row],[Prest. (m2 /jaar) werkdagen]]</f>
        <v>536</v>
      </c>
      <c r="AE766" s="88">
        <f>Ruimtestaat[[#This Row],[uren / jaar weekend]]+Ruimtestaat[[#This Row],[uren / jaar werkdagen]]</f>
        <v>0</v>
      </c>
      <c r="AF766" s="89">
        <f>Ruimtestaat[[#This Row],[kosten / jaar weekend]]+Ruimtestaat[[#This Row],[kosten / jaar werkdagen]]</f>
        <v>0</v>
      </c>
    </row>
    <row r="767" spans="1:32" ht="15" customHeight="1">
      <c r="A767" s="280">
        <v>6</v>
      </c>
      <c r="B767" s="21" t="str">
        <f>VLOOKUP(Ruimtestaat[[#This Row],[Code]],Locaties[#All],2,FALSE)</f>
        <v>SGC Tubbergen</v>
      </c>
      <c r="C767" s="281" t="str">
        <f>VLOOKUP(Ruimtestaat[[#This Row],[Code]],Locaties[#All],4,FALSE)</f>
        <v>Huyerenseweg 1</v>
      </c>
      <c r="D767" s="281" t="str">
        <f>VLOOKUP(Ruimtestaat[[#This Row],[Code]],Locaties[#All],5,FALSE)</f>
        <v>7651 LR</v>
      </c>
      <c r="E767" s="281" t="str">
        <f>VLOOKUP(Ruimtestaat[[#This Row],[Code]],Locaties[#All],6,FALSE)</f>
        <v>Tubbergen</v>
      </c>
      <c r="F767" s="282"/>
      <c r="G767" s="201" t="s">
        <v>942</v>
      </c>
      <c r="H767" s="280" t="s">
        <v>947</v>
      </c>
      <c r="I767" s="244" t="s">
        <v>1037</v>
      </c>
      <c r="J767" s="200">
        <v>18</v>
      </c>
      <c r="K767" s="243" t="s">
        <v>1042</v>
      </c>
      <c r="L767" s="291" t="s">
        <v>1001</v>
      </c>
      <c r="M767" s="213">
        <v>255</v>
      </c>
      <c r="N767" s="202"/>
      <c r="O767" s="243" t="str">
        <f>VLOOKUP(Ruimtestaat[[#This Row],[Ruimte code]],Ruimtegroepen[#All],4,FALSE)</f>
        <v>Sp  (Sportruimte)</v>
      </c>
      <c r="P767" s="214"/>
      <c r="Q767" s="215">
        <v>40</v>
      </c>
      <c r="R767" s="215" t="s">
        <v>2</v>
      </c>
      <c r="S767" s="215">
        <f>IF(R767&gt;0,IF(RIGHT(Ruimtestaat[[#This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7" s="215">
        <f>IF(S767&gt;0,VLOOKUP($J767,Ruimtegroepen[],3,FALSE)*VLOOKUP($K767,Vloersoorten[],3,FALSE)*VLOOKUP($R767,Frequenties[],3,FALSE)*VLOOKUP($A767,Locaties[],3,FALSE),0)</f>
        <v>0</v>
      </c>
      <c r="U767" s="215">
        <f>Ruimtestaat[[#This Row],[Uitvoeringen werkdagen]]*Ruimtestaat[[#This Row],[Oppervlak (netto)]]</f>
        <v>51000</v>
      </c>
      <c r="V767" s="259">
        <f>IF(T767&gt;0,Ruimtestaat[[#This Row],[Prest. (m2 /jaar) werkdagen]]/Ruimtestaat[[#This Row],[Norm (m2/uur) werkdagen]],0)</f>
        <v>0</v>
      </c>
      <c r="W767" s="260">
        <f>Ruimtestaat[[#This Row],[uren / jaar werkdagen]]*Tariefsopbouw!$D$38</f>
        <v>0</v>
      </c>
      <c r="X767" s="33"/>
      <c r="Y767" s="33">
        <f>IF(Ruimtestaat[[#This Row],[Frequentie weekend]]&gt;0,VALUE(LEFT(X767,1))*Q767,0)</f>
        <v>0</v>
      </c>
      <c r="Z767" s="33">
        <f>IF($Y767&gt;0,VLOOKUP($J767,Ruimtegroepen[],3,FALSE)*VLOOKUP($K767,Vloersoorten[],3,FALSE)*VLOOKUP($X767,Frequenties[],3,FALSE)*VLOOKUP(#REF!,Locaties[],3,FALSE),0)</f>
        <v>0</v>
      </c>
      <c r="AA767" s="33"/>
      <c r="AB767" s="33"/>
      <c r="AC767" s="33">
        <f>Ruimtestaat[[#This Row],[uren / jaar weekend]]*Tariefsopbouw!$D$40</f>
        <v>0</v>
      </c>
      <c r="AD767" s="88">
        <f>Ruimtestaat[[#This Row],[Prest. (m2 /jaar) weekend]]+Ruimtestaat[[#This Row],[Prest. (m2 /jaar) werkdagen]]</f>
        <v>51000</v>
      </c>
      <c r="AE767" s="88">
        <f>Ruimtestaat[[#This Row],[uren / jaar weekend]]+Ruimtestaat[[#This Row],[uren / jaar werkdagen]]</f>
        <v>0</v>
      </c>
      <c r="AF767" s="89">
        <f>Ruimtestaat[[#This Row],[kosten / jaar weekend]]+Ruimtestaat[[#This Row],[kosten / jaar werkdagen]]</f>
        <v>0</v>
      </c>
    </row>
    <row r="768" spans="1:32" ht="15" customHeight="1">
      <c r="A768" s="280">
        <v>6</v>
      </c>
      <c r="B768" s="21" t="str">
        <f>VLOOKUP(Ruimtestaat[[#This Row],[Code]],Locaties[#All],2,FALSE)</f>
        <v>SGC Tubbergen</v>
      </c>
      <c r="C768" s="281" t="str">
        <f>VLOOKUP(Ruimtestaat[[#This Row],[Code]],Locaties[#All],4,FALSE)</f>
        <v>Huyerenseweg 1</v>
      </c>
      <c r="D768" s="281" t="str">
        <f>VLOOKUP(Ruimtestaat[[#This Row],[Code]],Locaties[#All],5,FALSE)</f>
        <v>7651 LR</v>
      </c>
      <c r="E768" s="281" t="str">
        <f>VLOOKUP(Ruimtestaat[[#This Row],[Code]],Locaties[#All],6,FALSE)</f>
        <v>Tubbergen</v>
      </c>
      <c r="F768" s="282"/>
      <c r="G768" s="201" t="s">
        <v>942</v>
      </c>
      <c r="H768" s="280" t="s">
        <v>947</v>
      </c>
      <c r="I768" s="244" t="s">
        <v>691</v>
      </c>
      <c r="J768" s="281">
        <v>17</v>
      </c>
      <c r="K768" s="243" t="s">
        <v>1042</v>
      </c>
      <c r="L768" s="291" t="s">
        <v>1001</v>
      </c>
      <c r="M768" s="213">
        <v>42</v>
      </c>
      <c r="N768" s="202"/>
      <c r="O768" s="243" t="str">
        <f>VLOOKUP(Ruimtestaat[[#This Row],[Ruimte code]],Ruimtegroepen[#All],4,FALSE)</f>
        <v>V  (Verkeersruimte)</v>
      </c>
      <c r="P768" s="214"/>
      <c r="Q768" s="215">
        <v>40</v>
      </c>
      <c r="R768" s="215" t="s">
        <v>16</v>
      </c>
      <c r="S768" s="215">
        <f>IF(R768&gt;0,IF(RIGHT(Ruimtestaat[[#This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68" s="215">
        <f>IF(S768&gt;0,VLOOKUP($J768,Ruimtegroepen[],3,FALSE)*VLOOKUP($K768,Vloersoorten[],3,FALSE)*VLOOKUP($R768,Frequenties[],3,FALSE)*VLOOKUP($A768,Locaties[],3,FALSE),0)</f>
        <v>0</v>
      </c>
      <c r="U768" s="215">
        <f>Ruimtestaat[[#This Row],[Uitvoeringen werkdagen]]*Ruimtestaat[[#This Row],[Oppervlak (netto)]]</f>
        <v>504</v>
      </c>
      <c r="V768" s="259">
        <f>IF(T768&gt;0,Ruimtestaat[[#This Row],[Prest. (m2 /jaar) werkdagen]]/Ruimtestaat[[#This Row],[Norm (m2/uur) werkdagen]],0)</f>
        <v>0</v>
      </c>
      <c r="W768" s="260">
        <f>Ruimtestaat[[#This Row],[uren / jaar werkdagen]]*Tariefsopbouw!$D$38</f>
        <v>0</v>
      </c>
      <c r="X768" s="33"/>
      <c r="Y768" s="33">
        <f>IF(Ruimtestaat[[#This Row],[Frequentie weekend]]&gt;0,VALUE(LEFT(X768,1))*Q768,0)</f>
        <v>0</v>
      </c>
      <c r="Z768" s="33">
        <f>IF($Y768&gt;0,VLOOKUP($J768,Ruimtegroepen[],3,FALSE)*VLOOKUP($K768,Vloersoorten[],3,FALSE)*VLOOKUP($X768,Frequenties[],3,FALSE)*VLOOKUP(#REF!,Locaties[],3,FALSE),0)</f>
        <v>0</v>
      </c>
      <c r="AA768" s="33"/>
      <c r="AB768" s="33"/>
      <c r="AC768" s="33">
        <f>Ruimtestaat[[#This Row],[uren / jaar weekend]]*Tariefsopbouw!$D$40</f>
        <v>0</v>
      </c>
      <c r="AD768" s="88">
        <f>Ruimtestaat[[#This Row],[Prest. (m2 /jaar) weekend]]+Ruimtestaat[[#This Row],[Prest. (m2 /jaar) werkdagen]]</f>
        <v>504</v>
      </c>
      <c r="AE768" s="88">
        <f>Ruimtestaat[[#This Row],[uren / jaar weekend]]+Ruimtestaat[[#This Row],[uren / jaar werkdagen]]</f>
        <v>0</v>
      </c>
      <c r="AF768" s="89">
        <f>Ruimtestaat[[#This Row],[kosten / jaar weekend]]+Ruimtestaat[[#This Row],[kosten / jaar werkdagen]]</f>
        <v>0</v>
      </c>
    </row>
    <row r="769" spans="1:32" ht="15" customHeight="1">
      <c r="A769" s="280">
        <v>6</v>
      </c>
      <c r="B769" s="21" t="str">
        <f>VLOOKUP(Ruimtestaat[[#This Row],[Code]],Locaties[#All],2,FALSE)</f>
        <v>SGC Tubbergen</v>
      </c>
      <c r="C769" s="281" t="str">
        <f>VLOOKUP(Ruimtestaat[[#This Row],[Code]],Locaties[#All],4,FALSE)</f>
        <v>Huyerenseweg 1</v>
      </c>
      <c r="D769" s="281" t="str">
        <f>VLOOKUP(Ruimtestaat[[#This Row],[Code]],Locaties[#All],5,FALSE)</f>
        <v>7651 LR</v>
      </c>
      <c r="E769" s="281" t="str">
        <f>VLOOKUP(Ruimtestaat[[#This Row],[Code]],Locaties[#All],6,FALSE)</f>
        <v>Tubbergen</v>
      </c>
      <c r="F769" s="282"/>
      <c r="G769" s="201" t="s">
        <v>942</v>
      </c>
      <c r="H769" s="280" t="s">
        <v>947</v>
      </c>
      <c r="I769" s="244" t="s">
        <v>508</v>
      </c>
      <c r="J769" s="281">
        <v>19</v>
      </c>
      <c r="K769" s="243" t="s">
        <v>1043</v>
      </c>
      <c r="L769" s="284" t="s">
        <v>997</v>
      </c>
      <c r="M769" s="213">
        <v>38.5</v>
      </c>
      <c r="N769" s="202"/>
      <c r="O769" s="243" t="str">
        <f>VLOOKUP(Ruimtestaat[[#This Row],[Ruimte code]],Ruimtegroepen[#All],4,FALSE)</f>
        <v>V  (Verkeersruimte)</v>
      </c>
      <c r="P769" s="214"/>
      <c r="Q769" s="215">
        <v>40</v>
      </c>
      <c r="R769" s="215" t="s">
        <v>2</v>
      </c>
      <c r="S769" s="215">
        <f>IF(R769&gt;0,IF(RIGHT(Ruimtestaat[[#This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69" s="215">
        <f>IF(S769&gt;0,VLOOKUP($J769,Ruimtegroepen[],3,FALSE)*VLOOKUP($K769,Vloersoorten[],3,FALSE)*VLOOKUP($R769,Frequenties[],3,FALSE)*VLOOKUP($A769,Locaties[],3,FALSE),0)</f>
        <v>0</v>
      </c>
      <c r="U769" s="215">
        <f>Ruimtestaat[[#This Row],[Uitvoeringen werkdagen]]*Ruimtestaat[[#This Row],[Oppervlak (netto)]]</f>
        <v>7700</v>
      </c>
      <c r="V769" s="259">
        <f>IF(T769&gt;0,Ruimtestaat[[#This Row],[Prest. (m2 /jaar) werkdagen]]/Ruimtestaat[[#This Row],[Norm (m2/uur) werkdagen]],0)</f>
        <v>0</v>
      </c>
      <c r="W769" s="260">
        <f>Ruimtestaat[[#This Row],[uren / jaar werkdagen]]*Tariefsopbouw!$D$38</f>
        <v>0</v>
      </c>
      <c r="X769" s="33"/>
      <c r="Y769" s="33">
        <f>IF(Ruimtestaat[[#This Row],[Frequentie weekend]]&gt;0,VALUE(LEFT(X769,1))*Q769,0)</f>
        <v>0</v>
      </c>
      <c r="Z769" s="33">
        <f>IF($Y769&gt;0,VLOOKUP($J769,Ruimtegroepen[],3,FALSE)*VLOOKUP($K769,Vloersoorten[],3,FALSE)*VLOOKUP($X769,Frequenties[],3,FALSE)*VLOOKUP(#REF!,Locaties[],3,FALSE),0)</f>
        <v>0</v>
      </c>
      <c r="AA769" s="33"/>
      <c r="AB769" s="33"/>
      <c r="AC769" s="33">
        <f>Ruimtestaat[[#This Row],[uren / jaar weekend]]*Tariefsopbouw!$D$40</f>
        <v>0</v>
      </c>
      <c r="AD769" s="88">
        <f>Ruimtestaat[[#This Row],[Prest. (m2 /jaar) weekend]]+Ruimtestaat[[#This Row],[Prest. (m2 /jaar) werkdagen]]</f>
        <v>7700</v>
      </c>
      <c r="AE769" s="88">
        <f>Ruimtestaat[[#This Row],[uren / jaar weekend]]+Ruimtestaat[[#This Row],[uren / jaar werkdagen]]</f>
        <v>0</v>
      </c>
      <c r="AF769" s="89">
        <f>Ruimtestaat[[#This Row],[kosten / jaar weekend]]+Ruimtestaat[[#This Row],[kosten / jaar werkdagen]]</f>
        <v>0</v>
      </c>
    </row>
    <row r="770" spans="1:32" ht="15" customHeight="1">
      <c r="A770" s="280">
        <v>6</v>
      </c>
      <c r="B770" s="21" t="str">
        <f>VLOOKUP(Ruimtestaat[[#This Row],[Code]],Locaties[#All],2,FALSE)</f>
        <v>SGC Tubbergen</v>
      </c>
      <c r="C770" s="281" t="str">
        <f>VLOOKUP(Ruimtestaat[[#This Row],[Code]],Locaties[#All],4,FALSE)</f>
        <v>Huyerenseweg 1</v>
      </c>
      <c r="D770" s="281" t="str">
        <f>VLOOKUP(Ruimtestaat[[#This Row],[Code]],Locaties[#All],5,FALSE)</f>
        <v>7651 LR</v>
      </c>
      <c r="E770" s="281" t="str">
        <f>VLOOKUP(Ruimtestaat[[#This Row],[Code]],Locaties[#All],6,FALSE)</f>
        <v>Tubbergen</v>
      </c>
      <c r="F770" s="282"/>
      <c r="G770" s="201" t="s">
        <v>942</v>
      </c>
      <c r="H770" s="280" t="s">
        <v>947</v>
      </c>
      <c r="I770" s="244" t="s">
        <v>721</v>
      </c>
      <c r="J770" s="200">
        <v>5</v>
      </c>
      <c r="K770" s="243" t="s">
        <v>1043</v>
      </c>
      <c r="L770" s="284" t="s">
        <v>997</v>
      </c>
      <c r="M770" s="213">
        <v>1.2</v>
      </c>
      <c r="N770" s="213"/>
      <c r="O770" s="243" t="str">
        <f>VLOOKUP(Ruimtestaat[[#This Row],[Ruimte code]],Ruimtegroepen[#All],4,FALSE)</f>
        <v>S  (Sanitair)</v>
      </c>
      <c r="P770" s="214"/>
      <c r="Q770" s="215">
        <v>40</v>
      </c>
      <c r="R770" s="215" t="s">
        <v>2</v>
      </c>
      <c r="S770" s="215">
        <f>IF(R770&gt;0,IF(RIGHT(Ruimtestaat[[#This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0" s="215">
        <f>IF(S770&gt;0,VLOOKUP($J770,Ruimtegroepen[],3,FALSE)*VLOOKUP($K770,Vloersoorten[],3,FALSE)*VLOOKUP($R770,Frequenties[],3,FALSE)*VLOOKUP($A770,Locaties[],3,FALSE),0)</f>
        <v>0</v>
      </c>
      <c r="U770" s="215">
        <f>Ruimtestaat[[#This Row],[Uitvoeringen werkdagen]]*Ruimtestaat[[#This Row],[Oppervlak (netto)]]</f>
        <v>240</v>
      </c>
      <c r="V770" s="259">
        <f>IF(T770&gt;0,Ruimtestaat[[#This Row],[Prest. (m2 /jaar) werkdagen]]/Ruimtestaat[[#This Row],[Norm (m2/uur) werkdagen]],0)</f>
        <v>0</v>
      </c>
      <c r="W770" s="260">
        <f>Ruimtestaat[[#This Row],[uren / jaar werkdagen]]*Tariefsopbouw!$D$38</f>
        <v>0</v>
      </c>
      <c r="X770" s="33"/>
      <c r="Y770" s="33">
        <f>IF(Ruimtestaat[[#This Row],[Frequentie weekend]]&gt;0,VALUE(LEFT(X770,1))*Q770,0)</f>
        <v>0</v>
      </c>
      <c r="Z770" s="33">
        <f>IF($Y770&gt;0,VLOOKUP($J770,Ruimtegroepen[],3,FALSE)*VLOOKUP($K770,Vloersoorten[],3,FALSE)*VLOOKUP($X770,Frequenties[],3,FALSE)*VLOOKUP(#REF!,Locaties[],3,FALSE),0)</f>
        <v>0</v>
      </c>
      <c r="AA770" s="33"/>
      <c r="AB770" s="33"/>
      <c r="AC770" s="33">
        <f>Ruimtestaat[[#This Row],[uren / jaar weekend]]*Tariefsopbouw!$D$40</f>
        <v>0</v>
      </c>
      <c r="AD770" s="88">
        <f>Ruimtestaat[[#This Row],[Prest. (m2 /jaar) weekend]]+Ruimtestaat[[#This Row],[Prest. (m2 /jaar) werkdagen]]</f>
        <v>240</v>
      </c>
      <c r="AE770" s="88">
        <f>Ruimtestaat[[#This Row],[uren / jaar weekend]]+Ruimtestaat[[#This Row],[uren / jaar werkdagen]]</f>
        <v>0</v>
      </c>
      <c r="AF770" s="89">
        <f>Ruimtestaat[[#This Row],[kosten / jaar weekend]]+Ruimtestaat[[#This Row],[kosten / jaar werkdagen]]</f>
        <v>0</v>
      </c>
    </row>
    <row r="771" spans="1:32" ht="15" customHeight="1">
      <c r="A771" s="280">
        <v>6</v>
      </c>
      <c r="B771" s="21" t="str">
        <f>VLOOKUP(Ruimtestaat[[#This Row],[Code]],Locaties[#All],2,FALSE)</f>
        <v>SGC Tubbergen</v>
      </c>
      <c r="C771" s="281" t="str">
        <f>VLOOKUP(Ruimtestaat[[#This Row],[Code]],Locaties[#All],4,FALSE)</f>
        <v>Huyerenseweg 1</v>
      </c>
      <c r="D771" s="281" t="str">
        <f>VLOOKUP(Ruimtestaat[[#This Row],[Code]],Locaties[#All],5,FALSE)</f>
        <v>7651 LR</v>
      </c>
      <c r="E771" s="281" t="str">
        <f>VLOOKUP(Ruimtestaat[[#This Row],[Code]],Locaties[#All],6,FALSE)</f>
        <v>Tubbergen</v>
      </c>
      <c r="F771" s="282"/>
      <c r="G771" s="201" t="s">
        <v>942</v>
      </c>
      <c r="H771" s="280"/>
      <c r="I771" s="244" t="s">
        <v>40</v>
      </c>
      <c r="J771" s="200">
        <v>7</v>
      </c>
      <c r="K771" s="243" t="s">
        <v>1040</v>
      </c>
      <c r="L771" s="284" t="s">
        <v>999</v>
      </c>
      <c r="M771" s="213">
        <v>7</v>
      </c>
      <c r="N771" s="202"/>
      <c r="O771" s="243" t="str">
        <f>VLOOKUP(Ruimtestaat[[#This Row],[Ruimte code]],Ruimtegroepen[#All],4,FALSE)</f>
        <v>V  (Verkeersruimte)</v>
      </c>
      <c r="P771" s="214"/>
      <c r="Q771" s="215">
        <v>40</v>
      </c>
      <c r="R771" s="215" t="s">
        <v>2</v>
      </c>
      <c r="S771" s="215">
        <f>IF(R771&gt;0,IF(RIGHT(Ruimtestaat[[#This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1" s="215">
        <f>IF(S771&gt;0,VLOOKUP($J771,Ruimtegroepen[],3,FALSE)*VLOOKUP($K771,Vloersoorten[],3,FALSE)*VLOOKUP($R771,Frequenties[],3,FALSE)*VLOOKUP($A771,Locaties[],3,FALSE),0)</f>
        <v>0</v>
      </c>
      <c r="U771" s="215">
        <f>Ruimtestaat[[#This Row],[Uitvoeringen werkdagen]]*Ruimtestaat[[#This Row],[Oppervlak (netto)]]</f>
        <v>1400</v>
      </c>
      <c r="V771" s="259">
        <f>IF(T771&gt;0,Ruimtestaat[[#This Row],[Prest. (m2 /jaar) werkdagen]]/Ruimtestaat[[#This Row],[Norm (m2/uur) werkdagen]],0)</f>
        <v>0</v>
      </c>
      <c r="W771" s="260">
        <f>Ruimtestaat[[#This Row],[uren / jaar werkdagen]]*Tariefsopbouw!$D$38</f>
        <v>0</v>
      </c>
      <c r="X771" s="33"/>
      <c r="Y771" s="33">
        <f>IF(Ruimtestaat[[#This Row],[Frequentie weekend]]&gt;0,VALUE(LEFT(X771,1))*Q771,0)</f>
        <v>0</v>
      </c>
      <c r="Z771" s="33">
        <f>IF($Y771&gt;0,VLOOKUP($J771,Ruimtegroepen[],3,FALSE)*VLOOKUP($K771,Vloersoorten[],3,FALSE)*VLOOKUP($X771,Frequenties[],3,FALSE)*VLOOKUP(#REF!,Locaties[],3,FALSE),0)</f>
        <v>0</v>
      </c>
      <c r="AA771" s="33"/>
      <c r="AB771" s="33"/>
      <c r="AC771" s="33">
        <f>Ruimtestaat[[#This Row],[uren / jaar weekend]]*Tariefsopbouw!$D$40</f>
        <v>0</v>
      </c>
      <c r="AD771" s="88">
        <f>Ruimtestaat[[#This Row],[Prest. (m2 /jaar) weekend]]+Ruimtestaat[[#This Row],[Prest. (m2 /jaar) werkdagen]]</f>
        <v>1400</v>
      </c>
      <c r="AE771" s="88">
        <f>Ruimtestaat[[#This Row],[uren / jaar weekend]]+Ruimtestaat[[#This Row],[uren / jaar werkdagen]]</f>
        <v>0</v>
      </c>
      <c r="AF771" s="89">
        <f>Ruimtestaat[[#This Row],[kosten / jaar weekend]]+Ruimtestaat[[#This Row],[kosten / jaar werkdagen]]</f>
        <v>0</v>
      </c>
    </row>
    <row r="772" spans="1:32" ht="15" customHeight="1">
      <c r="A772" s="280">
        <v>6</v>
      </c>
      <c r="B772" s="21" t="str">
        <f>VLOOKUP(Ruimtestaat[[#This Row],[Code]],Locaties[#All],2,FALSE)</f>
        <v>SGC Tubbergen</v>
      </c>
      <c r="C772" s="281" t="str">
        <f>VLOOKUP(Ruimtestaat[[#This Row],[Code]],Locaties[#All],4,FALSE)</f>
        <v>Huyerenseweg 1</v>
      </c>
      <c r="D772" s="281" t="str">
        <f>VLOOKUP(Ruimtestaat[[#This Row],[Code]],Locaties[#All],5,FALSE)</f>
        <v>7651 LR</v>
      </c>
      <c r="E772" s="281" t="str">
        <f>VLOOKUP(Ruimtestaat[[#This Row],[Code]],Locaties[#All],6,FALSE)</f>
        <v>Tubbergen</v>
      </c>
      <c r="F772" s="282"/>
      <c r="G772" s="201" t="s">
        <v>942</v>
      </c>
      <c r="H772" s="280"/>
      <c r="I772" s="244" t="s">
        <v>40</v>
      </c>
      <c r="J772" s="200">
        <v>7</v>
      </c>
      <c r="K772" s="243" t="s">
        <v>1040</v>
      </c>
      <c r="L772" s="284" t="s">
        <v>999</v>
      </c>
      <c r="M772" s="213">
        <v>30.6</v>
      </c>
      <c r="N772" s="202"/>
      <c r="O772" s="243" t="str">
        <f>VLOOKUP(Ruimtestaat[[#This Row],[Ruimte code]],Ruimtegroepen[#All],4,FALSE)</f>
        <v>V  (Verkeersruimte)</v>
      </c>
      <c r="P772" s="214"/>
      <c r="Q772" s="215">
        <v>40</v>
      </c>
      <c r="R772" s="215" t="s">
        <v>2</v>
      </c>
      <c r="S772" s="215">
        <f>IF(R772&gt;0,IF(RIGHT(Ruimtestaat[[#This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2" s="215">
        <f>IF(S772&gt;0,VLOOKUP($J772,Ruimtegroepen[],3,FALSE)*VLOOKUP($K772,Vloersoorten[],3,FALSE)*VLOOKUP($R772,Frequenties[],3,FALSE)*VLOOKUP($A772,Locaties[],3,FALSE),0)</f>
        <v>0</v>
      </c>
      <c r="U772" s="215">
        <f>Ruimtestaat[[#This Row],[Uitvoeringen werkdagen]]*Ruimtestaat[[#This Row],[Oppervlak (netto)]]</f>
        <v>6120</v>
      </c>
      <c r="V772" s="259">
        <f>IF(T772&gt;0,Ruimtestaat[[#This Row],[Prest. (m2 /jaar) werkdagen]]/Ruimtestaat[[#This Row],[Norm (m2/uur) werkdagen]],0)</f>
        <v>0</v>
      </c>
      <c r="W772" s="260">
        <f>Ruimtestaat[[#This Row],[uren / jaar werkdagen]]*Tariefsopbouw!$D$38</f>
        <v>0</v>
      </c>
      <c r="X772" s="33"/>
      <c r="Y772" s="33">
        <f>IF(Ruimtestaat[[#This Row],[Frequentie weekend]]&gt;0,VALUE(LEFT(X772,1))*Q772,0)</f>
        <v>0</v>
      </c>
      <c r="Z772" s="33">
        <f>IF($Y772&gt;0,VLOOKUP($J772,Ruimtegroepen[],3,FALSE)*VLOOKUP($K772,Vloersoorten[],3,FALSE)*VLOOKUP($X772,Frequenties[],3,FALSE)*VLOOKUP(#REF!,Locaties[],3,FALSE),0)</f>
        <v>0</v>
      </c>
      <c r="AA772" s="33"/>
      <c r="AB772" s="33"/>
      <c r="AC772" s="33">
        <f>Ruimtestaat[[#This Row],[uren / jaar weekend]]*Tariefsopbouw!$D$40</f>
        <v>0</v>
      </c>
      <c r="AD772" s="88">
        <f>Ruimtestaat[[#This Row],[Prest. (m2 /jaar) weekend]]+Ruimtestaat[[#This Row],[Prest. (m2 /jaar) werkdagen]]</f>
        <v>6120</v>
      </c>
      <c r="AE772" s="88">
        <f>Ruimtestaat[[#This Row],[uren / jaar weekend]]+Ruimtestaat[[#This Row],[uren / jaar werkdagen]]</f>
        <v>0</v>
      </c>
      <c r="AF772" s="89">
        <f>Ruimtestaat[[#This Row],[kosten / jaar weekend]]+Ruimtestaat[[#This Row],[kosten / jaar werkdagen]]</f>
        <v>0</v>
      </c>
    </row>
    <row r="773" spans="1:32" ht="15" customHeight="1">
      <c r="A773" s="280">
        <v>6</v>
      </c>
      <c r="B773" s="21" t="str">
        <f>VLOOKUP(Ruimtestaat[[#This Row],[Code]],Locaties[#All],2,FALSE)</f>
        <v>SGC Tubbergen</v>
      </c>
      <c r="C773" s="281" t="str">
        <f>VLOOKUP(Ruimtestaat[[#This Row],[Code]],Locaties[#All],4,FALSE)</f>
        <v>Huyerenseweg 1</v>
      </c>
      <c r="D773" s="281" t="str">
        <f>VLOOKUP(Ruimtestaat[[#This Row],[Code]],Locaties[#All],5,FALSE)</f>
        <v>7651 LR</v>
      </c>
      <c r="E773" s="281" t="str">
        <f>VLOOKUP(Ruimtestaat[[#This Row],[Code]],Locaties[#All],6,FALSE)</f>
        <v>Tubbergen</v>
      </c>
      <c r="F773" s="282"/>
      <c r="G773" s="201" t="s">
        <v>942</v>
      </c>
      <c r="H773" s="280"/>
      <c r="I773" s="244" t="s">
        <v>469</v>
      </c>
      <c r="J773" s="200">
        <v>6</v>
      </c>
      <c r="K773" s="243" t="s">
        <v>1041</v>
      </c>
      <c r="L773" s="284" t="s">
        <v>998</v>
      </c>
      <c r="M773" s="213">
        <v>50</v>
      </c>
      <c r="N773" s="202"/>
      <c r="O773" s="243" t="str">
        <f>VLOOKUP(Ruimtestaat[[#This Row],[Ruimte code]],Ruimtegroepen[#All],4,FALSE)</f>
        <v>V  (Verkeersruimte)</v>
      </c>
      <c r="P773" s="214"/>
      <c r="Q773" s="215">
        <v>40</v>
      </c>
      <c r="R773" s="215" t="s">
        <v>2</v>
      </c>
      <c r="S773" s="215">
        <f>IF(R773&gt;0,IF(RIGHT(Ruimtestaat[[#This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3" s="215">
        <f>IF(S773&gt;0,VLOOKUP($J773,Ruimtegroepen[],3,FALSE)*VLOOKUP($K773,Vloersoorten[],3,FALSE)*VLOOKUP($R773,Frequenties[],3,FALSE)*VLOOKUP($A773,Locaties[],3,FALSE),0)</f>
        <v>0</v>
      </c>
      <c r="U773" s="215">
        <f>Ruimtestaat[[#This Row],[Uitvoeringen werkdagen]]*Ruimtestaat[[#This Row],[Oppervlak (netto)]]</f>
        <v>10000</v>
      </c>
      <c r="V773" s="259">
        <f>IF(T773&gt;0,Ruimtestaat[[#This Row],[Prest. (m2 /jaar) werkdagen]]/Ruimtestaat[[#This Row],[Norm (m2/uur) werkdagen]],0)</f>
        <v>0</v>
      </c>
      <c r="W773" s="260">
        <f>Ruimtestaat[[#This Row],[uren / jaar werkdagen]]*Tariefsopbouw!$D$38</f>
        <v>0</v>
      </c>
      <c r="X773" s="33"/>
      <c r="Y773" s="33">
        <f>IF(Ruimtestaat[[#This Row],[Frequentie weekend]]&gt;0,VALUE(LEFT(X773,1))*Q773,0)</f>
        <v>0</v>
      </c>
      <c r="Z773" s="33">
        <f>IF($Y773&gt;0,VLOOKUP($J773,Ruimtegroepen[],3,FALSE)*VLOOKUP($K773,Vloersoorten[],3,FALSE)*VLOOKUP($X773,Frequenties[],3,FALSE)*VLOOKUP(#REF!,Locaties[],3,FALSE),0)</f>
        <v>0</v>
      </c>
      <c r="AA773" s="33"/>
      <c r="AB773" s="33"/>
      <c r="AC773" s="33">
        <f>Ruimtestaat[[#This Row],[uren / jaar weekend]]*Tariefsopbouw!$D$40</f>
        <v>0</v>
      </c>
      <c r="AD773" s="88">
        <f>Ruimtestaat[[#This Row],[Prest. (m2 /jaar) weekend]]+Ruimtestaat[[#This Row],[Prest. (m2 /jaar) werkdagen]]</f>
        <v>10000</v>
      </c>
      <c r="AE773" s="88">
        <f>Ruimtestaat[[#This Row],[uren / jaar weekend]]+Ruimtestaat[[#This Row],[uren / jaar werkdagen]]</f>
        <v>0</v>
      </c>
      <c r="AF773" s="89">
        <f>Ruimtestaat[[#This Row],[kosten / jaar weekend]]+Ruimtestaat[[#This Row],[kosten / jaar werkdagen]]</f>
        <v>0</v>
      </c>
    </row>
    <row r="774" spans="1:32" ht="15" customHeight="1">
      <c r="A774" s="280">
        <v>6</v>
      </c>
      <c r="B774" s="21" t="str">
        <f>VLOOKUP(Ruimtestaat[[#This Row],[Code]],Locaties[#All],2,FALSE)</f>
        <v>SGC Tubbergen</v>
      </c>
      <c r="C774" s="281" t="str">
        <f>VLOOKUP(Ruimtestaat[[#This Row],[Code]],Locaties[#All],4,FALSE)</f>
        <v>Huyerenseweg 1</v>
      </c>
      <c r="D774" s="281" t="str">
        <f>VLOOKUP(Ruimtestaat[[#This Row],[Code]],Locaties[#All],5,FALSE)</f>
        <v>7651 LR</v>
      </c>
      <c r="E774" s="281" t="str">
        <f>VLOOKUP(Ruimtestaat[[#This Row],[Code]],Locaties[#All],6,FALSE)</f>
        <v>Tubbergen</v>
      </c>
      <c r="F774" s="282"/>
      <c r="G774" s="201" t="s">
        <v>942</v>
      </c>
      <c r="H774" s="280"/>
      <c r="I774" s="244" t="s">
        <v>469</v>
      </c>
      <c r="J774" s="200">
        <v>6</v>
      </c>
      <c r="K774" s="243" t="s">
        <v>1043</v>
      </c>
      <c r="L774" s="284" t="s">
        <v>997</v>
      </c>
      <c r="M774" s="213">
        <v>154</v>
      </c>
      <c r="N774" s="202"/>
      <c r="O774" s="243" t="str">
        <f>VLOOKUP(Ruimtestaat[[#This Row],[Ruimte code]],Ruimtegroepen[#All],4,FALSE)</f>
        <v>V  (Verkeersruimte)</v>
      </c>
      <c r="P774" s="214"/>
      <c r="Q774" s="215">
        <v>40</v>
      </c>
      <c r="R774" s="215" t="s">
        <v>2</v>
      </c>
      <c r="S774" s="215">
        <f>IF(R774&gt;0,IF(RIGHT(Ruimtestaat[[#This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4" s="215">
        <f>IF(S774&gt;0,VLOOKUP($J774,Ruimtegroepen[],3,FALSE)*VLOOKUP($K774,Vloersoorten[],3,FALSE)*VLOOKUP($R774,Frequenties[],3,FALSE)*VLOOKUP($A774,Locaties[],3,FALSE),0)</f>
        <v>0</v>
      </c>
      <c r="U774" s="215">
        <f>Ruimtestaat[[#This Row],[Uitvoeringen werkdagen]]*Ruimtestaat[[#This Row],[Oppervlak (netto)]]</f>
        <v>30800</v>
      </c>
      <c r="V774" s="259">
        <f>IF(T774&gt;0,Ruimtestaat[[#This Row],[Prest. (m2 /jaar) werkdagen]]/Ruimtestaat[[#This Row],[Norm (m2/uur) werkdagen]],0)</f>
        <v>0</v>
      </c>
      <c r="W774" s="260">
        <f>Ruimtestaat[[#This Row],[uren / jaar werkdagen]]*Tariefsopbouw!$D$38</f>
        <v>0</v>
      </c>
      <c r="X774" s="33"/>
      <c r="Y774" s="33">
        <f>IF(Ruimtestaat[[#This Row],[Frequentie weekend]]&gt;0,VALUE(LEFT(X774,1))*Q774,0)</f>
        <v>0</v>
      </c>
      <c r="Z774" s="33">
        <f>IF($Y774&gt;0,VLOOKUP($J774,Ruimtegroepen[],3,FALSE)*VLOOKUP($K774,Vloersoorten[],3,FALSE)*VLOOKUP($X774,Frequenties[],3,FALSE)*VLOOKUP(#REF!,Locaties[],3,FALSE),0)</f>
        <v>0</v>
      </c>
      <c r="AA774" s="33"/>
      <c r="AB774" s="33"/>
      <c r="AC774" s="33">
        <f>Ruimtestaat[[#This Row],[uren / jaar weekend]]*Tariefsopbouw!$D$40</f>
        <v>0</v>
      </c>
      <c r="AD774" s="88">
        <f>Ruimtestaat[[#This Row],[Prest. (m2 /jaar) weekend]]+Ruimtestaat[[#This Row],[Prest. (m2 /jaar) werkdagen]]</f>
        <v>30800</v>
      </c>
      <c r="AE774" s="88">
        <f>Ruimtestaat[[#This Row],[uren / jaar weekend]]+Ruimtestaat[[#This Row],[uren / jaar werkdagen]]</f>
        <v>0</v>
      </c>
      <c r="AF774" s="89">
        <f>Ruimtestaat[[#This Row],[kosten / jaar weekend]]+Ruimtestaat[[#This Row],[kosten / jaar werkdagen]]</f>
        <v>0</v>
      </c>
    </row>
    <row r="775" spans="1:32" ht="15" customHeight="1">
      <c r="A775" s="280">
        <v>6</v>
      </c>
      <c r="B775" s="21" t="str">
        <f>VLOOKUP(Ruimtestaat[[#This Row],[Code]],Locaties[#All],2,FALSE)</f>
        <v>SGC Tubbergen</v>
      </c>
      <c r="C775" s="281" t="str">
        <f>VLOOKUP(Ruimtestaat[[#This Row],[Code]],Locaties[#All],4,FALSE)</f>
        <v>Huyerenseweg 1</v>
      </c>
      <c r="D775" s="281" t="str">
        <f>VLOOKUP(Ruimtestaat[[#This Row],[Code]],Locaties[#All],5,FALSE)</f>
        <v>7651 LR</v>
      </c>
      <c r="E775" s="281" t="str">
        <f>VLOOKUP(Ruimtestaat[[#This Row],[Code]],Locaties[#All],6,FALSE)</f>
        <v>Tubbergen</v>
      </c>
      <c r="F775" s="282"/>
      <c r="G775" s="201" t="s">
        <v>942</v>
      </c>
      <c r="H775" s="280"/>
      <c r="I775" s="244" t="s">
        <v>741</v>
      </c>
      <c r="J775" s="281">
        <v>12</v>
      </c>
      <c r="K775" s="243" t="s">
        <v>1043</v>
      </c>
      <c r="L775" s="284" t="s">
        <v>997</v>
      </c>
      <c r="M775" s="213">
        <v>729</v>
      </c>
      <c r="N775" s="202"/>
      <c r="O775" s="243" t="str">
        <f>VLOOKUP(Ruimtestaat[[#This Row],[Ruimte code]],Ruimtegroepen[#All],4,FALSE)</f>
        <v>V  (Verkeersruimte)</v>
      </c>
      <c r="P775" s="214"/>
      <c r="Q775" s="215">
        <v>40</v>
      </c>
      <c r="R775" s="215" t="s">
        <v>2</v>
      </c>
      <c r="S775" s="215">
        <f>IF(R775&gt;0,IF(RIGHT(Ruimtestaat[[#This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5" s="215">
        <f>IF(S775&gt;0,VLOOKUP($J775,Ruimtegroepen[],3,FALSE)*VLOOKUP($K775,Vloersoorten[],3,FALSE)*VLOOKUP($R775,Frequenties[],3,FALSE)*VLOOKUP($A775,Locaties[],3,FALSE),0)</f>
        <v>0</v>
      </c>
      <c r="U775" s="215">
        <f>Ruimtestaat[[#This Row],[Uitvoeringen werkdagen]]*Ruimtestaat[[#This Row],[Oppervlak (netto)]]</f>
        <v>145800</v>
      </c>
      <c r="V775" s="259">
        <f>IF(T775&gt;0,Ruimtestaat[[#This Row],[Prest. (m2 /jaar) werkdagen]]/Ruimtestaat[[#This Row],[Norm (m2/uur) werkdagen]],0)</f>
        <v>0</v>
      </c>
      <c r="W775" s="260">
        <f>Ruimtestaat[[#This Row],[uren / jaar werkdagen]]*Tariefsopbouw!$D$38</f>
        <v>0</v>
      </c>
      <c r="X775" s="33"/>
      <c r="Y775" s="33">
        <f>IF(Ruimtestaat[[#This Row],[Frequentie weekend]]&gt;0,VALUE(LEFT(X775,1))*Q775,0)</f>
        <v>0</v>
      </c>
      <c r="Z775" s="33">
        <f>IF($Y775&gt;0,VLOOKUP($J775,Ruimtegroepen[],3,FALSE)*VLOOKUP($K775,Vloersoorten[],3,FALSE)*VLOOKUP($X775,Frequenties[],3,FALSE)*VLOOKUP(#REF!,Locaties[],3,FALSE),0)</f>
        <v>0</v>
      </c>
      <c r="AA775" s="33"/>
      <c r="AB775" s="33"/>
      <c r="AC775" s="33">
        <f>Ruimtestaat[[#This Row],[uren / jaar weekend]]*Tariefsopbouw!$D$40</f>
        <v>0</v>
      </c>
      <c r="AD775" s="88">
        <f>Ruimtestaat[[#This Row],[Prest. (m2 /jaar) weekend]]+Ruimtestaat[[#This Row],[Prest. (m2 /jaar) werkdagen]]</f>
        <v>145800</v>
      </c>
      <c r="AE775" s="88">
        <f>Ruimtestaat[[#This Row],[uren / jaar weekend]]+Ruimtestaat[[#This Row],[uren / jaar werkdagen]]</f>
        <v>0</v>
      </c>
      <c r="AF775" s="89">
        <f>Ruimtestaat[[#This Row],[kosten / jaar weekend]]+Ruimtestaat[[#This Row],[kosten / jaar werkdagen]]</f>
        <v>0</v>
      </c>
    </row>
    <row r="776" spans="1:32" ht="15" customHeight="1">
      <c r="A776" s="280">
        <v>6</v>
      </c>
      <c r="B776" s="21" t="str">
        <f>VLOOKUP(Ruimtestaat[[#This Row],[Code]],Locaties[#All],2,FALSE)</f>
        <v>SGC Tubbergen</v>
      </c>
      <c r="C776" s="281" t="str">
        <f>VLOOKUP(Ruimtestaat[[#This Row],[Code]],Locaties[#All],4,FALSE)</f>
        <v>Huyerenseweg 1</v>
      </c>
      <c r="D776" s="281" t="str">
        <f>VLOOKUP(Ruimtestaat[[#This Row],[Code]],Locaties[#All],5,FALSE)</f>
        <v>7651 LR</v>
      </c>
      <c r="E776" s="281" t="str">
        <f>VLOOKUP(Ruimtestaat[[#This Row],[Code]],Locaties[#All],6,FALSE)</f>
        <v>Tubbergen</v>
      </c>
      <c r="F776" s="282"/>
      <c r="G776" s="201" t="s">
        <v>942</v>
      </c>
      <c r="H776" s="280"/>
      <c r="I776" s="244" t="s">
        <v>469</v>
      </c>
      <c r="J776" s="281">
        <v>6</v>
      </c>
      <c r="K776" s="243" t="s">
        <v>1043</v>
      </c>
      <c r="L776" s="284" t="s">
        <v>997</v>
      </c>
      <c r="M776" s="213">
        <v>49</v>
      </c>
      <c r="N776" s="202"/>
      <c r="O776" s="243" t="str">
        <f>VLOOKUP(Ruimtestaat[[#This Row],[Ruimte code]],Ruimtegroepen[#All],4,FALSE)</f>
        <v>V  (Verkeersruimte)</v>
      </c>
      <c r="P776" s="214"/>
      <c r="Q776" s="215">
        <v>40</v>
      </c>
      <c r="R776" s="215" t="s">
        <v>2</v>
      </c>
      <c r="S776" s="215">
        <f>IF(R776&gt;0,IF(RIGHT(Ruimtestaat[[#This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6" s="215">
        <f>IF(S776&gt;0,VLOOKUP($J776,Ruimtegroepen[],3,FALSE)*VLOOKUP($K776,Vloersoorten[],3,FALSE)*VLOOKUP($R776,Frequenties[],3,FALSE)*VLOOKUP($A776,Locaties[],3,FALSE),0)</f>
        <v>0</v>
      </c>
      <c r="U776" s="215">
        <f>Ruimtestaat[[#This Row],[Uitvoeringen werkdagen]]*Ruimtestaat[[#This Row],[Oppervlak (netto)]]</f>
        <v>9800</v>
      </c>
      <c r="V776" s="259">
        <f>IF(T776&gt;0,Ruimtestaat[[#This Row],[Prest. (m2 /jaar) werkdagen]]/Ruimtestaat[[#This Row],[Norm (m2/uur) werkdagen]],0)</f>
        <v>0</v>
      </c>
      <c r="W776" s="260">
        <f>Ruimtestaat[[#This Row],[uren / jaar werkdagen]]*Tariefsopbouw!$D$38</f>
        <v>0</v>
      </c>
      <c r="X776" s="33"/>
      <c r="Y776" s="33">
        <f>IF(Ruimtestaat[[#This Row],[Frequentie weekend]]&gt;0,VALUE(LEFT(X776,1))*Q776,0)</f>
        <v>0</v>
      </c>
      <c r="Z776" s="33">
        <f>IF($Y776&gt;0,VLOOKUP($J776,Ruimtegroepen[],3,FALSE)*VLOOKUP($K776,Vloersoorten[],3,FALSE)*VLOOKUP($X776,Frequenties[],3,FALSE)*VLOOKUP(#REF!,Locaties[],3,FALSE),0)</f>
        <v>0</v>
      </c>
      <c r="AA776" s="33"/>
      <c r="AB776" s="33"/>
      <c r="AC776" s="33">
        <f>Ruimtestaat[[#This Row],[uren / jaar weekend]]*Tariefsopbouw!$D$40</f>
        <v>0</v>
      </c>
      <c r="AD776" s="88">
        <f>Ruimtestaat[[#This Row],[Prest. (m2 /jaar) weekend]]+Ruimtestaat[[#This Row],[Prest. (m2 /jaar) werkdagen]]</f>
        <v>9800</v>
      </c>
      <c r="AE776" s="88">
        <f>Ruimtestaat[[#This Row],[uren / jaar weekend]]+Ruimtestaat[[#This Row],[uren / jaar werkdagen]]</f>
        <v>0</v>
      </c>
      <c r="AF776" s="89">
        <f>Ruimtestaat[[#This Row],[kosten / jaar weekend]]+Ruimtestaat[[#This Row],[kosten / jaar werkdagen]]</f>
        <v>0</v>
      </c>
    </row>
    <row r="777" spans="1:32" ht="15" customHeight="1">
      <c r="A777" s="280">
        <v>6</v>
      </c>
      <c r="B777" s="21" t="str">
        <f>VLOOKUP(Ruimtestaat[[#This Row],[Code]],Locaties[#All],2,FALSE)</f>
        <v>SGC Tubbergen</v>
      </c>
      <c r="C777" s="281" t="str">
        <f>VLOOKUP(Ruimtestaat[[#This Row],[Code]],Locaties[#All],4,FALSE)</f>
        <v>Huyerenseweg 1</v>
      </c>
      <c r="D777" s="281" t="str">
        <f>VLOOKUP(Ruimtestaat[[#This Row],[Code]],Locaties[#All],5,FALSE)</f>
        <v>7651 LR</v>
      </c>
      <c r="E777" s="281" t="str">
        <f>VLOOKUP(Ruimtestaat[[#This Row],[Code]],Locaties[#All],6,FALSE)</f>
        <v>Tubbergen</v>
      </c>
      <c r="F777" s="282"/>
      <c r="G777" s="201" t="s">
        <v>942</v>
      </c>
      <c r="H777" s="280"/>
      <c r="I777" s="244" t="s">
        <v>721</v>
      </c>
      <c r="J777" s="243">
        <v>5</v>
      </c>
      <c r="K777" s="243" t="s">
        <v>1043</v>
      </c>
      <c r="L777" s="284" t="s">
        <v>997</v>
      </c>
      <c r="M777" s="213">
        <v>10.6</v>
      </c>
      <c r="N777" s="202"/>
      <c r="O777" s="243" t="str">
        <f>VLOOKUP(Ruimtestaat[[#This Row],[Ruimte code]],Ruimtegroepen[#All],4,FALSE)</f>
        <v>S  (Sanitair)</v>
      </c>
      <c r="P777" s="214"/>
      <c r="Q777" s="215">
        <v>40</v>
      </c>
      <c r="R777" s="215" t="s">
        <v>2</v>
      </c>
      <c r="S777" s="215">
        <f>IF(R777&gt;0,IF(RIGHT(Ruimtestaat[[#This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7" s="215">
        <f>IF(S777&gt;0,VLOOKUP($J777,Ruimtegroepen[],3,FALSE)*VLOOKUP($K777,Vloersoorten[],3,FALSE)*VLOOKUP($R777,Frequenties[],3,FALSE)*VLOOKUP($A777,Locaties[],3,FALSE),0)</f>
        <v>0</v>
      </c>
      <c r="U777" s="215">
        <f>Ruimtestaat[[#This Row],[Uitvoeringen werkdagen]]*Ruimtestaat[[#This Row],[Oppervlak (netto)]]</f>
        <v>2120</v>
      </c>
      <c r="V777" s="259">
        <f>IF(T777&gt;0,Ruimtestaat[[#This Row],[Prest. (m2 /jaar) werkdagen]]/Ruimtestaat[[#This Row],[Norm (m2/uur) werkdagen]],0)</f>
        <v>0</v>
      </c>
      <c r="W777" s="260">
        <f>Ruimtestaat[[#This Row],[uren / jaar werkdagen]]*Tariefsopbouw!$D$38</f>
        <v>0</v>
      </c>
      <c r="X777" s="33"/>
      <c r="Y777" s="33">
        <f>IF(Ruimtestaat[[#This Row],[Frequentie weekend]]&gt;0,VALUE(LEFT(X777,1))*Q777,0)</f>
        <v>0</v>
      </c>
      <c r="Z777" s="33">
        <f>IF($Y777&gt;0,VLOOKUP($J777,Ruimtegroepen[],3,FALSE)*VLOOKUP($K777,Vloersoorten[],3,FALSE)*VLOOKUP($X777,Frequenties[],3,FALSE)*VLOOKUP(#REF!,Locaties[],3,FALSE),0)</f>
        <v>0</v>
      </c>
      <c r="AA777" s="33"/>
      <c r="AB777" s="33"/>
      <c r="AC777" s="33">
        <f>Ruimtestaat[[#This Row],[uren / jaar weekend]]*Tariefsopbouw!$D$40</f>
        <v>0</v>
      </c>
      <c r="AD777" s="88">
        <f>Ruimtestaat[[#This Row],[Prest. (m2 /jaar) weekend]]+Ruimtestaat[[#This Row],[Prest. (m2 /jaar) werkdagen]]</f>
        <v>2120</v>
      </c>
      <c r="AE777" s="88">
        <f>Ruimtestaat[[#This Row],[uren / jaar weekend]]+Ruimtestaat[[#This Row],[uren / jaar werkdagen]]</f>
        <v>0</v>
      </c>
      <c r="AF777" s="89">
        <f>Ruimtestaat[[#This Row],[kosten / jaar weekend]]+Ruimtestaat[[#This Row],[kosten / jaar werkdagen]]</f>
        <v>0</v>
      </c>
    </row>
    <row r="778" spans="1:32" ht="15" customHeight="1">
      <c r="A778" s="280">
        <v>6</v>
      </c>
      <c r="B778" s="21" t="str">
        <f>VLOOKUP(Ruimtestaat[[#This Row],[Code]],Locaties[#All],2,FALSE)</f>
        <v>SGC Tubbergen</v>
      </c>
      <c r="C778" s="281" t="str">
        <f>VLOOKUP(Ruimtestaat[[#This Row],[Code]],Locaties[#All],4,FALSE)</f>
        <v>Huyerenseweg 1</v>
      </c>
      <c r="D778" s="281" t="str">
        <f>VLOOKUP(Ruimtestaat[[#This Row],[Code]],Locaties[#All],5,FALSE)</f>
        <v>7651 LR</v>
      </c>
      <c r="E778" s="281" t="str">
        <f>VLOOKUP(Ruimtestaat[[#This Row],[Code]],Locaties[#All],6,FALSE)</f>
        <v>Tubbergen</v>
      </c>
      <c r="F778" s="282"/>
      <c r="G778" s="201" t="s">
        <v>942</v>
      </c>
      <c r="H778" s="280"/>
      <c r="I778" s="244" t="s">
        <v>721</v>
      </c>
      <c r="J778" s="281">
        <v>5</v>
      </c>
      <c r="K778" s="243" t="s">
        <v>1043</v>
      </c>
      <c r="L778" s="284" t="s">
        <v>997</v>
      </c>
      <c r="M778" s="213">
        <v>10.6</v>
      </c>
      <c r="N778" s="202"/>
      <c r="O778" s="243" t="str">
        <f>VLOOKUP(Ruimtestaat[[#This Row],[Ruimte code]],Ruimtegroepen[#All],4,FALSE)</f>
        <v>S  (Sanitair)</v>
      </c>
      <c r="P778" s="214"/>
      <c r="Q778" s="215">
        <v>40</v>
      </c>
      <c r="R778" s="215" t="s">
        <v>2</v>
      </c>
      <c r="S778" s="215">
        <f>IF(R778&gt;0,IF(RIGHT(Ruimtestaat[[#This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78" s="215">
        <f>IF(S778&gt;0,VLOOKUP($J778,Ruimtegroepen[],3,FALSE)*VLOOKUP($K778,Vloersoorten[],3,FALSE)*VLOOKUP($R778,Frequenties[],3,FALSE)*VLOOKUP($A778,Locaties[],3,FALSE),0)</f>
        <v>0</v>
      </c>
      <c r="U778" s="215">
        <f>Ruimtestaat[[#This Row],[Uitvoeringen werkdagen]]*Ruimtestaat[[#This Row],[Oppervlak (netto)]]</f>
        <v>2120</v>
      </c>
      <c r="V778" s="259">
        <f>IF(T778&gt;0,Ruimtestaat[[#This Row],[Prest. (m2 /jaar) werkdagen]]/Ruimtestaat[[#This Row],[Norm (m2/uur) werkdagen]],0)</f>
        <v>0</v>
      </c>
      <c r="W778" s="260">
        <f>Ruimtestaat[[#This Row],[uren / jaar werkdagen]]*Tariefsopbouw!$D$38</f>
        <v>0</v>
      </c>
      <c r="X778" s="33"/>
      <c r="Y778" s="33">
        <f>IF(Ruimtestaat[[#This Row],[Frequentie weekend]]&gt;0,VALUE(LEFT(X778,1))*Q778,0)</f>
        <v>0</v>
      </c>
      <c r="Z778" s="33">
        <f>IF($Y778&gt;0,VLOOKUP($J778,Ruimtegroepen[],3,FALSE)*VLOOKUP($K778,Vloersoorten[],3,FALSE)*VLOOKUP($X778,Frequenties[],3,FALSE)*VLOOKUP(#REF!,Locaties[],3,FALSE),0)</f>
        <v>0</v>
      </c>
      <c r="AA778" s="33"/>
      <c r="AB778" s="33"/>
      <c r="AC778" s="33">
        <f>Ruimtestaat[[#This Row],[uren / jaar weekend]]*Tariefsopbouw!$D$40</f>
        <v>0</v>
      </c>
      <c r="AD778" s="88">
        <f>Ruimtestaat[[#This Row],[Prest. (m2 /jaar) weekend]]+Ruimtestaat[[#This Row],[Prest. (m2 /jaar) werkdagen]]</f>
        <v>2120</v>
      </c>
      <c r="AE778" s="88">
        <f>Ruimtestaat[[#This Row],[uren / jaar weekend]]+Ruimtestaat[[#This Row],[uren / jaar werkdagen]]</f>
        <v>0</v>
      </c>
      <c r="AF778" s="89">
        <f>Ruimtestaat[[#This Row],[kosten / jaar weekend]]+Ruimtestaat[[#This Row],[kosten / jaar werkdagen]]</f>
        <v>0</v>
      </c>
    </row>
    <row r="779" spans="1:32" ht="15" customHeight="1">
      <c r="A779" s="280">
        <v>6</v>
      </c>
      <c r="B779" s="21" t="str">
        <f>VLOOKUP(Ruimtestaat[[#This Row],[Code]],Locaties[#All],2,FALSE)</f>
        <v>SGC Tubbergen</v>
      </c>
      <c r="C779" s="281" t="str">
        <f>VLOOKUP(Ruimtestaat[[#This Row],[Code]],Locaties[#All],4,FALSE)</f>
        <v>Huyerenseweg 1</v>
      </c>
      <c r="D779" s="281" t="str">
        <f>VLOOKUP(Ruimtestaat[[#This Row],[Code]],Locaties[#All],5,FALSE)</f>
        <v>7651 LR</v>
      </c>
      <c r="E779" s="281" t="str">
        <f>VLOOKUP(Ruimtestaat[[#This Row],[Code]],Locaties[#All],6,FALSE)</f>
        <v>Tubbergen</v>
      </c>
      <c r="F779" s="282"/>
      <c r="G779" s="201" t="s">
        <v>942</v>
      </c>
      <c r="H779" s="280" t="s">
        <v>948</v>
      </c>
      <c r="I779" s="244" t="s">
        <v>487</v>
      </c>
      <c r="J779" s="200">
        <v>2</v>
      </c>
      <c r="K779" s="243" t="s">
        <v>1040</v>
      </c>
      <c r="L779" s="284" t="s">
        <v>999</v>
      </c>
      <c r="M779" s="213">
        <v>45.5</v>
      </c>
      <c r="N779" s="202"/>
      <c r="O779" s="243" t="str">
        <f>VLOOKUP(Ruimtestaat[[#This Row],[Ruimte code]],Ruimtegroepen[#All],4,FALSE)</f>
        <v>B  (Bureauruimte)</v>
      </c>
      <c r="P779" s="214"/>
      <c r="Q779" s="215">
        <v>40</v>
      </c>
      <c r="R779" s="215" t="s">
        <v>17</v>
      </c>
      <c r="S779" s="215">
        <f>IF(R779&gt;0,IF(RIGHT(Ruimtestaat[[#This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79" s="215">
        <f>IF(S779&gt;0,VLOOKUP($J779,Ruimtegroepen[],3,FALSE)*VLOOKUP($K779,Vloersoorten[],3,FALSE)*VLOOKUP($R779,Frequenties[],3,FALSE)*VLOOKUP($A779,Locaties[],3,FALSE),0)</f>
        <v>0</v>
      </c>
      <c r="U779" s="215">
        <f>Ruimtestaat[[#This Row],[Uitvoeringen werkdagen]]*Ruimtestaat[[#This Row],[Oppervlak (netto)]]</f>
        <v>3640</v>
      </c>
      <c r="V779" s="259">
        <f>IF(T779&gt;0,Ruimtestaat[[#This Row],[Prest. (m2 /jaar) werkdagen]]/Ruimtestaat[[#This Row],[Norm (m2/uur) werkdagen]],0)</f>
        <v>0</v>
      </c>
      <c r="W779" s="260">
        <f>Ruimtestaat[[#This Row],[uren / jaar werkdagen]]*Tariefsopbouw!$D$38</f>
        <v>0</v>
      </c>
      <c r="X779" s="33"/>
      <c r="Y779" s="33">
        <f>IF(Ruimtestaat[[#This Row],[Frequentie weekend]]&gt;0,VALUE(LEFT(X779,1))*Q779,0)</f>
        <v>0</v>
      </c>
      <c r="Z779" s="33">
        <f>IF($Y779&gt;0,VLOOKUP($J779,Ruimtegroepen[],3,FALSE)*VLOOKUP($K779,Vloersoorten[],3,FALSE)*VLOOKUP($X779,Frequenties[],3,FALSE)*VLOOKUP(#REF!,Locaties[],3,FALSE),0)</f>
        <v>0</v>
      </c>
      <c r="AA779" s="33"/>
      <c r="AB779" s="33"/>
      <c r="AC779" s="33">
        <f>Ruimtestaat[[#This Row],[uren / jaar weekend]]*Tariefsopbouw!$D$40</f>
        <v>0</v>
      </c>
      <c r="AD779" s="88">
        <f>Ruimtestaat[[#This Row],[Prest. (m2 /jaar) weekend]]+Ruimtestaat[[#This Row],[Prest. (m2 /jaar) werkdagen]]</f>
        <v>3640</v>
      </c>
      <c r="AE779" s="88">
        <f>Ruimtestaat[[#This Row],[uren / jaar weekend]]+Ruimtestaat[[#This Row],[uren / jaar werkdagen]]</f>
        <v>0</v>
      </c>
      <c r="AF779" s="89">
        <f>Ruimtestaat[[#This Row],[kosten / jaar weekend]]+Ruimtestaat[[#This Row],[kosten / jaar werkdagen]]</f>
        <v>0</v>
      </c>
    </row>
    <row r="780" spans="1:32" ht="15" customHeight="1">
      <c r="A780" s="280">
        <v>6</v>
      </c>
      <c r="B780" s="21" t="str">
        <f>VLOOKUP(Ruimtestaat[[#This Row],[Code]],Locaties[#All],2,FALSE)</f>
        <v>SGC Tubbergen</v>
      </c>
      <c r="C780" s="281" t="str">
        <f>VLOOKUP(Ruimtestaat[[#This Row],[Code]],Locaties[#All],4,FALSE)</f>
        <v>Huyerenseweg 1</v>
      </c>
      <c r="D780" s="281" t="str">
        <f>VLOOKUP(Ruimtestaat[[#This Row],[Code]],Locaties[#All],5,FALSE)</f>
        <v>7651 LR</v>
      </c>
      <c r="E780" s="281" t="str">
        <f>VLOOKUP(Ruimtestaat[[#This Row],[Code]],Locaties[#All],6,FALSE)</f>
        <v>Tubbergen</v>
      </c>
      <c r="F780" s="282"/>
      <c r="G780" s="201" t="s">
        <v>942</v>
      </c>
      <c r="H780" s="280" t="s">
        <v>949</v>
      </c>
      <c r="I780" s="244" t="s">
        <v>396</v>
      </c>
      <c r="J780" s="215">
        <v>16</v>
      </c>
      <c r="K780" s="243" t="s">
        <v>1040</v>
      </c>
      <c r="L780" s="284" t="s">
        <v>999</v>
      </c>
      <c r="M780" s="213">
        <v>30</v>
      </c>
      <c r="N780" s="202"/>
      <c r="O780" s="243" t="str">
        <f>VLOOKUP(Ruimtestaat[[#This Row],[Ruimte code]],Ruimtegroepen[#All],4,FALSE)</f>
        <v>L  (Lesruimte)</v>
      </c>
      <c r="P780" s="214"/>
      <c r="Q780" s="215">
        <v>40</v>
      </c>
      <c r="R780" s="215" t="s">
        <v>2</v>
      </c>
      <c r="S780" s="215">
        <f>IF(R780&gt;0,IF(RIGHT(Ruimtestaat[[#This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0" s="215">
        <f>IF(S780&gt;0,VLOOKUP($J780,Ruimtegroepen[],3,FALSE)*VLOOKUP($K780,Vloersoorten[],3,FALSE)*VLOOKUP($R780,Frequenties[],3,FALSE)*VLOOKUP($A780,Locaties[],3,FALSE),0)</f>
        <v>0</v>
      </c>
      <c r="U780" s="215">
        <f>Ruimtestaat[[#This Row],[Uitvoeringen werkdagen]]*Ruimtestaat[[#This Row],[Oppervlak (netto)]]</f>
        <v>6000</v>
      </c>
      <c r="V780" s="259">
        <f>IF(T780&gt;0,Ruimtestaat[[#This Row],[Prest. (m2 /jaar) werkdagen]]/Ruimtestaat[[#This Row],[Norm (m2/uur) werkdagen]],0)</f>
        <v>0</v>
      </c>
      <c r="W780" s="260">
        <f>Ruimtestaat[[#This Row],[uren / jaar werkdagen]]*Tariefsopbouw!$D$38</f>
        <v>0</v>
      </c>
      <c r="X780" s="33"/>
      <c r="Y780" s="33">
        <f>IF(Ruimtestaat[[#This Row],[Frequentie weekend]]&gt;0,VALUE(LEFT(X780,1))*Q780,0)</f>
        <v>0</v>
      </c>
      <c r="Z780" s="33">
        <f>IF($Y780&gt;0,VLOOKUP($J780,Ruimtegroepen[],3,FALSE)*VLOOKUP($K780,Vloersoorten[],3,FALSE)*VLOOKUP($X780,Frequenties[],3,FALSE)*VLOOKUP(#REF!,Locaties[],3,FALSE),0)</f>
        <v>0</v>
      </c>
      <c r="AA780" s="33"/>
      <c r="AB780" s="33"/>
      <c r="AC780" s="33">
        <f>Ruimtestaat[[#This Row],[uren / jaar weekend]]*Tariefsopbouw!$D$40</f>
        <v>0</v>
      </c>
      <c r="AD780" s="88">
        <f>Ruimtestaat[[#This Row],[Prest. (m2 /jaar) weekend]]+Ruimtestaat[[#This Row],[Prest. (m2 /jaar) werkdagen]]</f>
        <v>6000</v>
      </c>
      <c r="AE780" s="88">
        <f>Ruimtestaat[[#This Row],[uren / jaar weekend]]+Ruimtestaat[[#This Row],[uren / jaar werkdagen]]</f>
        <v>0</v>
      </c>
      <c r="AF780" s="89">
        <f>Ruimtestaat[[#This Row],[kosten / jaar weekend]]+Ruimtestaat[[#This Row],[kosten / jaar werkdagen]]</f>
        <v>0</v>
      </c>
    </row>
    <row r="781" spans="1:32" ht="15" customHeight="1">
      <c r="A781" s="280">
        <v>6</v>
      </c>
      <c r="B781" s="21" t="str">
        <f>VLOOKUP(Ruimtestaat[[#This Row],[Code]],Locaties[#All],2,FALSE)</f>
        <v>SGC Tubbergen</v>
      </c>
      <c r="C781" s="281" t="str">
        <f>VLOOKUP(Ruimtestaat[[#This Row],[Code]],Locaties[#All],4,FALSE)</f>
        <v>Huyerenseweg 1</v>
      </c>
      <c r="D781" s="281" t="str">
        <f>VLOOKUP(Ruimtestaat[[#This Row],[Code]],Locaties[#All],5,FALSE)</f>
        <v>7651 LR</v>
      </c>
      <c r="E781" s="281" t="str">
        <f>VLOOKUP(Ruimtestaat[[#This Row],[Code]],Locaties[#All],6,FALSE)</f>
        <v>Tubbergen</v>
      </c>
      <c r="F781" s="282"/>
      <c r="G781" s="201" t="s">
        <v>942</v>
      </c>
      <c r="H781" s="280" t="s">
        <v>950</v>
      </c>
      <c r="I781" s="244" t="s">
        <v>396</v>
      </c>
      <c r="J781" s="215">
        <v>16</v>
      </c>
      <c r="K781" s="243" t="s">
        <v>1042</v>
      </c>
      <c r="L781" s="291" t="s">
        <v>1000</v>
      </c>
      <c r="M781" s="213">
        <v>121</v>
      </c>
      <c r="N781" s="202"/>
      <c r="O781" s="243" t="str">
        <f>VLOOKUP(Ruimtestaat[[#This Row],[Ruimte code]],Ruimtegroepen[#All],4,FALSE)</f>
        <v>L  (Lesruimte)</v>
      </c>
      <c r="P781" s="214"/>
      <c r="Q781" s="215">
        <v>40</v>
      </c>
      <c r="R781" s="215" t="s">
        <v>2</v>
      </c>
      <c r="S781" s="215">
        <f>IF(R781&gt;0,IF(RIGHT(Ruimtestaat[[#This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1" s="215">
        <f>IF(S781&gt;0,VLOOKUP($J781,Ruimtegroepen[],3,FALSE)*VLOOKUP($K781,Vloersoorten[],3,FALSE)*VLOOKUP($R781,Frequenties[],3,FALSE)*VLOOKUP($A781,Locaties[],3,FALSE),0)</f>
        <v>0</v>
      </c>
      <c r="U781" s="215">
        <f>Ruimtestaat[[#This Row],[Uitvoeringen werkdagen]]*Ruimtestaat[[#This Row],[Oppervlak (netto)]]</f>
        <v>24200</v>
      </c>
      <c r="V781" s="259">
        <f>IF(T781&gt;0,Ruimtestaat[[#This Row],[Prest. (m2 /jaar) werkdagen]]/Ruimtestaat[[#This Row],[Norm (m2/uur) werkdagen]],0)</f>
        <v>0</v>
      </c>
      <c r="W781" s="260">
        <f>Ruimtestaat[[#This Row],[uren / jaar werkdagen]]*Tariefsopbouw!$D$38</f>
        <v>0</v>
      </c>
      <c r="X781" s="33"/>
      <c r="Y781" s="33">
        <f>IF(Ruimtestaat[[#This Row],[Frequentie weekend]]&gt;0,VALUE(LEFT(X781,1))*Q781,0)</f>
        <v>0</v>
      </c>
      <c r="Z781" s="33">
        <f>IF($Y781&gt;0,VLOOKUP($J781,Ruimtegroepen[],3,FALSE)*VLOOKUP($K781,Vloersoorten[],3,FALSE)*VLOOKUP($X781,Frequenties[],3,FALSE)*VLOOKUP(#REF!,Locaties[],3,FALSE),0)</f>
        <v>0</v>
      </c>
      <c r="AA781" s="33"/>
      <c r="AB781" s="33"/>
      <c r="AC781" s="33">
        <f>Ruimtestaat[[#This Row],[uren / jaar weekend]]*Tariefsopbouw!$D$40</f>
        <v>0</v>
      </c>
      <c r="AD781" s="88">
        <f>Ruimtestaat[[#This Row],[Prest. (m2 /jaar) weekend]]+Ruimtestaat[[#This Row],[Prest. (m2 /jaar) werkdagen]]</f>
        <v>24200</v>
      </c>
      <c r="AE781" s="88">
        <f>Ruimtestaat[[#This Row],[uren / jaar weekend]]+Ruimtestaat[[#This Row],[uren / jaar werkdagen]]</f>
        <v>0</v>
      </c>
      <c r="AF781" s="89">
        <f>Ruimtestaat[[#This Row],[kosten / jaar weekend]]+Ruimtestaat[[#This Row],[kosten / jaar werkdagen]]</f>
        <v>0</v>
      </c>
    </row>
    <row r="782" spans="1:32" ht="15" customHeight="1">
      <c r="A782" s="280">
        <v>6</v>
      </c>
      <c r="B782" s="21" t="str">
        <f>VLOOKUP(Ruimtestaat[[#This Row],[Code]],Locaties[#All],2,FALSE)</f>
        <v>SGC Tubbergen</v>
      </c>
      <c r="C782" s="281" t="str">
        <f>VLOOKUP(Ruimtestaat[[#This Row],[Code]],Locaties[#All],4,FALSE)</f>
        <v>Huyerenseweg 1</v>
      </c>
      <c r="D782" s="281" t="str">
        <f>VLOOKUP(Ruimtestaat[[#This Row],[Code]],Locaties[#All],5,FALSE)</f>
        <v>7651 LR</v>
      </c>
      <c r="E782" s="281" t="str">
        <f>VLOOKUP(Ruimtestaat[[#This Row],[Code]],Locaties[#All],6,FALSE)</f>
        <v>Tubbergen</v>
      </c>
      <c r="F782" s="282"/>
      <c r="G782" s="201" t="s">
        <v>942</v>
      </c>
      <c r="H782" s="280" t="s">
        <v>951</v>
      </c>
      <c r="I782" s="244" t="s">
        <v>487</v>
      </c>
      <c r="J782" s="200">
        <v>2</v>
      </c>
      <c r="K782" s="243" t="s">
        <v>1041</v>
      </c>
      <c r="L782" s="284" t="s">
        <v>998</v>
      </c>
      <c r="M782" s="213">
        <v>17</v>
      </c>
      <c r="N782" s="202"/>
      <c r="O782" s="243" t="str">
        <f>VLOOKUP(Ruimtestaat[[#This Row],[Ruimte code]],Ruimtegroepen[#All],4,FALSE)</f>
        <v>B  (Bureauruimte)</v>
      </c>
      <c r="P782" s="214"/>
      <c r="Q782" s="215">
        <v>40</v>
      </c>
      <c r="R782" s="215" t="s">
        <v>17</v>
      </c>
      <c r="S782" s="215">
        <f>IF(R782&gt;0,IF(RIGHT(Ruimtestaat[[#This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82" s="215">
        <f>IF(S782&gt;0,VLOOKUP($J782,Ruimtegroepen[],3,FALSE)*VLOOKUP($K782,Vloersoorten[],3,FALSE)*VLOOKUP($R782,Frequenties[],3,FALSE)*VLOOKUP($A782,Locaties[],3,FALSE),0)</f>
        <v>0</v>
      </c>
      <c r="U782" s="215">
        <f>Ruimtestaat[[#This Row],[Uitvoeringen werkdagen]]*Ruimtestaat[[#This Row],[Oppervlak (netto)]]</f>
        <v>1360</v>
      </c>
      <c r="V782" s="259">
        <f>IF(T782&gt;0,Ruimtestaat[[#This Row],[Prest. (m2 /jaar) werkdagen]]/Ruimtestaat[[#This Row],[Norm (m2/uur) werkdagen]],0)</f>
        <v>0</v>
      </c>
      <c r="W782" s="260">
        <f>Ruimtestaat[[#This Row],[uren / jaar werkdagen]]*Tariefsopbouw!$D$38</f>
        <v>0</v>
      </c>
      <c r="X782" s="33"/>
      <c r="Y782" s="33">
        <f>IF(Ruimtestaat[[#This Row],[Frequentie weekend]]&gt;0,VALUE(LEFT(X782,1))*Q782,0)</f>
        <v>0</v>
      </c>
      <c r="Z782" s="33">
        <f>IF($Y782&gt;0,VLOOKUP($J782,Ruimtegroepen[],3,FALSE)*VLOOKUP($K782,Vloersoorten[],3,FALSE)*VLOOKUP($X782,Frequenties[],3,FALSE)*VLOOKUP(#REF!,Locaties[],3,FALSE),0)</f>
        <v>0</v>
      </c>
      <c r="AA782" s="33"/>
      <c r="AB782" s="33"/>
      <c r="AC782" s="33">
        <f>Ruimtestaat[[#This Row],[uren / jaar weekend]]*Tariefsopbouw!$D$40</f>
        <v>0</v>
      </c>
      <c r="AD782" s="88">
        <f>Ruimtestaat[[#This Row],[Prest. (m2 /jaar) weekend]]+Ruimtestaat[[#This Row],[Prest. (m2 /jaar) werkdagen]]</f>
        <v>1360</v>
      </c>
      <c r="AE782" s="88">
        <f>Ruimtestaat[[#This Row],[uren / jaar weekend]]+Ruimtestaat[[#This Row],[uren / jaar werkdagen]]</f>
        <v>0</v>
      </c>
      <c r="AF782" s="89">
        <f>Ruimtestaat[[#This Row],[kosten / jaar weekend]]+Ruimtestaat[[#This Row],[kosten / jaar werkdagen]]</f>
        <v>0</v>
      </c>
    </row>
    <row r="783" spans="1:32" ht="15" customHeight="1">
      <c r="A783" s="280">
        <v>6</v>
      </c>
      <c r="B783" s="21" t="str">
        <f>VLOOKUP(Ruimtestaat[[#This Row],[Code]],Locaties[#All],2,FALSE)</f>
        <v>SGC Tubbergen</v>
      </c>
      <c r="C783" s="281" t="str">
        <f>VLOOKUP(Ruimtestaat[[#This Row],[Code]],Locaties[#All],4,FALSE)</f>
        <v>Huyerenseweg 1</v>
      </c>
      <c r="D783" s="281" t="str">
        <f>VLOOKUP(Ruimtestaat[[#This Row],[Code]],Locaties[#All],5,FALSE)</f>
        <v>7651 LR</v>
      </c>
      <c r="E783" s="281" t="str">
        <f>VLOOKUP(Ruimtestaat[[#This Row],[Code]],Locaties[#All],6,FALSE)</f>
        <v>Tubbergen</v>
      </c>
      <c r="F783" s="282"/>
      <c r="G783" s="201" t="s">
        <v>942</v>
      </c>
      <c r="H783" s="280"/>
      <c r="I783" s="244" t="s">
        <v>457</v>
      </c>
      <c r="J783" s="200">
        <v>10</v>
      </c>
      <c r="K783" s="243" t="s">
        <v>1043</v>
      </c>
      <c r="L783" s="284" t="s">
        <v>997</v>
      </c>
      <c r="M783" s="213">
        <v>21</v>
      </c>
      <c r="N783" s="202"/>
      <c r="O783" s="243" t="str">
        <f>VLOOKUP(Ruimtestaat[[#This Row],[Ruimte code]],Ruimtegroepen[#All],4,FALSE)</f>
        <v>V  (Verkeersruimte)</v>
      </c>
      <c r="P783" s="214"/>
      <c r="Q783" s="215">
        <v>40</v>
      </c>
      <c r="R783" s="215" t="s">
        <v>2</v>
      </c>
      <c r="S783" s="215">
        <f>IF(R783&gt;0,IF(RIGHT(Ruimtestaat[[#This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3" s="215">
        <f>IF(S783&gt;0,VLOOKUP($J783,Ruimtegroepen[],3,FALSE)*VLOOKUP($K783,Vloersoorten[],3,FALSE)*VLOOKUP($R783,Frequenties[],3,FALSE)*VLOOKUP($A783,Locaties[],3,FALSE),0)</f>
        <v>0</v>
      </c>
      <c r="U783" s="215">
        <f>Ruimtestaat[[#This Row],[Uitvoeringen werkdagen]]*Ruimtestaat[[#This Row],[Oppervlak (netto)]]</f>
        <v>4200</v>
      </c>
      <c r="V783" s="259">
        <f>IF(T783&gt;0,Ruimtestaat[[#This Row],[Prest. (m2 /jaar) werkdagen]]/Ruimtestaat[[#This Row],[Norm (m2/uur) werkdagen]],0)</f>
        <v>0</v>
      </c>
      <c r="W783" s="260">
        <f>Ruimtestaat[[#This Row],[uren / jaar werkdagen]]*Tariefsopbouw!$D$38</f>
        <v>0</v>
      </c>
      <c r="X783" s="33"/>
      <c r="Y783" s="33">
        <f>IF(Ruimtestaat[[#This Row],[Frequentie weekend]]&gt;0,VALUE(LEFT(X783,1))*Q783,0)</f>
        <v>0</v>
      </c>
      <c r="Z783" s="33">
        <f>IF($Y783&gt;0,VLOOKUP($J783,Ruimtegroepen[],3,FALSE)*VLOOKUP($K783,Vloersoorten[],3,FALSE)*VLOOKUP($X783,Frequenties[],3,FALSE)*VLOOKUP(#REF!,Locaties[],3,FALSE),0)</f>
        <v>0</v>
      </c>
      <c r="AA783" s="33"/>
      <c r="AB783" s="33"/>
      <c r="AC783" s="33">
        <f>Ruimtestaat[[#This Row],[uren / jaar weekend]]*Tariefsopbouw!$D$40</f>
        <v>0</v>
      </c>
      <c r="AD783" s="88">
        <f>Ruimtestaat[[#This Row],[Prest. (m2 /jaar) weekend]]+Ruimtestaat[[#This Row],[Prest. (m2 /jaar) werkdagen]]</f>
        <v>4200</v>
      </c>
      <c r="AE783" s="88">
        <f>Ruimtestaat[[#This Row],[uren / jaar weekend]]+Ruimtestaat[[#This Row],[uren / jaar werkdagen]]</f>
        <v>0</v>
      </c>
      <c r="AF783" s="89">
        <f>Ruimtestaat[[#This Row],[kosten / jaar weekend]]+Ruimtestaat[[#This Row],[kosten / jaar werkdagen]]</f>
        <v>0</v>
      </c>
    </row>
    <row r="784" spans="1:32" ht="15" customHeight="1">
      <c r="A784" s="280">
        <v>6</v>
      </c>
      <c r="B784" s="21" t="str">
        <f>VLOOKUP(Ruimtestaat[[#This Row],[Code]],Locaties[#All],2,FALSE)</f>
        <v>SGC Tubbergen</v>
      </c>
      <c r="C784" s="281" t="str">
        <f>VLOOKUP(Ruimtestaat[[#This Row],[Code]],Locaties[#All],4,FALSE)</f>
        <v>Huyerenseweg 1</v>
      </c>
      <c r="D784" s="281" t="str">
        <f>VLOOKUP(Ruimtestaat[[#This Row],[Code]],Locaties[#All],5,FALSE)</f>
        <v>7651 LR</v>
      </c>
      <c r="E784" s="281" t="str">
        <f>VLOOKUP(Ruimtestaat[[#This Row],[Code]],Locaties[#All],6,FALSE)</f>
        <v>Tubbergen</v>
      </c>
      <c r="F784" s="282"/>
      <c r="G784" s="201" t="s">
        <v>942</v>
      </c>
      <c r="H784" s="280" t="s">
        <v>952</v>
      </c>
      <c r="I784" s="244" t="s">
        <v>396</v>
      </c>
      <c r="J784" s="215">
        <v>16</v>
      </c>
      <c r="K784" s="243" t="s">
        <v>1042</v>
      </c>
      <c r="L784" s="291" t="s">
        <v>1000</v>
      </c>
      <c r="M784" s="213">
        <v>153</v>
      </c>
      <c r="N784" s="202"/>
      <c r="O784" s="243" t="str">
        <f>VLOOKUP(Ruimtestaat[[#This Row],[Ruimte code]],Ruimtegroepen[#All],4,FALSE)</f>
        <v>L  (Lesruimte)</v>
      </c>
      <c r="P784" s="214"/>
      <c r="Q784" s="215">
        <v>40</v>
      </c>
      <c r="R784" s="215" t="s">
        <v>2</v>
      </c>
      <c r="S784" s="215">
        <f>IF(R784&gt;0,IF(RIGHT(Ruimtestaat[[#This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4" s="215">
        <f>IF(S784&gt;0,VLOOKUP($J784,Ruimtegroepen[],3,FALSE)*VLOOKUP($K784,Vloersoorten[],3,FALSE)*VLOOKUP($R784,Frequenties[],3,FALSE)*VLOOKUP($A784,Locaties[],3,FALSE),0)</f>
        <v>0</v>
      </c>
      <c r="U784" s="215">
        <f>Ruimtestaat[[#This Row],[Uitvoeringen werkdagen]]*Ruimtestaat[[#This Row],[Oppervlak (netto)]]</f>
        <v>30600</v>
      </c>
      <c r="V784" s="259">
        <f>IF(T784&gt;0,Ruimtestaat[[#This Row],[Prest. (m2 /jaar) werkdagen]]/Ruimtestaat[[#This Row],[Norm (m2/uur) werkdagen]],0)</f>
        <v>0</v>
      </c>
      <c r="W784" s="260">
        <f>Ruimtestaat[[#This Row],[uren / jaar werkdagen]]*Tariefsopbouw!$D$38</f>
        <v>0</v>
      </c>
      <c r="X784" s="33"/>
      <c r="Y784" s="33">
        <f>IF(Ruimtestaat[[#This Row],[Frequentie weekend]]&gt;0,VALUE(LEFT(X784,1))*Q784,0)</f>
        <v>0</v>
      </c>
      <c r="Z784" s="33">
        <f>IF($Y784&gt;0,VLOOKUP($J784,Ruimtegroepen[],3,FALSE)*VLOOKUP($K784,Vloersoorten[],3,FALSE)*VLOOKUP($X784,Frequenties[],3,FALSE)*VLOOKUP(#REF!,Locaties[],3,FALSE),0)</f>
        <v>0</v>
      </c>
      <c r="AA784" s="33"/>
      <c r="AB784" s="33"/>
      <c r="AC784" s="33">
        <f>Ruimtestaat[[#This Row],[uren / jaar weekend]]*Tariefsopbouw!$D$40</f>
        <v>0</v>
      </c>
      <c r="AD784" s="88">
        <f>Ruimtestaat[[#This Row],[Prest. (m2 /jaar) weekend]]+Ruimtestaat[[#This Row],[Prest. (m2 /jaar) werkdagen]]</f>
        <v>30600</v>
      </c>
      <c r="AE784" s="88">
        <f>Ruimtestaat[[#This Row],[uren / jaar weekend]]+Ruimtestaat[[#This Row],[uren / jaar werkdagen]]</f>
        <v>0</v>
      </c>
      <c r="AF784" s="89">
        <f>Ruimtestaat[[#This Row],[kosten / jaar weekend]]+Ruimtestaat[[#This Row],[kosten / jaar werkdagen]]</f>
        <v>0</v>
      </c>
    </row>
    <row r="785" spans="1:32" ht="15" customHeight="1">
      <c r="A785" s="280">
        <v>6</v>
      </c>
      <c r="B785" s="21" t="str">
        <f>VLOOKUP(Ruimtestaat[[#This Row],[Code]],Locaties[#All],2,FALSE)</f>
        <v>SGC Tubbergen</v>
      </c>
      <c r="C785" s="281" t="str">
        <f>VLOOKUP(Ruimtestaat[[#This Row],[Code]],Locaties[#All],4,FALSE)</f>
        <v>Huyerenseweg 1</v>
      </c>
      <c r="D785" s="281" t="str">
        <f>VLOOKUP(Ruimtestaat[[#This Row],[Code]],Locaties[#All],5,FALSE)</f>
        <v>7651 LR</v>
      </c>
      <c r="E785" s="281" t="str">
        <f>VLOOKUP(Ruimtestaat[[#This Row],[Code]],Locaties[#All],6,FALSE)</f>
        <v>Tubbergen</v>
      </c>
      <c r="F785" s="282"/>
      <c r="G785" s="201" t="s">
        <v>942</v>
      </c>
      <c r="H785" s="280" t="s">
        <v>953</v>
      </c>
      <c r="I785" s="244" t="s">
        <v>747</v>
      </c>
      <c r="J785" s="281">
        <v>14</v>
      </c>
      <c r="K785" s="243" t="s">
        <v>1042</v>
      </c>
      <c r="L785" s="291" t="s">
        <v>1000</v>
      </c>
      <c r="M785" s="213">
        <v>95</v>
      </c>
      <c r="N785" s="202"/>
      <c r="O785" s="243" t="str">
        <f>VLOOKUP(Ruimtestaat[[#This Row],[Ruimte code]],Ruimtegroepen[#All],4,FALSE)</f>
        <v>V  (Verkeersruimte)</v>
      </c>
      <c r="P785" s="214"/>
      <c r="Q785" s="215">
        <v>40</v>
      </c>
      <c r="R785" s="215" t="s">
        <v>2</v>
      </c>
      <c r="S785" s="215">
        <f>IF(R785&gt;0,IF(RIGHT(Ruimtestaat[[#This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5" s="215">
        <f>IF(S785&gt;0,VLOOKUP($J785,Ruimtegroepen[],3,FALSE)*VLOOKUP($K785,Vloersoorten[],3,FALSE)*VLOOKUP($R785,Frequenties[],3,FALSE)*VLOOKUP($A785,Locaties[],3,FALSE),0)</f>
        <v>0</v>
      </c>
      <c r="U785" s="215">
        <f>Ruimtestaat[[#This Row],[Uitvoeringen werkdagen]]*Ruimtestaat[[#This Row],[Oppervlak (netto)]]</f>
        <v>19000</v>
      </c>
      <c r="V785" s="259">
        <f>IF(T785&gt;0,Ruimtestaat[[#This Row],[Prest. (m2 /jaar) werkdagen]]/Ruimtestaat[[#This Row],[Norm (m2/uur) werkdagen]],0)</f>
        <v>0</v>
      </c>
      <c r="W785" s="260">
        <f>Ruimtestaat[[#This Row],[uren / jaar werkdagen]]*Tariefsopbouw!$D$38</f>
        <v>0</v>
      </c>
      <c r="X785" s="33"/>
      <c r="Y785" s="33">
        <f>IF(Ruimtestaat[[#This Row],[Frequentie weekend]]&gt;0,VALUE(LEFT(X785,1))*Q785,0)</f>
        <v>0</v>
      </c>
      <c r="Z785" s="33">
        <f>IF($Y785&gt;0,VLOOKUP($J785,Ruimtegroepen[],3,FALSE)*VLOOKUP($K785,Vloersoorten[],3,FALSE)*VLOOKUP($X785,Frequenties[],3,FALSE)*VLOOKUP(#REF!,Locaties[],3,FALSE),0)</f>
        <v>0</v>
      </c>
      <c r="AA785" s="33"/>
      <c r="AB785" s="33"/>
      <c r="AC785" s="33">
        <f>Ruimtestaat[[#This Row],[uren / jaar weekend]]*Tariefsopbouw!$D$40</f>
        <v>0</v>
      </c>
      <c r="AD785" s="88">
        <f>Ruimtestaat[[#This Row],[Prest. (m2 /jaar) weekend]]+Ruimtestaat[[#This Row],[Prest. (m2 /jaar) werkdagen]]</f>
        <v>19000</v>
      </c>
      <c r="AE785" s="88">
        <f>Ruimtestaat[[#This Row],[uren / jaar weekend]]+Ruimtestaat[[#This Row],[uren / jaar werkdagen]]</f>
        <v>0</v>
      </c>
      <c r="AF785" s="89">
        <f>Ruimtestaat[[#This Row],[kosten / jaar weekend]]+Ruimtestaat[[#This Row],[kosten / jaar werkdagen]]</f>
        <v>0</v>
      </c>
    </row>
    <row r="786" spans="1:32" ht="15" customHeight="1">
      <c r="A786" s="280">
        <v>6</v>
      </c>
      <c r="B786" s="21" t="str">
        <f>VLOOKUP(Ruimtestaat[[#This Row],[Code]],Locaties[#All],2,FALSE)</f>
        <v>SGC Tubbergen</v>
      </c>
      <c r="C786" s="281" t="str">
        <f>VLOOKUP(Ruimtestaat[[#This Row],[Code]],Locaties[#All],4,FALSE)</f>
        <v>Huyerenseweg 1</v>
      </c>
      <c r="D786" s="281" t="str">
        <f>VLOOKUP(Ruimtestaat[[#This Row],[Code]],Locaties[#All],5,FALSE)</f>
        <v>7651 LR</v>
      </c>
      <c r="E786" s="281" t="str">
        <f>VLOOKUP(Ruimtestaat[[#This Row],[Code]],Locaties[#All],6,FALSE)</f>
        <v>Tubbergen</v>
      </c>
      <c r="F786" s="282"/>
      <c r="G786" s="201" t="s">
        <v>942</v>
      </c>
      <c r="H786" s="280"/>
      <c r="I786" s="244" t="s">
        <v>721</v>
      </c>
      <c r="J786" s="200">
        <v>5</v>
      </c>
      <c r="K786" s="243" t="s">
        <v>1043</v>
      </c>
      <c r="L786" s="284" t="s">
        <v>997</v>
      </c>
      <c r="M786" s="213">
        <v>6.19</v>
      </c>
      <c r="N786" s="202"/>
      <c r="O786" s="243" t="str">
        <f>VLOOKUP(Ruimtestaat[[#This Row],[Ruimte code]],Ruimtegroepen[#All],4,FALSE)</f>
        <v>S  (Sanitair)</v>
      </c>
      <c r="P786" s="214"/>
      <c r="Q786" s="215">
        <v>40</v>
      </c>
      <c r="R786" s="215" t="s">
        <v>2</v>
      </c>
      <c r="S786" s="215">
        <f>IF(R786&gt;0,IF(RIGHT(Ruimtestaat[[#This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6" s="215">
        <f>IF(S786&gt;0,VLOOKUP($J786,Ruimtegroepen[],3,FALSE)*VLOOKUP($K786,Vloersoorten[],3,FALSE)*VLOOKUP($R786,Frequenties[],3,FALSE)*VLOOKUP($A786,Locaties[],3,FALSE),0)</f>
        <v>0</v>
      </c>
      <c r="U786" s="215">
        <f>Ruimtestaat[[#This Row],[Uitvoeringen werkdagen]]*Ruimtestaat[[#This Row],[Oppervlak (netto)]]</f>
        <v>1238</v>
      </c>
      <c r="V786" s="259">
        <f>IF(T786&gt;0,Ruimtestaat[[#This Row],[Prest. (m2 /jaar) werkdagen]]/Ruimtestaat[[#This Row],[Norm (m2/uur) werkdagen]],0)</f>
        <v>0</v>
      </c>
      <c r="W786" s="260">
        <f>Ruimtestaat[[#This Row],[uren / jaar werkdagen]]*Tariefsopbouw!$D$38</f>
        <v>0</v>
      </c>
      <c r="X786" s="33"/>
      <c r="Y786" s="33">
        <f>IF(Ruimtestaat[[#This Row],[Frequentie weekend]]&gt;0,VALUE(LEFT(X786,1))*Q786,0)</f>
        <v>0</v>
      </c>
      <c r="Z786" s="33">
        <f>IF($Y786&gt;0,VLOOKUP($J786,Ruimtegroepen[],3,FALSE)*VLOOKUP($K786,Vloersoorten[],3,FALSE)*VLOOKUP($X786,Frequenties[],3,FALSE)*VLOOKUP(#REF!,Locaties[],3,FALSE),0)</f>
        <v>0</v>
      </c>
      <c r="AA786" s="33"/>
      <c r="AB786" s="33"/>
      <c r="AC786" s="33">
        <f>Ruimtestaat[[#This Row],[uren / jaar weekend]]*Tariefsopbouw!$D$40</f>
        <v>0</v>
      </c>
      <c r="AD786" s="88">
        <f>Ruimtestaat[[#This Row],[Prest. (m2 /jaar) weekend]]+Ruimtestaat[[#This Row],[Prest. (m2 /jaar) werkdagen]]</f>
        <v>1238</v>
      </c>
      <c r="AE786" s="88">
        <f>Ruimtestaat[[#This Row],[uren / jaar weekend]]+Ruimtestaat[[#This Row],[uren / jaar werkdagen]]</f>
        <v>0</v>
      </c>
      <c r="AF786" s="89">
        <f>Ruimtestaat[[#This Row],[kosten / jaar weekend]]+Ruimtestaat[[#This Row],[kosten / jaar werkdagen]]</f>
        <v>0</v>
      </c>
    </row>
    <row r="787" spans="1:32" ht="15" customHeight="1">
      <c r="A787" s="280">
        <v>6</v>
      </c>
      <c r="B787" s="21" t="str">
        <f>VLOOKUP(Ruimtestaat[[#This Row],[Code]],Locaties[#All],2,FALSE)</f>
        <v>SGC Tubbergen</v>
      </c>
      <c r="C787" s="281" t="str">
        <f>VLOOKUP(Ruimtestaat[[#This Row],[Code]],Locaties[#All],4,FALSE)</f>
        <v>Huyerenseweg 1</v>
      </c>
      <c r="D787" s="281" t="str">
        <f>VLOOKUP(Ruimtestaat[[#This Row],[Code]],Locaties[#All],5,FALSE)</f>
        <v>7651 LR</v>
      </c>
      <c r="E787" s="281" t="str">
        <f>VLOOKUP(Ruimtestaat[[#This Row],[Code]],Locaties[#All],6,FALSE)</f>
        <v>Tubbergen</v>
      </c>
      <c r="F787" s="282"/>
      <c r="G787" s="201" t="s">
        <v>942</v>
      </c>
      <c r="H787" s="280"/>
      <c r="I787" s="244" t="s">
        <v>721</v>
      </c>
      <c r="J787" s="281">
        <v>5</v>
      </c>
      <c r="K787" s="243" t="s">
        <v>1043</v>
      </c>
      <c r="L787" s="284" t="s">
        <v>997</v>
      </c>
      <c r="M787" s="213">
        <v>6.19</v>
      </c>
      <c r="N787" s="213"/>
      <c r="O787" s="243" t="str">
        <f>VLOOKUP(Ruimtestaat[[#This Row],[Ruimte code]],Ruimtegroepen[#All],4,FALSE)</f>
        <v>S  (Sanitair)</v>
      </c>
      <c r="P787" s="214"/>
      <c r="Q787" s="215">
        <v>40</v>
      </c>
      <c r="R787" s="215" t="s">
        <v>2</v>
      </c>
      <c r="S787" s="215">
        <f>IF(R787&gt;0,IF(RIGHT(Ruimtestaat[[#This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7" s="215">
        <f>IF(S787&gt;0,VLOOKUP($J787,Ruimtegroepen[],3,FALSE)*VLOOKUP($K787,Vloersoorten[],3,FALSE)*VLOOKUP($R787,Frequenties[],3,FALSE)*VLOOKUP($A787,Locaties[],3,FALSE),0)</f>
        <v>0</v>
      </c>
      <c r="U787" s="215">
        <f>Ruimtestaat[[#This Row],[Uitvoeringen werkdagen]]*Ruimtestaat[[#This Row],[Oppervlak (netto)]]</f>
        <v>1238</v>
      </c>
      <c r="V787" s="259">
        <f>IF(T787&gt;0,Ruimtestaat[[#This Row],[Prest. (m2 /jaar) werkdagen]]/Ruimtestaat[[#This Row],[Norm (m2/uur) werkdagen]],0)</f>
        <v>0</v>
      </c>
      <c r="W787" s="260">
        <f>Ruimtestaat[[#This Row],[uren / jaar werkdagen]]*Tariefsopbouw!$D$38</f>
        <v>0</v>
      </c>
      <c r="X787" s="33"/>
      <c r="Y787" s="33">
        <f>IF(Ruimtestaat[[#This Row],[Frequentie weekend]]&gt;0,VALUE(LEFT(X787,1))*Q787,0)</f>
        <v>0</v>
      </c>
      <c r="Z787" s="33">
        <f>IF($Y787&gt;0,VLOOKUP($J787,Ruimtegroepen[],3,FALSE)*VLOOKUP($K787,Vloersoorten[],3,FALSE)*VLOOKUP($X787,Frequenties[],3,FALSE)*VLOOKUP(#REF!,Locaties[],3,FALSE),0)</f>
        <v>0</v>
      </c>
      <c r="AA787" s="33"/>
      <c r="AB787" s="33"/>
      <c r="AC787" s="33">
        <f>Ruimtestaat[[#This Row],[uren / jaar weekend]]*Tariefsopbouw!$D$40</f>
        <v>0</v>
      </c>
      <c r="AD787" s="88">
        <f>Ruimtestaat[[#This Row],[Prest. (m2 /jaar) weekend]]+Ruimtestaat[[#This Row],[Prest. (m2 /jaar) werkdagen]]</f>
        <v>1238</v>
      </c>
      <c r="AE787" s="88">
        <f>Ruimtestaat[[#This Row],[uren / jaar weekend]]+Ruimtestaat[[#This Row],[uren / jaar werkdagen]]</f>
        <v>0</v>
      </c>
      <c r="AF787" s="89">
        <f>Ruimtestaat[[#This Row],[kosten / jaar weekend]]+Ruimtestaat[[#This Row],[kosten / jaar werkdagen]]</f>
        <v>0</v>
      </c>
    </row>
    <row r="788" spans="1:32" ht="15" customHeight="1">
      <c r="A788" s="280">
        <v>6</v>
      </c>
      <c r="B788" s="21" t="str">
        <f>VLOOKUP(Ruimtestaat[[#This Row],[Code]],Locaties[#All],2,FALSE)</f>
        <v>SGC Tubbergen</v>
      </c>
      <c r="C788" s="281" t="str">
        <f>VLOOKUP(Ruimtestaat[[#This Row],[Code]],Locaties[#All],4,FALSE)</f>
        <v>Huyerenseweg 1</v>
      </c>
      <c r="D788" s="281" t="str">
        <f>VLOOKUP(Ruimtestaat[[#This Row],[Code]],Locaties[#All],5,FALSE)</f>
        <v>7651 LR</v>
      </c>
      <c r="E788" s="281" t="str">
        <f>VLOOKUP(Ruimtestaat[[#This Row],[Code]],Locaties[#All],6,FALSE)</f>
        <v>Tubbergen</v>
      </c>
      <c r="F788" s="282"/>
      <c r="G788" s="201" t="s">
        <v>942</v>
      </c>
      <c r="H788" s="280"/>
      <c r="I788" s="244" t="s">
        <v>457</v>
      </c>
      <c r="J788" s="200">
        <v>10</v>
      </c>
      <c r="K788" s="243" t="s">
        <v>1043</v>
      </c>
      <c r="L788" s="284" t="s">
        <v>997</v>
      </c>
      <c r="M788" s="213">
        <v>9.1199999999999992</v>
      </c>
      <c r="N788" s="202"/>
      <c r="O788" s="243" t="str">
        <f>VLOOKUP(Ruimtestaat[[#This Row],[Ruimte code]],Ruimtegroepen[#All],4,FALSE)</f>
        <v>V  (Verkeersruimte)</v>
      </c>
      <c r="P788" s="214"/>
      <c r="Q788" s="215">
        <v>40</v>
      </c>
      <c r="R788" s="215" t="s">
        <v>2</v>
      </c>
      <c r="S788" s="215">
        <f>IF(R788&gt;0,IF(RIGHT(Ruimtestaat[[#This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88" s="215">
        <f>IF(S788&gt;0,VLOOKUP($J788,Ruimtegroepen[],3,FALSE)*VLOOKUP($K788,Vloersoorten[],3,FALSE)*VLOOKUP($R788,Frequenties[],3,FALSE)*VLOOKUP($A788,Locaties[],3,FALSE),0)</f>
        <v>0</v>
      </c>
      <c r="U788" s="215">
        <f>Ruimtestaat[[#This Row],[Uitvoeringen werkdagen]]*Ruimtestaat[[#This Row],[Oppervlak (netto)]]</f>
        <v>1823.9999999999998</v>
      </c>
      <c r="V788" s="259">
        <f>IF(T788&gt;0,Ruimtestaat[[#This Row],[Prest. (m2 /jaar) werkdagen]]/Ruimtestaat[[#This Row],[Norm (m2/uur) werkdagen]],0)</f>
        <v>0</v>
      </c>
      <c r="W788" s="260">
        <f>Ruimtestaat[[#This Row],[uren / jaar werkdagen]]*Tariefsopbouw!$D$38</f>
        <v>0</v>
      </c>
      <c r="X788" s="33"/>
      <c r="Y788" s="33">
        <f>IF(Ruimtestaat[[#This Row],[Frequentie weekend]]&gt;0,VALUE(LEFT(X788,1))*Q788,0)</f>
        <v>0</v>
      </c>
      <c r="Z788" s="33">
        <f>IF($Y788&gt;0,VLOOKUP($J788,Ruimtegroepen[],3,FALSE)*VLOOKUP($K788,Vloersoorten[],3,FALSE)*VLOOKUP($X788,Frequenties[],3,FALSE)*VLOOKUP(#REF!,Locaties[],3,FALSE),0)</f>
        <v>0</v>
      </c>
      <c r="AA788" s="33"/>
      <c r="AB788" s="33"/>
      <c r="AC788" s="33">
        <f>Ruimtestaat[[#This Row],[uren / jaar weekend]]*Tariefsopbouw!$D$40</f>
        <v>0</v>
      </c>
      <c r="AD788" s="88">
        <f>Ruimtestaat[[#This Row],[Prest. (m2 /jaar) weekend]]+Ruimtestaat[[#This Row],[Prest. (m2 /jaar) werkdagen]]</f>
        <v>1823.9999999999998</v>
      </c>
      <c r="AE788" s="88">
        <f>Ruimtestaat[[#This Row],[uren / jaar weekend]]+Ruimtestaat[[#This Row],[uren / jaar werkdagen]]</f>
        <v>0</v>
      </c>
      <c r="AF788" s="89">
        <f>Ruimtestaat[[#This Row],[kosten / jaar weekend]]+Ruimtestaat[[#This Row],[kosten / jaar werkdagen]]</f>
        <v>0</v>
      </c>
    </row>
    <row r="789" spans="1:32" ht="15" customHeight="1">
      <c r="A789" s="280">
        <v>6</v>
      </c>
      <c r="B789" s="21" t="str">
        <f>VLOOKUP(Ruimtestaat[[#This Row],[Code]],Locaties[#All],2,FALSE)</f>
        <v>SGC Tubbergen</v>
      </c>
      <c r="C789" s="281" t="str">
        <f>VLOOKUP(Ruimtestaat[[#This Row],[Code]],Locaties[#All],4,FALSE)</f>
        <v>Huyerenseweg 1</v>
      </c>
      <c r="D789" s="281" t="str">
        <f>VLOOKUP(Ruimtestaat[[#This Row],[Code]],Locaties[#All],5,FALSE)</f>
        <v>7651 LR</v>
      </c>
      <c r="E789" s="281" t="str">
        <f>VLOOKUP(Ruimtestaat[[#This Row],[Code]],Locaties[#All],6,FALSE)</f>
        <v>Tubbergen</v>
      </c>
      <c r="F789" s="282"/>
      <c r="G789" s="201" t="s">
        <v>942</v>
      </c>
      <c r="H789" s="280"/>
      <c r="I789" s="244" t="s">
        <v>705</v>
      </c>
      <c r="J789" s="200">
        <v>4</v>
      </c>
      <c r="K789" s="243" t="s">
        <v>1042</v>
      </c>
      <c r="L789" s="291" t="s">
        <v>1000</v>
      </c>
      <c r="M789" s="213">
        <v>25.8</v>
      </c>
      <c r="N789" s="202"/>
      <c r="O789" s="243" t="str">
        <f>VLOOKUP(Ruimtestaat[[#This Row],[Ruimte code]],Ruimtegroepen[#All],4,FALSE)</f>
        <v>B  (Bureauruimte)</v>
      </c>
      <c r="P789" s="214"/>
      <c r="Q789" s="215">
        <v>40</v>
      </c>
      <c r="R789" s="215" t="s">
        <v>18</v>
      </c>
      <c r="S789" s="215">
        <f>IF(R789&gt;0,IF(RIGHT(Ruimtestaat[[#This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789" s="215">
        <f>IF(S789&gt;0,VLOOKUP($J789,Ruimtegroepen[],3,FALSE)*VLOOKUP($K789,Vloersoorten[],3,FALSE)*VLOOKUP($R789,Frequenties[],3,FALSE)*VLOOKUP($A789,Locaties[],3,FALSE),0)</f>
        <v>0</v>
      </c>
      <c r="U789" s="215">
        <f>Ruimtestaat[[#This Row],[Uitvoeringen werkdagen]]*Ruimtestaat[[#This Row],[Oppervlak (netto)]]</f>
        <v>3096</v>
      </c>
      <c r="V789" s="259">
        <f>IF(T789&gt;0,Ruimtestaat[[#This Row],[Prest. (m2 /jaar) werkdagen]]/Ruimtestaat[[#This Row],[Norm (m2/uur) werkdagen]],0)</f>
        <v>0</v>
      </c>
      <c r="W789" s="260">
        <f>Ruimtestaat[[#This Row],[uren / jaar werkdagen]]*Tariefsopbouw!$D$38</f>
        <v>0</v>
      </c>
      <c r="X789" s="33"/>
      <c r="Y789" s="33">
        <f>IF(Ruimtestaat[[#This Row],[Frequentie weekend]]&gt;0,VALUE(LEFT(X789,1))*Q789,0)</f>
        <v>0</v>
      </c>
      <c r="Z789" s="33">
        <f>IF($Y789&gt;0,VLOOKUP($J789,Ruimtegroepen[],3,FALSE)*VLOOKUP($K789,Vloersoorten[],3,FALSE)*VLOOKUP($X789,Frequenties[],3,FALSE)*VLOOKUP(#REF!,Locaties[],3,FALSE),0)</f>
        <v>0</v>
      </c>
      <c r="AA789" s="33"/>
      <c r="AB789" s="33"/>
      <c r="AC789" s="33">
        <f>Ruimtestaat[[#This Row],[uren / jaar weekend]]*Tariefsopbouw!$D$40</f>
        <v>0</v>
      </c>
      <c r="AD789" s="88">
        <f>Ruimtestaat[[#This Row],[Prest. (m2 /jaar) weekend]]+Ruimtestaat[[#This Row],[Prest. (m2 /jaar) werkdagen]]</f>
        <v>3096</v>
      </c>
      <c r="AE789" s="88">
        <f>Ruimtestaat[[#This Row],[uren / jaar weekend]]+Ruimtestaat[[#This Row],[uren / jaar werkdagen]]</f>
        <v>0</v>
      </c>
      <c r="AF789" s="89">
        <f>Ruimtestaat[[#This Row],[kosten / jaar weekend]]+Ruimtestaat[[#This Row],[kosten / jaar werkdagen]]</f>
        <v>0</v>
      </c>
    </row>
    <row r="790" spans="1:32" ht="15" customHeight="1">
      <c r="A790" s="280">
        <v>6</v>
      </c>
      <c r="B790" s="21" t="str">
        <f>VLOOKUP(Ruimtestaat[[#This Row],[Code]],Locaties[#All],2,FALSE)</f>
        <v>SGC Tubbergen</v>
      </c>
      <c r="C790" s="281" t="str">
        <f>VLOOKUP(Ruimtestaat[[#This Row],[Code]],Locaties[#All],4,FALSE)</f>
        <v>Huyerenseweg 1</v>
      </c>
      <c r="D790" s="281" t="str">
        <f>VLOOKUP(Ruimtestaat[[#This Row],[Code]],Locaties[#All],5,FALSE)</f>
        <v>7651 LR</v>
      </c>
      <c r="E790" s="281" t="str">
        <f>VLOOKUP(Ruimtestaat[[#This Row],[Code]],Locaties[#All],6,FALSE)</f>
        <v>Tubbergen</v>
      </c>
      <c r="F790" s="282"/>
      <c r="G790" s="201" t="s">
        <v>942</v>
      </c>
      <c r="H790" s="280"/>
      <c r="I790" s="244" t="s">
        <v>469</v>
      </c>
      <c r="J790" s="200">
        <v>6</v>
      </c>
      <c r="K790" s="243" t="s">
        <v>1043</v>
      </c>
      <c r="L790" s="284" t="s">
        <v>997</v>
      </c>
      <c r="M790" s="213">
        <v>16.5</v>
      </c>
      <c r="N790" s="202"/>
      <c r="O790" s="243" t="str">
        <f>VLOOKUP(Ruimtestaat[[#This Row],[Ruimte code]],Ruimtegroepen[#All],4,FALSE)</f>
        <v>V  (Verkeersruimte)</v>
      </c>
      <c r="P790" s="214"/>
      <c r="Q790" s="215">
        <v>40</v>
      </c>
      <c r="R790" s="215" t="s">
        <v>2</v>
      </c>
      <c r="S790" s="215">
        <f>IF(R790&gt;0,IF(RIGHT(Ruimtestaat[[#This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0" s="215">
        <f>IF(S790&gt;0,VLOOKUP($J790,Ruimtegroepen[],3,FALSE)*VLOOKUP($K790,Vloersoorten[],3,FALSE)*VLOOKUP($R790,Frequenties[],3,FALSE)*VLOOKUP($A790,Locaties[],3,FALSE),0)</f>
        <v>0</v>
      </c>
      <c r="U790" s="215">
        <f>Ruimtestaat[[#This Row],[Uitvoeringen werkdagen]]*Ruimtestaat[[#This Row],[Oppervlak (netto)]]</f>
        <v>3300</v>
      </c>
      <c r="V790" s="259">
        <f>IF(T790&gt;0,Ruimtestaat[[#This Row],[Prest. (m2 /jaar) werkdagen]]/Ruimtestaat[[#This Row],[Norm (m2/uur) werkdagen]],0)</f>
        <v>0</v>
      </c>
      <c r="W790" s="260">
        <f>Ruimtestaat[[#This Row],[uren / jaar werkdagen]]*Tariefsopbouw!$D$38</f>
        <v>0</v>
      </c>
      <c r="X790" s="33"/>
      <c r="Y790" s="33">
        <f>IF(Ruimtestaat[[#This Row],[Frequentie weekend]]&gt;0,VALUE(LEFT(X790,1))*Q790,0)</f>
        <v>0</v>
      </c>
      <c r="Z790" s="33">
        <f>IF($Y790&gt;0,VLOOKUP($J790,Ruimtegroepen[],3,FALSE)*VLOOKUP($K790,Vloersoorten[],3,FALSE)*VLOOKUP($X790,Frequenties[],3,FALSE)*VLOOKUP(#REF!,Locaties[],3,FALSE),0)</f>
        <v>0</v>
      </c>
      <c r="AA790" s="33"/>
      <c r="AB790" s="33"/>
      <c r="AC790" s="33">
        <f>Ruimtestaat[[#This Row],[uren / jaar weekend]]*Tariefsopbouw!$D$40</f>
        <v>0</v>
      </c>
      <c r="AD790" s="88">
        <f>Ruimtestaat[[#This Row],[Prest. (m2 /jaar) weekend]]+Ruimtestaat[[#This Row],[Prest. (m2 /jaar) werkdagen]]</f>
        <v>3300</v>
      </c>
      <c r="AE790" s="88">
        <f>Ruimtestaat[[#This Row],[uren / jaar weekend]]+Ruimtestaat[[#This Row],[uren / jaar werkdagen]]</f>
        <v>0</v>
      </c>
      <c r="AF790" s="89">
        <f>Ruimtestaat[[#This Row],[kosten / jaar weekend]]+Ruimtestaat[[#This Row],[kosten / jaar werkdagen]]</f>
        <v>0</v>
      </c>
    </row>
    <row r="791" spans="1:32" ht="15" customHeight="1">
      <c r="A791" s="280">
        <v>6</v>
      </c>
      <c r="B791" s="21" t="str">
        <f>VLOOKUP(Ruimtestaat[[#This Row],[Code]],Locaties[#All],2,FALSE)</f>
        <v>SGC Tubbergen</v>
      </c>
      <c r="C791" s="281" t="str">
        <f>VLOOKUP(Ruimtestaat[[#This Row],[Code]],Locaties[#All],4,FALSE)</f>
        <v>Huyerenseweg 1</v>
      </c>
      <c r="D791" s="281" t="str">
        <f>VLOOKUP(Ruimtestaat[[#This Row],[Code]],Locaties[#All],5,FALSE)</f>
        <v>7651 LR</v>
      </c>
      <c r="E791" s="281" t="str">
        <f>VLOOKUP(Ruimtestaat[[#This Row],[Code]],Locaties[#All],6,FALSE)</f>
        <v>Tubbergen</v>
      </c>
      <c r="F791" s="282"/>
      <c r="G791" s="201" t="s">
        <v>942</v>
      </c>
      <c r="H791" s="280"/>
      <c r="I791" s="244" t="s">
        <v>469</v>
      </c>
      <c r="J791" s="200">
        <v>6</v>
      </c>
      <c r="K791" s="243" t="s">
        <v>1043</v>
      </c>
      <c r="L791" s="284" t="s">
        <v>997</v>
      </c>
      <c r="M791" s="213">
        <v>73</v>
      </c>
      <c r="N791" s="202"/>
      <c r="O791" s="243" t="str">
        <f>VLOOKUP(Ruimtestaat[[#This Row],[Ruimte code]],Ruimtegroepen[#All],4,FALSE)</f>
        <v>V  (Verkeersruimte)</v>
      </c>
      <c r="P791" s="214"/>
      <c r="Q791" s="215">
        <v>40</v>
      </c>
      <c r="R791" s="215" t="s">
        <v>2</v>
      </c>
      <c r="S791" s="215">
        <f>IF(R791&gt;0,IF(RIGHT(Ruimtestaat[[#This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1" s="215">
        <f>IF(S791&gt;0,VLOOKUP($J791,Ruimtegroepen[],3,FALSE)*VLOOKUP($K791,Vloersoorten[],3,FALSE)*VLOOKUP($R791,Frequenties[],3,FALSE)*VLOOKUP($A791,Locaties[],3,FALSE),0)</f>
        <v>0</v>
      </c>
      <c r="U791" s="215">
        <f>Ruimtestaat[[#This Row],[Uitvoeringen werkdagen]]*Ruimtestaat[[#This Row],[Oppervlak (netto)]]</f>
        <v>14600</v>
      </c>
      <c r="V791" s="259">
        <f>IF(T791&gt;0,Ruimtestaat[[#This Row],[Prest. (m2 /jaar) werkdagen]]/Ruimtestaat[[#This Row],[Norm (m2/uur) werkdagen]],0)</f>
        <v>0</v>
      </c>
      <c r="W791" s="260">
        <f>Ruimtestaat[[#This Row],[uren / jaar werkdagen]]*Tariefsopbouw!$D$38</f>
        <v>0</v>
      </c>
      <c r="X791" s="33"/>
      <c r="Y791" s="33">
        <f>IF(Ruimtestaat[[#This Row],[Frequentie weekend]]&gt;0,VALUE(LEFT(X791,1))*Q791,0)</f>
        <v>0</v>
      </c>
      <c r="Z791" s="33">
        <f>IF($Y791&gt;0,VLOOKUP($J791,Ruimtegroepen[],3,FALSE)*VLOOKUP($K791,Vloersoorten[],3,FALSE)*VLOOKUP($X791,Frequenties[],3,FALSE)*VLOOKUP(#REF!,Locaties[],3,FALSE),0)</f>
        <v>0</v>
      </c>
      <c r="AA791" s="33"/>
      <c r="AB791" s="33"/>
      <c r="AC791" s="33">
        <f>Ruimtestaat[[#This Row],[uren / jaar weekend]]*Tariefsopbouw!$D$40</f>
        <v>0</v>
      </c>
      <c r="AD791" s="88">
        <f>Ruimtestaat[[#This Row],[Prest. (m2 /jaar) weekend]]+Ruimtestaat[[#This Row],[Prest. (m2 /jaar) werkdagen]]</f>
        <v>14600</v>
      </c>
      <c r="AE791" s="88">
        <f>Ruimtestaat[[#This Row],[uren / jaar weekend]]+Ruimtestaat[[#This Row],[uren / jaar werkdagen]]</f>
        <v>0</v>
      </c>
      <c r="AF791" s="89">
        <f>Ruimtestaat[[#This Row],[kosten / jaar weekend]]+Ruimtestaat[[#This Row],[kosten / jaar werkdagen]]</f>
        <v>0</v>
      </c>
    </row>
    <row r="792" spans="1:32" ht="15" customHeight="1">
      <c r="A792" s="280">
        <v>6</v>
      </c>
      <c r="B792" s="21" t="str">
        <f>VLOOKUP(Ruimtestaat[[#This Row],[Code]],Locaties[#All],2,FALSE)</f>
        <v>SGC Tubbergen</v>
      </c>
      <c r="C792" s="281" t="str">
        <f>VLOOKUP(Ruimtestaat[[#This Row],[Code]],Locaties[#All],4,FALSE)</f>
        <v>Huyerenseweg 1</v>
      </c>
      <c r="D792" s="281" t="str">
        <f>VLOOKUP(Ruimtestaat[[#This Row],[Code]],Locaties[#All],5,FALSE)</f>
        <v>7651 LR</v>
      </c>
      <c r="E792" s="281" t="str">
        <f>VLOOKUP(Ruimtestaat[[#This Row],[Code]],Locaties[#All],6,FALSE)</f>
        <v>Tubbergen</v>
      </c>
      <c r="F792" s="282"/>
      <c r="G792" s="201" t="s">
        <v>942</v>
      </c>
      <c r="H792" s="280"/>
      <c r="I792" s="244" t="s">
        <v>457</v>
      </c>
      <c r="J792" s="200">
        <v>10</v>
      </c>
      <c r="K792" s="243" t="s">
        <v>1043</v>
      </c>
      <c r="L792" s="284" t="s">
        <v>997</v>
      </c>
      <c r="M792" s="213">
        <v>11.4</v>
      </c>
      <c r="N792" s="202"/>
      <c r="O792" s="243" t="str">
        <f>VLOOKUP(Ruimtestaat[[#This Row],[Ruimte code]],Ruimtegroepen[#All],4,FALSE)</f>
        <v>V  (Verkeersruimte)</v>
      </c>
      <c r="P792" s="214"/>
      <c r="Q792" s="215">
        <v>40</v>
      </c>
      <c r="R792" s="215" t="s">
        <v>2</v>
      </c>
      <c r="S792" s="215">
        <f>IF(R792&gt;0,IF(RIGHT(Ruimtestaat[[#This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2" s="215">
        <f>IF(S792&gt;0,VLOOKUP($J792,Ruimtegroepen[],3,FALSE)*VLOOKUP($K792,Vloersoorten[],3,FALSE)*VLOOKUP($R792,Frequenties[],3,FALSE)*VLOOKUP($A792,Locaties[],3,FALSE),0)</f>
        <v>0</v>
      </c>
      <c r="U792" s="215">
        <f>Ruimtestaat[[#This Row],[Uitvoeringen werkdagen]]*Ruimtestaat[[#This Row],[Oppervlak (netto)]]</f>
        <v>2280</v>
      </c>
      <c r="V792" s="259">
        <f>IF(T792&gt;0,Ruimtestaat[[#This Row],[Prest. (m2 /jaar) werkdagen]]/Ruimtestaat[[#This Row],[Norm (m2/uur) werkdagen]],0)</f>
        <v>0</v>
      </c>
      <c r="W792" s="260">
        <f>Ruimtestaat[[#This Row],[uren / jaar werkdagen]]*Tariefsopbouw!$D$38</f>
        <v>0</v>
      </c>
      <c r="X792" s="33"/>
      <c r="Y792" s="33">
        <f>IF(Ruimtestaat[[#This Row],[Frequentie weekend]]&gt;0,VALUE(LEFT(X792,1))*Q792,0)</f>
        <v>0</v>
      </c>
      <c r="Z792" s="33">
        <f>IF($Y792&gt;0,VLOOKUP($J792,Ruimtegroepen[],3,FALSE)*VLOOKUP($K792,Vloersoorten[],3,FALSE)*VLOOKUP($X792,Frequenties[],3,FALSE)*VLOOKUP(#REF!,Locaties[],3,FALSE),0)</f>
        <v>0</v>
      </c>
      <c r="AA792" s="33"/>
      <c r="AB792" s="33"/>
      <c r="AC792" s="33">
        <f>Ruimtestaat[[#This Row],[uren / jaar weekend]]*Tariefsopbouw!$D$40</f>
        <v>0</v>
      </c>
      <c r="AD792" s="88">
        <f>Ruimtestaat[[#This Row],[Prest. (m2 /jaar) weekend]]+Ruimtestaat[[#This Row],[Prest. (m2 /jaar) werkdagen]]</f>
        <v>2280</v>
      </c>
      <c r="AE792" s="88">
        <f>Ruimtestaat[[#This Row],[uren / jaar weekend]]+Ruimtestaat[[#This Row],[uren / jaar werkdagen]]</f>
        <v>0</v>
      </c>
      <c r="AF792" s="89">
        <f>Ruimtestaat[[#This Row],[kosten / jaar weekend]]+Ruimtestaat[[#This Row],[kosten / jaar werkdagen]]</f>
        <v>0</v>
      </c>
    </row>
    <row r="793" spans="1:32" ht="15" customHeight="1">
      <c r="A793" s="280">
        <v>6</v>
      </c>
      <c r="B793" s="21" t="str">
        <f>VLOOKUP(Ruimtestaat[[#This Row],[Code]],Locaties[#All],2,FALSE)</f>
        <v>SGC Tubbergen</v>
      </c>
      <c r="C793" s="281" t="str">
        <f>VLOOKUP(Ruimtestaat[[#This Row],[Code]],Locaties[#All],4,FALSE)</f>
        <v>Huyerenseweg 1</v>
      </c>
      <c r="D793" s="281" t="str">
        <f>VLOOKUP(Ruimtestaat[[#This Row],[Code]],Locaties[#All],5,FALSE)</f>
        <v>7651 LR</v>
      </c>
      <c r="E793" s="281" t="str">
        <f>VLOOKUP(Ruimtestaat[[#This Row],[Code]],Locaties[#All],6,FALSE)</f>
        <v>Tubbergen</v>
      </c>
      <c r="F793" s="282"/>
      <c r="G793" s="201" t="s">
        <v>942</v>
      </c>
      <c r="H793" s="280"/>
      <c r="I793" s="244" t="s">
        <v>40</v>
      </c>
      <c r="J793" s="200">
        <v>7</v>
      </c>
      <c r="K793" s="243" t="s">
        <v>1040</v>
      </c>
      <c r="L793" s="284" t="s">
        <v>999</v>
      </c>
      <c r="M793" s="213">
        <v>8</v>
      </c>
      <c r="N793" s="202"/>
      <c r="O793" s="243" t="str">
        <f>VLOOKUP(Ruimtestaat[[#This Row],[Ruimte code]],Ruimtegroepen[#All],4,FALSE)</f>
        <v>V  (Verkeersruimte)</v>
      </c>
      <c r="P793" s="214"/>
      <c r="Q793" s="215">
        <v>40</v>
      </c>
      <c r="R793" s="215" t="s">
        <v>2</v>
      </c>
      <c r="S793" s="215">
        <f>IF(R793&gt;0,IF(RIGHT(Ruimtestaat[[#This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3" s="215">
        <f>IF(S793&gt;0,VLOOKUP($J793,Ruimtegroepen[],3,FALSE)*VLOOKUP($K793,Vloersoorten[],3,FALSE)*VLOOKUP($R793,Frequenties[],3,FALSE)*VLOOKUP($A793,Locaties[],3,FALSE),0)</f>
        <v>0</v>
      </c>
      <c r="U793" s="215">
        <f>Ruimtestaat[[#This Row],[Uitvoeringen werkdagen]]*Ruimtestaat[[#This Row],[Oppervlak (netto)]]</f>
        <v>1600</v>
      </c>
      <c r="V793" s="259">
        <f>IF(T793&gt;0,Ruimtestaat[[#This Row],[Prest. (m2 /jaar) werkdagen]]/Ruimtestaat[[#This Row],[Norm (m2/uur) werkdagen]],0)</f>
        <v>0</v>
      </c>
      <c r="W793" s="260">
        <f>Ruimtestaat[[#This Row],[uren / jaar werkdagen]]*Tariefsopbouw!$D$38</f>
        <v>0</v>
      </c>
      <c r="X793" s="33"/>
      <c r="Y793" s="33">
        <f>IF(Ruimtestaat[[#This Row],[Frequentie weekend]]&gt;0,VALUE(LEFT(X793,1))*Q793,0)</f>
        <v>0</v>
      </c>
      <c r="Z793" s="33">
        <f>IF($Y793&gt;0,VLOOKUP($J793,Ruimtegroepen[],3,FALSE)*VLOOKUP($K793,Vloersoorten[],3,FALSE)*VLOOKUP($X793,Frequenties[],3,FALSE)*VLOOKUP(#REF!,Locaties[],3,FALSE),0)</f>
        <v>0</v>
      </c>
      <c r="AA793" s="33"/>
      <c r="AB793" s="33"/>
      <c r="AC793" s="33">
        <f>Ruimtestaat[[#This Row],[uren / jaar weekend]]*Tariefsopbouw!$D$40</f>
        <v>0</v>
      </c>
      <c r="AD793" s="88">
        <f>Ruimtestaat[[#This Row],[Prest. (m2 /jaar) weekend]]+Ruimtestaat[[#This Row],[Prest. (m2 /jaar) werkdagen]]</f>
        <v>1600</v>
      </c>
      <c r="AE793" s="88">
        <f>Ruimtestaat[[#This Row],[uren / jaar weekend]]+Ruimtestaat[[#This Row],[uren / jaar werkdagen]]</f>
        <v>0</v>
      </c>
      <c r="AF793" s="89">
        <f>Ruimtestaat[[#This Row],[kosten / jaar weekend]]+Ruimtestaat[[#This Row],[kosten / jaar werkdagen]]</f>
        <v>0</v>
      </c>
    </row>
    <row r="794" spans="1:32" ht="15" customHeight="1">
      <c r="A794" s="280">
        <v>6</v>
      </c>
      <c r="B794" s="21" t="str">
        <f>VLOOKUP(Ruimtestaat[[#This Row],[Code]],Locaties[#All],2,FALSE)</f>
        <v>SGC Tubbergen</v>
      </c>
      <c r="C794" s="281" t="str">
        <f>VLOOKUP(Ruimtestaat[[#This Row],[Code]],Locaties[#All],4,FALSE)</f>
        <v>Huyerenseweg 1</v>
      </c>
      <c r="D794" s="281" t="str">
        <f>VLOOKUP(Ruimtestaat[[#This Row],[Code]],Locaties[#All],5,FALSE)</f>
        <v>7651 LR</v>
      </c>
      <c r="E794" s="281" t="str">
        <f>VLOOKUP(Ruimtestaat[[#This Row],[Code]],Locaties[#All],6,FALSE)</f>
        <v>Tubbergen</v>
      </c>
      <c r="F794" s="282"/>
      <c r="G794" s="201" t="s">
        <v>942</v>
      </c>
      <c r="H794" s="280"/>
      <c r="I794" s="244" t="s">
        <v>469</v>
      </c>
      <c r="J794" s="200">
        <v>6</v>
      </c>
      <c r="K794" s="243" t="s">
        <v>1041</v>
      </c>
      <c r="L794" s="284" t="s">
        <v>998</v>
      </c>
      <c r="M794" s="213">
        <v>66</v>
      </c>
      <c r="N794" s="202"/>
      <c r="O794" s="243" t="str">
        <f>VLOOKUP(Ruimtestaat[[#This Row],[Ruimte code]],Ruimtegroepen[#All],4,FALSE)</f>
        <v>V  (Verkeersruimte)</v>
      </c>
      <c r="P794" s="214"/>
      <c r="Q794" s="215">
        <v>40</v>
      </c>
      <c r="R794" s="215" t="s">
        <v>2</v>
      </c>
      <c r="S794" s="215">
        <f>IF(R794&gt;0,IF(RIGHT(Ruimtestaat[[#This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4" s="215">
        <f>IF(S794&gt;0,VLOOKUP($J794,Ruimtegroepen[],3,FALSE)*VLOOKUP($K794,Vloersoorten[],3,FALSE)*VLOOKUP($R794,Frequenties[],3,FALSE)*VLOOKUP($A794,Locaties[],3,FALSE),0)</f>
        <v>0</v>
      </c>
      <c r="U794" s="215">
        <f>Ruimtestaat[[#This Row],[Uitvoeringen werkdagen]]*Ruimtestaat[[#This Row],[Oppervlak (netto)]]</f>
        <v>13200</v>
      </c>
      <c r="V794" s="259">
        <f>IF(T794&gt;0,Ruimtestaat[[#This Row],[Prest. (m2 /jaar) werkdagen]]/Ruimtestaat[[#This Row],[Norm (m2/uur) werkdagen]],0)</f>
        <v>0</v>
      </c>
      <c r="W794" s="260">
        <f>Ruimtestaat[[#This Row],[uren / jaar werkdagen]]*Tariefsopbouw!$D$38</f>
        <v>0</v>
      </c>
      <c r="X794" s="33"/>
      <c r="Y794" s="33">
        <f>IF(Ruimtestaat[[#This Row],[Frequentie weekend]]&gt;0,VALUE(LEFT(X794,1))*Q794,0)</f>
        <v>0</v>
      </c>
      <c r="Z794" s="33">
        <f>IF($Y794&gt;0,VLOOKUP($J794,Ruimtegroepen[],3,FALSE)*VLOOKUP($K794,Vloersoorten[],3,FALSE)*VLOOKUP($X794,Frequenties[],3,FALSE)*VLOOKUP(#REF!,Locaties[],3,FALSE),0)</f>
        <v>0</v>
      </c>
      <c r="AA794" s="33"/>
      <c r="AB794" s="33"/>
      <c r="AC794" s="33">
        <f>Ruimtestaat[[#This Row],[uren / jaar weekend]]*Tariefsopbouw!$D$40</f>
        <v>0</v>
      </c>
      <c r="AD794" s="88">
        <f>Ruimtestaat[[#This Row],[Prest. (m2 /jaar) weekend]]+Ruimtestaat[[#This Row],[Prest. (m2 /jaar) werkdagen]]</f>
        <v>13200</v>
      </c>
      <c r="AE794" s="88">
        <f>Ruimtestaat[[#This Row],[uren / jaar weekend]]+Ruimtestaat[[#This Row],[uren / jaar werkdagen]]</f>
        <v>0</v>
      </c>
      <c r="AF794" s="89">
        <f>Ruimtestaat[[#This Row],[kosten / jaar weekend]]+Ruimtestaat[[#This Row],[kosten / jaar werkdagen]]</f>
        <v>0</v>
      </c>
    </row>
    <row r="795" spans="1:32" ht="15" customHeight="1">
      <c r="A795" s="280">
        <v>6</v>
      </c>
      <c r="B795" s="21" t="str">
        <f>VLOOKUP(Ruimtestaat[[#This Row],[Code]],Locaties[#All],2,FALSE)</f>
        <v>SGC Tubbergen</v>
      </c>
      <c r="C795" s="281" t="str">
        <f>VLOOKUP(Ruimtestaat[[#This Row],[Code]],Locaties[#All],4,FALSE)</f>
        <v>Huyerenseweg 1</v>
      </c>
      <c r="D795" s="281" t="str">
        <f>VLOOKUP(Ruimtestaat[[#This Row],[Code]],Locaties[#All],5,FALSE)</f>
        <v>7651 LR</v>
      </c>
      <c r="E795" s="281" t="str">
        <f>VLOOKUP(Ruimtestaat[[#This Row],[Code]],Locaties[#All],6,FALSE)</f>
        <v>Tubbergen</v>
      </c>
      <c r="F795" s="282"/>
      <c r="G795" s="201" t="s">
        <v>942</v>
      </c>
      <c r="H795" s="280"/>
      <c r="I795" s="244" t="s">
        <v>487</v>
      </c>
      <c r="J795" s="200">
        <v>2</v>
      </c>
      <c r="K795" s="243" t="s">
        <v>1040</v>
      </c>
      <c r="L795" s="284" t="s">
        <v>999</v>
      </c>
      <c r="M795" s="213">
        <v>31</v>
      </c>
      <c r="N795" s="202"/>
      <c r="O795" s="243" t="str">
        <f>VLOOKUP(Ruimtestaat[[#This Row],[Ruimte code]],Ruimtegroepen[#All],4,FALSE)</f>
        <v>B  (Bureauruimte)</v>
      </c>
      <c r="P795" s="214"/>
      <c r="Q795" s="215">
        <v>40</v>
      </c>
      <c r="R795" s="215" t="s">
        <v>17</v>
      </c>
      <c r="S795" s="215">
        <f>IF(R795&gt;0,IF(RIGHT(Ruimtestaat[[#This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795" s="215">
        <f>IF(S795&gt;0,VLOOKUP($J795,Ruimtegroepen[],3,FALSE)*VLOOKUP($K795,Vloersoorten[],3,FALSE)*VLOOKUP($R795,Frequenties[],3,FALSE)*VLOOKUP($A795,Locaties[],3,FALSE),0)</f>
        <v>0</v>
      </c>
      <c r="U795" s="215">
        <f>Ruimtestaat[[#This Row],[Uitvoeringen werkdagen]]*Ruimtestaat[[#This Row],[Oppervlak (netto)]]</f>
        <v>2480</v>
      </c>
      <c r="V795" s="259">
        <f>IF(T795&gt;0,Ruimtestaat[[#This Row],[Prest. (m2 /jaar) werkdagen]]/Ruimtestaat[[#This Row],[Norm (m2/uur) werkdagen]],0)</f>
        <v>0</v>
      </c>
      <c r="W795" s="260">
        <f>Ruimtestaat[[#This Row],[uren / jaar werkdagen]]*Tariefsopbouw!$D$38</f>
        <v>0</v>
      </c>
      <c r="X795" s="33"/>
      <c r="Y795" s="33">
        <f>IF(Ruimtestaat[[#This Row],[Frequentie weekend]]&gt;0,VALUE(LEFT(X795,1))*Q795,0)</f>
        <v>0</v>
      </c>
      <c r="Z795" s="33">
        <f>IF($Y795&gt;0,VLOOKUP($J795,Ruimtegroepen[],3,FALSE)*VLOOKUP($K795,Vloersoorten[],3,FALSE)*VLOOKUP($X795,Frequenties[],3,FALSE)*VLOOKUP(#REF!,Locaties[],3,FALSE),0)</f>
        <v>0</v>
      </c>
      <c r="AA795" s="33"/>
      <c r="AB795" s="33"/>
      <c r="AC795" s="33">
        <f>Ruimtestaat[[#This Row],[uren / jaar weekend]]*Tariefsopbouw!$D$40</f>
        <v>0</v>
      </c>
      <c r="AD795" s="88">
        <f>Ruimtestaat[[#This Row],[Prest. (m2 /jaar) weekend]]+Ruimtestaat[[#This Row],[Prest. (m2 /jaar) werkdagen]]</f>
        <v>2480</v>
      </c>
      <c r="AE795" s="88">
        <f>Ruimtestaat[[#This Row],[uren / jaar weekend]]+Ruimtestaat[[#This Row],[uren / jaar werkdagen]]</f>
        <v>0</v>
      </c>
      <c r="AF795" s="89">
        <f>Ruimtestaat[[#This Row],[kosten / jaar weekend]]+Ruimtestaat[[#This Row],[kosten / jaar werkdagen]]</f>
        <v>0</v>
      </c>
    </row>
    <row r="796" spans="1:32" ht="15" customHeight="1">
      <c r="A796" s="280">
        <v>6</v>
      </c>
      <c r="B796" s="21" t="str">
        <f>VLOOKUP(Ruimtestaat[[#This Row],[Code]],Locaties[#All],2,FALSE)</f>
        <v>SGC Tubbergen</v>
      </c>
      <c r="C796" s="281" t="str">
        <f>VLOOKUP(Ruimtestaat[[#This Row],[Code]],Locaties[#All],4,FALSE)</f>
        <v>Huyerenseweg 1</v>
      </c>
      <c r="D796" s="281" t="str">
        <f>VLOOKUP(Ruimtestaat[[#This Row],[Code]],Locaties[#All],5,FALSE)</f>
        <v>7651 LR</v>
      </c>
      <c r="E796" s="281" t="str">
        <f>VLOOKUP(Ruimtestaat[[#This Row],[Code]],Locaties[#All],6,FALSE)</f>
        <v>Tubbergen</v>
      </c>
      <c r="F796" s="282"/>
      <c r="G796" s="201" t="s">
        <v>942</v>
      </c>
      <c r="H796" s="280" t="s">
        <v>954</v>
      </c>
      <c r="I796" s="244" t="s">
        <v>396</v>
      </c>
      <c r="J796" s="215">
        <v>16</v>
      </c>
      <c r="K796" s="243" t="s">
        <v>1042</v>
      </c>
      <c r="L796" s="291" t="s">
        <v>1000</v>
      </c>
      <c r="M796" s="213">
        <v>103</v>
      </c>
      <c r="N796" s="202"/>
      <c r="O796" s="243" t="str">
        <f>VLOOKUP(Ruimtestaat[[#This Row],[Ruimte code]],Ruimtegroepen[#All],4,FALSE)</f>
        <v>L  (Lesruimte)</v>
      </c>
      <c r="P796" s="214"/>
      <c r="Q796" s="215">
        <v>40</v>
      </c>
      <c r="R796" s="215" t="s">
        <v>2</v>
      </c>
      <c r="S796" s="215">
        <f>IF(R796&gt;0,IF(RIGHT(Ruimtestaat[[#This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6" s="215">
        <f>IF(S796&gt;0,VLOOKUP($J796,Ruimtegroepen[],3,FALSE)*VLOOKUP($K796,Vloersoorten[],3,FALSE)*VLOOKUP($R796,Frequenties[],3,FALSE)*VLOOKUP($A796,Locaties[],3,FALSE),0)</f>
        <v>0</v>
      </c>
      <c r="U796" s="215">
        <f>Ruimtestaat[[#This Row],[Uitvoeringen werkdagen]]*Ruimtestaat[[#This Row],[Oppervlak (netto)]]</f>
        <v>20600</v>
      </c>
      <c r="V796" s="259">
        <f>IF(T796&gt;0,Ruimtestaat[[#This Row],[Prest. (m2 /jaar) werkdagen]]/Ruimtestaat[[#This Row],[Norm (m2/uur) werkdagen]],0)</f>
        <v>0</v>
      </c>
      <c r="W796" s="260">
        <f>Ruimtestaat[[#This Row],[uren / jaar werkdagen]]*Tariefsopbouw!$D$38</f>
        <v>0</v>
      </c>
      <c r="X796" s="33"/>
      <c r="Y796" s="33">
        <f>IF(Ruimtestaat[[#This Row],[Frequentie weekend]]&gt;0,VALUE(LEFT(X796,1))*Q796,0)</f>
        <v>0</v>
      </c>
      <c r="Z796" s="33">
        <f>IF($Y796&gt;0,VLOOKUP($J796,Ruimtegroepen[],3,FALSE)*VLOOKUP($K796,Vloersoorten[],3,FALSE)*VLOOKUP($X796,Frequenties[],3,FALSE)*VLOOKUP(#REF!,Locaties[],3,FALSE),0)</f>
        <v>0</v>
      </c>
      <c r="AA796" s="33"/>
      <c r="AB796" s="33"/>
      <c r="AC796" s="33">
        <f>Ruimtestaat[[#This Row],[uren / jaar weekend]]*Tariefsopbouw!$D$40</f>
        <v>0</v>
      </c>
      <c r="AD796" s="88">
        <f>Ruimtestaat[[#This Row],[Prest. (m2 /jaar) weekend]]+Ruimtestaat[[#This Row],[Prest. (m2 /jaar) werkdagen]]</f>
        <v>20600</v>
      </c>
      <c r="AE796" s="88">
        <f>Ruimtestaat[[#This Row],[uren / jaar weekend]]+Ruimtestaat[[#This Row],[uren / jaar werkdagen]]</f>
        <v>0</v>
      </c>
      <c r="AF796" s="89">
        <f>Ruimtestaat[[#This Row],[kosten / jaar weekend]]+Ruimtestaat[[#This Row],[kosten / jaar werkdagen]]</f>
        <v>0</v>
      </c>
    </row>
    <row r="797" spans="1:32" ht="15" customHeight="1">
      <c r="A797" s="280">
        <v>6</v>
      </c>
      <c r="B797" s="21" t="str">
        <f>VLOOKUP(Ruimtestaat[[#This Row],[Code]],Locaties[#All],2,FALSE)</f>
        <v>SGC Tubbergen</v>
      </c>
      <c r="C797" s="281" t="str">
        <f>VLOOKUP(Ruimtestaat[[#This Row],[Code]],Locaties[#All],4,FALSE)</f>
        <v>Huyerenseweg 1</v>
      </c>
      <c r="D797" s="281" t="str">
        <f>VLOOKUP(Ruimtestaat[[#This Row],[Code]],Locaties[#All],5,FALSE)</f>
        <v>7651 LR</v>
      </c>
      <c r="E797" s="281" t="str">
        <f>VLOOKUP(Ruimtestaat[[#This Row],[Code]],Locaties[#All],6,FALSE)</f>
        <v>Tubbergen</v>
      </c>
      <c r="F797" s="282"/>
      <c r="G797" s="201" t="s">
        <v>942</v>
      </c>
      <c r="H797" s="280" t="s">
        <v>954</v>
      </c>
      <c r="I797" s="244" t="s">
        <v>691</v>
      </c>
      <c r="J797" s="200">
        <v>1</v>
      </c>
      <c r="K797" s="243" t="s">
        <v>1041</v>
      </c>
      <c r="L797" s="284" t="s">
        <v>998</v>
      </c>
      <c r="M797" s="213">
        <v>13</v>
      </c>
      <c r="N797" s="202"/>
      <c r="O797" s="243" t="str">
        <f>VLOOKUP(Ruimtestaat[[#This Row],[Ruimte code]],Ruimtegroepen[#All],4,FALSE)</f>
        <v>V  (Verkeersruimte)</v>
      </c>
      <c r="P797" s="214"/>
      <c r="Q797" s="215">
        <v>40</v>
      </c>
      <c r="R797" s="215" t="s">
        <v>16</v>
      </c>
      <c r="S797" s="215">
        <f>IF(R797&gt;0,IF(RIGHT(Ruimtestaat[[#This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97" s="215">
        <f>IF(S797&gt;0,VLOOKUP($J797,Ruimtegroepen[],3,FALSE)*VLOOKUP($K797,Vloersoorten[],3,FALSE)*VLOOKUP($R797,Frequenties[],3,FALSE)*VLOOKUP($A797,Locaties[],3,FALSE),0)</f>
        <v>0</v>
      </c>
      <c r="U797" s="215">
        <f>Ruimtestaat[[#This Row],[Uitvoeringen werkdagen]]*Ruimtestaat[[#This Row],[Oppervlak (netto)]]</f>
        <v>156</v>
      </c>
      <c r="V797" s="259">
        <f>IF(T797&gt;0,Ruimtestaat[[#This Row],[Prest. (m2 /jaar) werkdagen]]/Ruimtestaat[[#This Row],[Norm (m2/uur) werkdagen]],0)</f>
        <v>0</v>
      </c>
      <c r="W797" s="260">
        <f>Ruimtestaat[[#This Row],[uren / jaar werkdagen]]*Tariefsopbouw!$D$38</f>
        <v>0</v>
      </c>
      <c r="X797" s="33"/>
      <c r="Y797" s="33">
        <f>IF(Ruimtestaat[[#This Row],[Frequentie weekend]]&gt;0,VALUE(LEFT(X797,1))*Q797,0)</f>
        <v>0</v>
      </c>
      <c r="Z797" s="33">
        <f>IF($Y797&gt;0,VLOOKUP($J797,Ruimtegroepen[],3,FALSE)*VLOOKUP($K797,Vloersoorten[],3,FALSE)*VLOOKUP($X797,Frequenties[],3,FALSE)*VLOOKUP(#REF!,Locaties[],3,FALSE),0)</f>
        <v>0</v>
      </c>
      <c r="AA797" s="33"/>
      <c r="AB797" s="33"/>
      <c r="AC797" s="33">
        <f>Ruimtestaat[[#This Row],[uren / jaar weekend]]*Tariefsopbouw!$D$40</f>
        <v>0</v>
      </c>
      <c r="AD797" s="88">
        <f>Ruimtestaat[[#This Row],[Prest. (m2 /jaar) weekend]]+Ruimtestaat[[#This Row],[Prest. (m2 /jaar) werkdagen]]</f>
        <v>156</v>
      </c>
      <c r="AE797" s="88">
        <f>Ruimtestaat[[#This Row],[uren / jaar weekend]]+Ruimtestaat[[#This Row],[uren / jaar werkdagen]]</f>
        <v>0</v>
      </c>
      <c r="AF797" s="89">
        <f>Ruimtestaat[[#This Row],[kosten / jaar weekend]]+Ruimtestaat[[#This Row],[kosten / jaar werkdagen]]</f>
        <v>0</v>
      </c>
    </row>
    <row r="798" spans="1:32" ht="15" customHeight="1">
      <c r="A798" s="280">
        <v>6</v>
      </c>
      <c r="B798" s="21" t="str">
        <f>VLOOKUP(Ruimtestaat[[#This Row],[Code]],Locaties[#All],2,FALSE)</f>
        <v>SGC Tubbergen</v>
      </c>
      <c r="C798" s="281" t="str">
        <f>VLOOKUP(Ruimtestaat[[#This Row],[Code]],Locaties[#All],4,FALSE)</f>
        <v>Huyerenseweg 1</v>
      </c>
      <c r="D798" s="281" t="str">
        <f>VLOOKUP(Ruimtestaat[[#This Row],[Code]],Locaties[#All],5,FALSE)</f>
        <v>7651 LR</v>
      </c>
      <c r="E798" s="281" t="str">
        <f>VLOOKUP(Ruimtestaat[[#This Row],[Code]],Locaties[#All],6,FALSE)</f>
        <v>Tubbergen</v>
      </c>
      <c r="F798" s="282"/>
      <c r="G798" s="201" t="s">
        <v>942</v>
      </c>
      <c r="H798" s="280" t="s">
        <v>954</v>
      </c>
      <c r="I798" s="244" t="s">
        <v>691</v>
      </c>
      <c r="J798" s="200">
        <v>1</v>
      </c>
      <c r="K798" s="243" t="s">
        <v>1041</v>
      </c>
      <c r="L798" s="284" t="s">
        <v>998</v>
      </c>
      <c r="M798" s="213">
        <v>13</v>
      </c>
      <c r="N798" s="202"/>
      <c r="O798" s="243" t="str">
        <f>VLOOKUP(Ruimtestaat[[#This Row],[Ruimte code]],Ruimtegroepen[#All],4,FALSE)</f>
        <v>V  (Verkeersruimte)</v>
      </c>
      <c r="P798" s="214"/>
      <c r="Q798" s="215">
        <v>40</v>
      </c>
      <c r="R798" s="215" t="s">
        <v>16</v>
      </c>
      <c r="S798" s="215">
        <f>IF(R798&gt;0,IF(RIGHT(Ruimtestaat[[#This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</v>
      </c>
      <c r="T798" s="215">
        <f>IF(S798&gt;0,VLOOKUP($J798,Ruimtegroepen[],3,FALSE)*VLOOKUP($K798,Vloersoorten[],3,FALSE)*VLOOKUP($R798,Frequenties[],3,FALSE)*VLOOKUP($A798,Locaties[],3,FALSE),0)</f>
        <v>0</v>
      </c>
      <c r="U798" s="215">
        <f>Ruimtestaat[[#This Row],[Uitvoeringen werkdagen]]*Ruimtestaat[[#This Row],[Oppervlak (netto)]]</f>
        <v>156</v>
      </c>
      <c r="V798" s="259">
        <f>IF(T798&gt;0,Ruimtestaat[[#This Row],[Prest. (m2 /jaar) werkdagen]]/Ruimtestaat[[#This Row],[Norm (m2/uur) werkdagen]],0)</f>
        <v>0</v>
      </c>
      <c r="W798" s="260">
        <f>Ruimtestaat[[#This Row],[uren / jaar werkdagen]]*Tariefsopbouw!$D$38</f>
        <v>0</v>
      </c>
      <c r="X798" s="33"/>
      <c r="Y798" s="33">
        <f>IF(Ruimtestaat[[#This Row],[Frequentie weekend]]&gt;0,VALUE(LEFT(X798,1))*Q798,0)</f>
        <v>0</v>
      </c>
      <c r="Z798" s="33">
        <f>IF($Y798&gt;0,VLOOKUP($J798,Ruimtegroepen[],3,FALSE)*VLOOKUP($K798,Vloersoorten[],3,FALSE)*VLOOKUP($X798,Frequenties[],3,FALSE)*VLOOKUP(#REF!,Locaties[],3,FALSE),0)</f>
        <v>0</v>
      </c>
      <c r="AA798" s="33"/>
      <c r="AB798" s="33"/>
      <c r="AC798" s="33">
        <f>Ruimtestaat[[#This Row],[uren / jaar weekend]]*Tariefsopbouw!$D$40</f>
        <v>0</v>
      </c>
      <c r="AD798" s="88">
        <f>Ruimtestaat[[#This Row],[Prest. (m2 /jaar) weekend]]+Ruimtestaat[[#This Row],[Prest. (m2 /jaar) werkdagen]]</f>
        <v>156</v>
      </c>
      <c r="AE798" s="88">
        <f>Ruimtestaat[[#This Row],[uren / jaar weekend]]+Ruimtestaat[[#This Row],[uren / jaar werkdagen]]</f>
        <v>0</v>
      </c>
      <c r="AF798" s="89">
        <f>Ruimtestaat[[#This Row],[kosten / jaar weekend]]+Ruimtestaat[[#This Row],[kosten / jaar werkdagen]]</f>
        <v>0</v>
      </c>
    </row>
    <row r="799" spans="1:32" ht="15" customHeight="1">
      <c r="A799" s="280">
        <v>6</v>
      </c>
      <c r="B799" s="21" t="str">
        <f>VLOOKUP(Ruimtestaat[[#This Row],[Code]],Locaties[#All],2,FALSE)</f>
        <v>SGC Tubbergen</v>
      </c>
      <c r="C799" s="281" t="str">
        <f>VLOOKUP(Ruimtestaat[[#This Row],[Code]],Locaties[#All],4,FALSE)</f>
        <v>Huyerenseweg 1</v>
      </c>
      <c r="D799" s="281" t="str">
        <f>VLOOKUP(Ruimtestaat[[#This Row],[Code]],Locaties[#All],5,FALSE)</f>
        <v>7651 LR</v>
      </c>
      <c r="E799" s="281" t="str">
        <f>VLOOKUP(Ruimtestaat[[#This Row],[Code]],Locaties[#All],6,FALSE)</f>
        <v>Tubbergen</v>
      </c>
      <c r="F799" s="282"/>
      <c r="G799" s="201" t="s">
        <v>942</v>
      </c>
      <c r="H799" s="280" t="s">
        <v>955</v>
      </c>
      <c r="I799" s="244" t="s">
        <v>396</v>
      </c>
      <c r="J799" s="215">
        <v>16</v>
      </c>
      <c r="K799" s="243" t="s">
        <v>1041</v>
      </c>
      <c r="L799" s="284" t="s">
        <v>998</v>
      </c>
      <c r="M799" s="213">
        <v>75</v>
      </c>
      <c r="N799" s="202"/>
      <c r="O799" s="243" t="str">
        <f>VLOOKUP(Ruimtestaat[[#This Row],[Ruimte code]],Ruimtegroepen[#All],4,FALSE)</f>
        <v>L  (Lesruimte)</v>
      </c>
      <c r="P799" s="214"/>
      <c r="Q799" s="215">
        <v>40</v>
      </c>
      <c r="R799" s="215" t="s">
        <v>2</v>
      </c>
      <c r="S799" s="215">
        <f>IF(R799&gt;0,IF(RIGHT(Ruimtestaat[[#This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799" s="215">
        <f>IF(S799&gt;0,VLOOKUP($J799,Ruimtegroepen[],3,FALSE)*VLOOKUP($K799,Vloersoorten[],3,FALSE)*VLOOKUP($R799,Frequenties[],3,FALSE)*VLOOKUP($A799,Locaties[],3,FALSE),0)</f>
        <v>0</v>
      </c>
      <c r="U799" s="215">
        <f>Ruimtestaat[[#This Row],[Uitvoeringen werkdagen]]*Ruimtestaat[[#This Row],[Oppervlak (netto)]]</f>
        <v>15000</v>
      </c>
      <c r="V799" s="259">
        <f>IF(T799&gt;0,Ruimtestaat[[#This Row],[Prest. (m2 /jaar) werkdagen]]/Ruimtestaat[[#This Row],[Norm (m2/uur) werkdagen]],0)</f>
        <v>0</v>
      </c>
      <c r="W799" s="260">
        <f>Ruimtestaat[[#This Row],[uren / jaar werkdagen]]*Tariefsopbouw!$D$38</f>
        <v>0</v>
      </c>
      <c r="X799" s="33"/>
      <c r="Y799" s="33">
        <f>IF(Ruimtestaat[[#This Row],[Frequentie weekend]]&gt;0,VALUE(LEFT(X799,1))*Q799,0)</f>
        <v>0</v>
      </c>
      <c r="Z799" s="33">
        <f>IF($Y799&gt;0,VLOOKUP($J799,Ruimtegroepen[],3,FALSE)*VLOOKUP($K799,Vloersoorten[],3,FALSE)*VLOOKUP($X799,Frequenties[],3,FALSE)*VLOOKUP(#REF!,Locaties[],3,FALSE),0)</f>
        <v>0</v>
      </c>
      <c r="AA799" s="33"/>
      <c r="AB799" s="33"/>
      <c r="AC799" s="33">
        <f>Ruimtestaat[[#This Row],[uren / jaar weekend]]*Tariefsopbouw!$D$40</f>
        <v>0</v>
      </c>
      <c r="AD799" s="88">
        <f>Ruimtestaat[[#This Row],[Prest. (m2 /jaar) weekend]]+Ruimtestaat[[#This Row],[Prest. (m2 /jaar) werkdagen]]</f>
        <v>15000</v>
      </c>
      <c r="AE799" s="88">
        <f>Ruimtestaat[[#This Row],[uren / jaar weekend]]+Ruimtestaat[[#This Row],[uren / jaar werkdagen]]</f>
        <v>0</v>
      </c>
      <c r="AF799" s="89">
        <f>Ruimtestaat[[#This Row],[kosten / jaar weekend]]+Ruimtestaat[[#This Row],[kosten / jaar werkdagen]]</f>
        <v>0</v>
      </c>
    </row>
    <row r="800" spans="1:32" ht="15" customHeight="1">
      <c r="A800" s="280">
        <v>6</v>
      </c>
      <c r="B800" s="21" t="str">
        <f>VLOOKUP(Ruimtestaat[[#This Row],[Code]],Locaties[#All],2,FALSE)</f>
        <v>SGC Tubbergen</v>
      </c>
      <c r="C800" s="281" t="str">
        <f>VLOOKUP(Ruimtestaat[[#This Row],[Code]],Locaties[#All],4,FALSE)</f>
        <v>Huyerenseweg 1</v>
      </c>
      <c r="D800" s="281" t="str">
        <f>VLOOKUP(Ruimtestaat[[#This Row],[Code]],Locaties[#All],5,FALSE)</f>
        <v>7651 LR</v>
      </c>
      <c r="E800" s="281" t="str">
        <f>VLOOKUP(Ruimtestaat[[#This Row],[Code]],Locaties[#All],6,FALSE)</f>
        <v>Tubbergen</v>
      </c>
      <c r="F800" s="282"/>
      <c r="G800" s="201" t="s">
        <v>942</v>
      </c>
      <c r="H800" s="280" t="s">
        <v>956</v>
      </c>
      <c r="I800" s="244" t="s">
        <v>396</v>
      </c>
      <c r="J800" s="215">
        <v>16</v>
      </c>
      <c r="K800" s="243" t="s">
        <v>1041</v>
      </c>
      <c r="L800" s="284" t="s">
        <v>998</v>
      </c>
      <c r="M800" s="213">
        <v>60</v>
      </c>
      <c r="N800" s="202"/>
      <c r="O800" s="243" t="str">
        <f>VLOOKUP(Ruimtestaat[[#This Row],[Ruimte code]],Ruimtegroepen[#All],4,FALSE)</f>
        <v>L  (Lesruimte)</v>
      </c>
      <c r="P800" s="214"/>
      <c r="Q800" s="215">
        <v>40</v>
      </c>
      <c r="R800" s="215" t="s">
        <v>2</v>
      </c>
      <c r="S800" s="215">
        <f>IF(R800&gt;0,IF(RIGHT(Ruimtestaat[[#This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0" s="215">
        <f>IF(S800&gt;0,VLOOKUP($J800,Ruimtegroepen[],3,FALSE)*VLOOKUP($K800,Vloersoorten[],3,FALSE)*VLOOKUP($R800,Frequenties[],3,FALSE)*VLOOKUP($A800,Locaties[],3,FALSE),0)</f>
        <v>0</v>
      </c>
      <c r="U800" s="215">
        <f>Ruimtestaat[[#This Row],[Uitvoeringen werkdagen]]*Ruimtestaat[[#This Row],[Oppervlak (netto)]]</f>
        <v>12000</v>
      </c>
      <c r="V800" s="259">
        <f>IF(T800&gt;0,Ruimtestaat[[#This Row],[Prest. (m2 /jaar) werkdagen]]/Ruimtestaat[[#This Row],[Norm (m2/uur) werkdagen]],0)</f>
        <v>0</v>
      </c>
      <c r="W800" s="260">
        <f>Ruimtestaat[[#This Row],[uren / jaar werkdagen]]*Tariefsopbouw!$D$38</f>
        <v>0</v>
      </c>
      <c r="X800" s="33"/>
      <c r="Y800" s="33">
        <f>IF(Ruimtestaat[[#This Row],[Frequentie weekend]]&gt;0,VALUE(LEFT(X800,1))*Q800,0)</f>
        <v>0</v>
      </c>
      <c r="Z800" s="33">
        <f>IF($Y800&gt;0,VLOOKUP($J800,Ruimtegroepen[],3,FALSE)*VLOOKUP($K800,Vloersoorten[],3,FALSE)*VLOOKUP($X800,Frequenties[],3,FALSE)*VLOOKUP(#REF!,Locaties[],3,FALSE),0)</f>
        <v>0</v>
      </c>
      <c r="AA800" s="33"/>
      <c r="AB800" s="33"/>
      <c r="AC800" s="33">
        <f>Ruimtestaat[[#This Row],[uren / jaar weekend]]*Tariefsopbouw!$D$40</f>
        <v>0</v>
      </c>
      <c r="AD800" s="88">
        <f>Ruimtestaat[[#This Row],[Prest. (m2 /jaar) weekend]]+Ruimtestaat[[#This Row],[Prest. (m2 /jaar) werkdagen]]</f>
        <v>12000</v>
      </c>
      <c r="AE800" s="88">
        <f>Ruimtestaat[[#This Row],[uren / jaar weekend]]+Ruimtestaat[[#This Row],[uren / jaar werkdagen]]</f>
        <v>0</v>
      </c>
      <c r="AF800" s="89">
        <f>Ruimtestaat[[#This Row],[kosten / jaar weekend]]+Ruimtestaat[[#This Row],[kosten / jaar werkdagen]]</f>
        <v>0</v>
      </c>
    </row>
    <row r="801" spans="1:32" ht="15" customHeight="1">
      <c r="A801" s="280">
        <v>6</v>
      </c>
      <c r="B801" s="21" t="str">
        <f>VLOOKUP(Ruimtestaat[[#This Row],[Code]],Locaties[#All],2,FALSE)</f>
        <v>SGC Tubbergen</v>
      </c>
      <c r="C801" s="281" t="str">
        <f>VLOOKUP(Ruimtestaat[[#This Row],[Code]],Locaties[#All],4,FALSE)</f>
        <v>Huyerenseweg 1</v>
      </c>
      <c r="D801" s="281" t="str">
        <f>VLOOKUP(Ruimtestaat[[#This Row],[Code]],Locaties[#All],5,FALSE)</f>
        <v>7651 LR</v>
      </c>
      <c r="E801" s="281" t="str">
        <f>VLOOKUP(Ruimtestaat[[#This Row],[Code]],Locaties[#All],6,FALSE)</f>
        <v>Tubbergen</v>
      </c>
      <c r="F801" s="282"/>
      <c r="G801" s="201" t="s">
        <v>942</v>
      </c>
      <c r="H801" s="280" t="s">
        <v>957</v>
      </c>
      <c r="I801" s="244" t="s">
        <v>487</v>
      </c>
      <c r="J801" s="200">
        <v>2</v>
      </c>
      <c r="K801" s="243" t="s">
        <v>1041</v>
      </c>
      <c r="L801" s="284" t="s">
        <v>998</v>
      </c>
      <c r="M801" s="213">
        <v>25</v>
      </c>
      <c r="N801" s="202"/>
      <c r="O801" s="243" t="str">
        <f>VLOOKUP(Ruimtestaat[[#This Row],[Ruimte code]],Ruimtegroepen[#All],4,FALSE)</f>
        <v>B  (Bureauruimte)</v>
      </c>
      <c r="P801" s="214"/>
      <c r="Q801" s="215">
        <v>40</v>
      </c>
      <c r="R801" s="215" t="s">
        <v>17</v>
      </c>
      <c r="S801" s="215">
        <f>IF(R801&gt;0,IF(RIGHT(Ruimtestaat[[#This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01" s="215">
        <f>IF(S801&gt;0,VLOOKUP($J801,Ruimtegroepen[],3,FALSE)*VLOOKUP($K801,Vloersoorten[],3,FALSE)*VLOOKUP($R801,Frequenties[],3,FALSE)*VLOOKUP($A801,Locaties[],3,FALSE),0)</f>
        <v>0</v>
      </c>
      <c r="U801" s="215">
        <f>Ruimtestaat[[#This Row],[Uitvoeringen werkdagen]]*Ruimtestaat[[#This Row],[Oppervlak (netto)]]</f>
        <v>2000</v>
      </c>
      <c r="V801" s="259">
        <f>IF(T801&gt;0,Ruimtestaat[[#This Row],[Prest. (m2 /jaar) werkdagen]]/Ruimtestaat[[#This Row],[Norm (m2/uur) werkdagen]],0)</f>
        <v>0</v>
      </c>
      <c r="W801" s="260">
        <f>Ruimtestaat[[#This Row],[uren / jaar werkdagen]]*Tariefsopbouw!$D$38</f>
        <v>0</v>
      </c>
      <c r="X801" s="33"/>
      <c r="Y801" s="33">
        <f>IF(Ruimtestaat[[#This Row],[Frequentie weekend]]&gt;0,VALUE(LEFT(X801,1))*Q801,0)</f>
        <v>0</v>
      </c>
      <c r="Z801" s="33">
        <f>IF($Y801&gt;0,VLOOKUP($J801,Ruimtegroepen[],3,FALSE)*VLOOKUP($K801,Vloersoorten[],3,FALSE)*VLOOKUP($X801,Frequenties[],3,FALSE)*VLOOKUP(#REF!,Locaties[],3,FALSE),0)</f>
        <v>0</v>
      </c>
      <c r="AA801" s="33"/>
      <c r="AB801" s="33"/>
      <c r="AC801" s="33">
        <f>Ruimtestaat[[#This Row],[uren / jaar weekend]]*Tariefsopbouw!$D$40</f>
        <v>0</v>
      </c>
      <c r="AD801" s="88">
        <f>Ruimtestaat[[#This Row],[Prest. (m2 /jaar) weekend]]+Ruimtestaat[[#This Row],[Prest. (m2 /jaar) werkdagen]]</f>
        <v>2000</v>
      </c>
      <c r="AE801" s="88">
        <f>Ruimtestaat[[#This Row],[uren / jaar weekend]]+Ruimtestaat[[#This Row],[uren / jaar werkdagen]]</f>
        <v>0</v>
      </c>
      <c r="AF801" s="89">
        <f>Ruimtestaat[[#This Row],[kosten / jaar weekend]]+Ruimtestaat[[#This Row],[kosten / jaar werkdagen]]</f>
        <v>0</v>
      </c>
    </row>
    <row r="802" spans="1:32" ht="15" customHeight="1">
      <c r="A802" s="280">
        <v>6</v>
      </c>
      <c r="B802" s="21" t="str">
        <f>VLOOKUP(Ruimtestaat[[#This Row],[Code]],Locaties[#All],2,FALSE)</f>
        <v>SGC Tubbergen</v>
      </c>
      <c r="C802" s="281" t="str">
        <f>VLOOKUP(Ruimtestaat[[#This Row],[Code]],Locaties[#All],4,FALSE)</f>
        <v>Huyerenseweg 1</v>
      </c>
      <c r="D802" s="281" t="str">
        <f>VLOOKUP(Ruimtestaat[[#This Row],[Code]],Locaties[#All],5,FALSE)</f>
        <v>7651 LR</v>
      </c>
      <c r="E802" s="281" t="str">
        <f>VLOOKUP(Ruimtestaat[[#This Row],[Code]],Locaties[#All],6,FALSE)</f>
        <v>Tubbergen</v>
      </c>
      <c r="F802" s="282"/>
      <c r="G802" s="201" t="s">
        <v>942</v>
      </c>
      <c r="H802" s="280" t="s">
        <v>958</v>
      </c>
      <c r="I802" s="244" t="s">
        <v>396</v>
      </c>
      <c r="J802" s="215">
        <v>16</v>
      </c>
      <c r="K802" s="243" t="s">
        <v>1041</v>
      </c>
      <c r="L802" s="284" t="s">
        <v>998</v>
      </c>
      <c r="M802" s="213">
        <v>90</v>
      </c>
      <c r="N802" s="202"/>
      <c r="O802" s="243" t="str">
        <f>VLOOKUP(Ruimtestaat[[#This Row],[Ruimte code]],Ruimtegroepen[#All],4,FALSE)</f>
        <v>L  (Lesruimte)</v>
      </c>
      <c r="P802" s="214"/>
      <c r="Q802" s="215">
        <v>40</v>
      </c>
      <c r="R802" s="215" t="s">
        <v>2</v>
      </c>
      <c r="S802" s="215">
        <f>IF(R802&gt;0,IF(RIGHT(Ruimtestaat[[#This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2" s="215">
        <f>IF(S802&gt;0,VLOOKUP($J802,Ruimtegroepen[],3,FALSE)*VLOOKUP($K802,Vloersoorten[],3,FALSE)*VLOOKUP($R802,Frequenties[],3,FALSE)*VLOOKUP($A802,Locaties[],3,FALSE),0)</f>
        <v>0</v>
      </c>
      <c r="U802" s="215">
        <f>Ruimtestaat[[#This Row],[Uitvoeringen werkdagen]]*Ruimtestaat[[#This Row],[Oppervlak (netto)]]</f>
        <v>18000</v>
      </c>
      <c r="V802" s="259">
        <f>IF(T802&gt;0,Ruimtestaat[[#This Row],[Prest. (m2 /jaar) werkdagen]]/Ruimtestaat[[#This Row],[Norm (m2/uur) werkdagen]],0)</f>
        <v>0</v>
      </c>
      <c r="W802" s="260">
        <f>Ruimtestaat[[#This Row],[uren / jaar werkdagen]]*Tariefsopbouw!$D$38</f>
        <v>0</v>
      </c>
      <c r="X802" s="33"/>
      <c r="Y802" s="33">
        <f>IF(Ruimtestaat[[#This Row],[Frequentie weekend]]&gt;0,VALUE(LEFT(X802,1))*Q802,0)</f>
        <v>0</v>
      </c>
      <c r="Z802" s="33">
        <f>IF($Y802&gt;0,VLOOKUP($J802,Ruimtegroepen[],3,FALSE)*VLOOKUP($K802,Vloersoorten[],3,FALSE)*VLOOKUP($X802,Frequenties[],3,FALSE)*VLOOKUP(#REF!,Locaties[],3,FALSE),0)</f>
        <v>0</v>
      </c>
      <c r="AA802" s="33"/>
      <c r="AB802" s="33"/>
      <c r="AC802" s="33">
        <f>Ruimtestaat[[#This Row],[uren / jaar weekend]]*Tariefsopbouw!$D$40</f>
        <v>0</v>
      </c>
      <c r="AD802" s="88">
        <f>Ruimtestaat[[#This Row],[Prest. (m2 /jaar) weekend]]+Ruimtestaat[[#This Row],[Prest. (m2 /jaar) werkdagen]]</f>
        <v>18000</v>
      </c>
      <c r="AE802" s="88">
        <f>Ruimtestaat[[#This Row],[uren / jaar weekend]]+Ruimtestaat[[#This Row],[uren / jaar werkdagen]]</f>
        <v>0</v>
      </c>
      <c r="AF802" s="89">
        <f>Ruimtestaat[[#This Row],[kosten / jaar weekend]]+Ruimtestaat[[#This Row],[kosten / jaar werkdagen]]</f>
        <v>0</v>
      </c>
    </row>
    <row r="803" spans="1:32" ht="15" customHeight="1">
      <c r="A803" s="280">
        <v>6</v>
      </c>
      <c r="B803" s="21" t="str">
        <f>VLOOKUP(Ruimtestaat[[#This Row],[Code]],Locaties[#All],2,FALSE)</f>
        <v>SGC Tubbergen</v>
      </c>
      <c r="C803" s="281" t="str">
        <f>VLOOKUP(Ruimtestaat[[#This Row],[Code]],Locaties[#All],4,FALSE)</f>
        <v>Huyerenseweg 1</v>
      </c>
      <c r="D803" s="281" t="str">
        <f>VLOOKUP(Ruimtestaat[[#This Row],[Code]],Locaties[#All],5,FALSE)</f>
        <v>7651 LR</v>
      </c>
      <c r="E803" s="281" t="str">
        <f>VLOOKUP(Ruimtestaat[[#This Row],[Code]],Locaties[#All],6,FALSE)</f>
        <v>Tubbergen</v>
      </c>
      <c r="F803" s="282"/>
      <c r="G803" s="201" t="s">
        <v>942</v>
      </c>
      <c r="H803" s="280" t="s">
        <v>958</v>
      </c>
      <c r="I803" s="244" t="s">
        <v>396</v>
      </c>
      <c r="J803" s="215">
        <v>16</v>
      </c>
      <c r="K803" s="243" t="s">
        <v>1043</v>
      </c>
      <c r="L803" s="284" t="s">
        <v>997</v>
      </c>
      <c r="M803" s="213">
        <v>10</v>
      </c>
      <c r="N803" s="202"/>
      <c r="O803" s="243" t="str">
        <f>VLOOKUP(Ruimtestaat[[#This Row],[Ruimte code]],Ruimtegroepen[#All],4,FALSE)</f>
        <v>L  (Lesruimte)</v>
      </c>
      <c r="P803" s="214"/>
      <c r="Q803" s="215">
        <v>40</v>
      </c>
      <c r="R803" s="215" t="s">
        <v>2</v>
      </c>
      <c r="S803" s="215">
        <f>IF(R803&gt;0,IF(RIGHT(Ruimtestaat[[#This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3" s="215">
        <f>IF(S803&gt;0,VLOOKUP($J803,Ruimtegroepen[],3,FALSE)*VLOOKUP($K803,Vloersoorten[],3,FALSE)*VLOOKUP($R803,Frequenties[],3,FALSE)*VLOOKUP($A803,Locaties[],3,FALSE),0)</f>
        <v>0</v>
      </c>
      <c r="U803" s="215">
        <f>Ruimtestaat[[#This Row],[Uitvoeringen werkdagen]]*Ruimtestaat[[#This Row],[Oppervlak (netto)]]</f>
        <v>2000</v>
      </c>
      <c r="V803" s="259">
        <f>IF(T803&gt;0,Ruimtestaat[[#This Row],[Prest. (m2 /jaar) werkdagen]]/Ruimtestaat[[#This Row],[Norm (m2/uur) werkdagen]],0)</f>
        <v>0</v>
      </c>
      <c r="W803" s="260">
        <f>Ruimtestaat[[#This Row],[uren / jaar werkdagen]]*Tariefsopbouw!$D$38</f>
        <v>0</v>
      </c>
      <c r="X803" s="33"/>
      <c r="Y803" s="33">
        <f>IF(Ruimtestaat[[#This Row],[Frequentie weekend]]&gt;0,VALUE(LEFT(X803,1))*Q803,0)</f>
        <v>0</v>
      </c>
      <c r="Z803" s="33">
        <f>IF($Y803&gt;0,VLOOKUP($J803,Ruimtegroepen[],3,FALSE)*VLOOKUP($K803,Vloersoorten[],3,FALSE)*VLOOKUP($X803,Frequenties[],3,FALSE)*VLOOKUP(#REF!,Locaties[],3,FALSE),0)</f>
        <v>0</v>
      </c>
      <c r="AA803" s="33"/>
      <c r="AB803" s="33"/>
      <c r="AC803" s="33">
        <f>Ruimtestaat[[#This Row],[uren / jaar weekend]]*Tariefsopbouw!$D$40</f>
        <v>0</v>
      </c>
      <c r="AD803" s="88">
        <f>Ruimtestaat[[#This Row],[Prest. (m2 /jaar) weekend]]+Ruimtestaat[[#This Row],[Prest. (m2 /jaar) werkdagen]]</f>
        <v>2000</v>
      </c>
      <c r="AE803" s="88">
        <f>Ruimtestaat[[#This Row],[uren / jaar weekend]]+Ruimtestaat[[#This Row],[uren / jaar werkdagen]]</f>
        <v>0</v>
      </c>
      <c r="AF803" s="89">
        <f>Ruimtestaat[[#This Row],[kosten / jaar weekend]]+Ruimtestaat[[#This Row],[kosten / jaar werkdagen]]</f>
        <v>0</v>
      </c>
    </row>
    <row r="804" spans="1:32" ht="15" customHeight="1">
      <c r="A804" s="280">
        <v>6</v>
      </c>
      <c r="B804" s="21" t="str">
        <f>VLOOKUP(Ruimtestaat[[#This Row],[Code]],Locaties[#All],2,FALSE)</f>
        <v>SGC Tubbergen</v>
      </c>
      <c r="C804" s="281" t="str">
        <f>VLOOKUP(Ruimtestaat[[#This Row],[Code]],Locaties[#All],4,FALSE)</f>
        <v>Huyerenseweg 1</v>
      </c>
      <c r="D804" s="281" t="str">
        <f>VLOOKUP(Ruimtestaat[[#This Row],[Code]],Locaties[#All],5,FALSE)</f>
        <v>7651 LR</v>
      </c>
      <c r="E804" s="281" t="str">
        <f>VLOOKUP(Ruimtestaat[[#This Row],[Code]],Locaties[#All],6,FALSE)</f>
        <v>Tubbergen</v>
      </c>
      <c r="F804" s="282"/>
      <c r="G804" s="201" t="s">
        <v>942</v>
      </c>
      <c r="H804" s="280" t="s">
        <v>959</v>
      </c>
      <c r="I804" s="244" t="s">
        <v>487</v>
      </c>
      <c r="J804" s="215">
        <v>2</v>
      </c>
      <c r="K804" s="243" t="s">
        <v>1040</v>
      </c>
      <c r="L804" s="284" t="s">
        <v>999</v>
      </c>
      <c r="M804" s="213">
        <v>22</v>
      </c>
      <c r="N804" s="202"/>
      <c r="O804" s="243" t="str">
        <f>VLOOKUP(Ruimtestaat[[#This Row],[Ruimte code]],Ruimtegroepen[#All],4,FALSE)</f>
        <v>B  (Bureauruimte)</v>
      </c>
      <c r="P804" s="214"/>
      <c r="Q804" s="215">
        <v>40</v>
      </c>
      <c r="R804" s="215" t="s">
        <v>17</v>
      </c>
      <c r="S804" s="215">
        <f>IF(R804&gt;0,IF(RIGHT(Ruimtestaat[[#This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04" s="215">
        <f>IF(S804&gt;0,VLOOKUP($J804,Ruimtegroepen[],3,FALSE)*VLOOKUP($K804,Vloersoorten[],3,FALSE)*VLOOKUP($R804,Frequenties[],3,FALSE)*VLOOKUP($A804,Locaties[],3,FALSE),0)</f>
        <v>0</v>
      </c>
      <c r="U804" s="215">
        <f>Ruimtestaat[[#This Row],[Uitvoeringen werkdagen]]*Ruimtestaat[[#This Row],[Oppervlak (netto)]]</f>
        <v>1760</v>
      </c>
      <c r="V804" s="259">
        <f>IF(T804&gt;0,Ruimtestaat[[#This Row],[Prest. (m2 /jaar) werkdagen]]/Ruimtestaat[[#This Row],[Norm (m2/uur) werkdagen]],0)</f>
        <v>0</v>
      </c>
      <c r="W804" s="260">
        <f>Ruimtestaat[[#This Row],[uren / jaar werkdagen]]*Tariefsopbouw!$D$38</f>
        <v>0</v>
      </c>
      <c r="X804" s="33"/>
      <c r="Y804" s="33">
        <f>IF(Ruimtestaat[[#This Row],[Frequentie weekend]]&gt;0,VALUE(LEFT(X804,1))*Q804,0)</f>
        <v>0</v>
      </c>
      <c r="Z804" s="33">
        <f>IF($Y804&gt;0,VLOOKUP($J804,Ruimtegroepen[],3,FALSE)*VLOOKUP($K804,Vloersoorten[],3,FALSE)*VLOOKUP($X804,Frequenties[],3,FALSE)*VLOOKUP(#REF!,Locaties[],3,FALSE),0)</f>
        <v>0</v>
      </c>
      <c r="AA804" s="33"/>
      <c r="AB804" s="33"/>
      <c r="AC804" s="33">
        <f>Ruimtestaat[[#This Row],[uren / jaar weekend]]*Tariefsopbouw!$D$40</f>
        <v>0</v>
      </c>
      <c r="AD804" s="88">
        <f>Ruimtestaat[[#This Row],[Prest. (m2 /jaar) weekend]]+Ruimtestaat[[#This Row],[Prest. (m2 /jaar) werkdagen]]</f>
        <v>1760</v>
      </c>
      <c r="AE804" s="88">
        <f>Ruimtestaat[[#This Row],[uren / jaar weekend]]+Ruimtestaat[[#This Row],[uren / jaar werkdagen]]</f>
        <v>0</v>
      </c>
      <c r="AF804" s="89">
        <f>Ruimtestaat[[#This Row],[kosten / jaar weekend]]+Ruimtestaat[[#This Row],[kosten / jaar werkdagen]]</f>
        <v>0</v>
      </c>
    </row>
    <row r="805" spans="1:32" ht="15" customHeight="1">
      <c r="A805" s="280">
        <v>6</v>
      </c>
      <c r="B805" s="21" t="str">
        <f>VLOOKUP(Ruimtestaat[[#This Row],[Code]],Locaties[#All],2,FALSE)</f>
        <v>SGC Tubbergen</v>
      </c>
      <c r="C805" s="281" t="str">
        <f>VLOOKUP(Ruimtestaat[[#This Row],[Code]],Locaties[#All],4,FALSE)</f>
        <v>Huyerenseweg 1</v>
      </c>
      <c r="D805" s="281" t="str">
        <f>VLOOKUP(Ruimtestaat[[#This Row],[Code]],Locaties[#All],5,FALSE)</f>
        <v>7651 LR</v>
      </c>
      <c r="E805" s="281" t="str">
        <f>VLOOKUP(Ruimtestaat[[#This Row],[Code]],Locaties[#All],6,FALSE)</f>
        <v>Tubbergen</v>
      </c>
      <c r="F805" s="282"/>
      <c r="G805" s="201" t="s">
        <v>942</v>
      </c>
      <c r="H805" s="280" t="s">
        <v>960</v>
      </c>
      <c r="I805" s="244" t="s">
        <v>1039</v>
      </c>
      <c r="J805" s="200">
        <v>8</v>
      </c>
      <c r="K805" s="243" t="s">
        <v>1040</v>
      </c>
      <c r="L805" s="284" t="s">
        <v>999</v>
      </c>
      <c r="M805" s="213">
        <v>52</v>
      </c>
      <c r="N805" s="202"/>
      <c r="O805" s="243" t="str">
        <f>VLOOKUP(Ruimtestaat[[#This Row],[Ruimte code]],Ruimtegroepen[#All],4,FALSE)</f>
        <v>L  (Lesruimte)</v>
      </c>
      <c r="P805" s="214"/>
      <c r="Q805" s="215">
        <v>40</v>
      </c>
      <c r="R805" s="215" t="s">
        <v>2</v>
      </c>
      <c r="S805" s="215">
        <f>IF(R805&gt;0,IF(RIGHT(Ruimtestaat[[#This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5" s="215">
        <f>IF(S805&gt;0,VLOOKUP($J805,Ruimtegroepen[],3,FALSE)*VLOOKUP($K805,Vloersoorten[],3,FALSE)*VLOOKUP($R805,Frequenties[],3,FALSE)*VLOOKUP($A805,Locaties[],3,FALSE),0)</f>
        <v>0</v>
      </c>
      <c r="U805" s="215">
        <f>Ruimtestaat[[#This Row],[Uitvoeringen werkdagen]]*Ruimtestaat[[#This Row],[Oppervlak (netto)]]</f>
        <v>10400</v>
      </c>
      <c r="V805" s="259">
        <f>IF(T805&gt;0,Ruimtestaat[[#This Row],[Prest. (m2 /jaar) werkdagen]]/Ruimtestaat[[#This Row],[Norm (m2/uur) werkdagen]],0)</f>
        <v>0</v>
      </c>
      <c r="W805" s="260">
        <f>Ruimtestaat[[#This Row],[uren / jaar werkdagen]]*Tariefsopbouw!$D$38</f>
        <v>0</v>
      </c>
      <c r="X805" s="33"/>
      <c r="Y805" s="33">
        <f>IF(Ruimtestaat[[#This Row],[Frequentie weekend]]&gt;0,VALUE(LEFT(X805,1))*Q805,0)</f>
        <v>0</v>
      </c>
      <c r="Z805" s="33">
        <f>IF($Y805&gt;0,VLOOKUP($J805,Ruimtegroepen[],3,FALSE)*VLOOKUP($K805,Vloersoorten[],3,FALSE)*VLOOKUP($X805,Frequenties[],3,FALSE)*VLOOKUP(#REF!,Locaties[],3,FALSE),0)</f>
        <v>0</v>
      </c>
      <c r="AA805" s="33"/>
      <c r="AB805" s="33"/>
      <c r="AC805" s="33">
        <f>Ruimtestaat[[#This Row],[uren / jaar weekend]]*Tariefsopbouw!$D$40</f>
        <v>0</v>
      </c>
      <c r="AD805" s="88">
        <f>Ruimtestaat[[#This Row],[Prest. (m2 /jaar) weekend]]+Ruimtestaat[[#This Row],[Prest. (m2 /jaar) werkdagen]]</f>
        <v>10400</v>
      </c>
      <c r="AE805" s="88">
        <f>Ruimtestaat[[#This Row],[uren / jaar weekend]]+Ruimtestaat[[#This Row],[uren / jaar werkdagen]]</f>
        <v>0</v>
      </c>
      <c r="AF805" s="89">
        <f>Ruimtestaat[[#This Row],[kosten / jaar weekend]]+Ruimtestaat[[#This Row],[kosten / jaar werkdagen]]</f>
        <v>0</v>
      </c>
    </row>
    <row r="806" spans="1:32" ht="15" customHeight="1">
      <c r="A806" s="280">
        <v>6</v>
      </c>
      <c r="B806" s="21" t="str">
        <f>VLOOKUP(Ruimtestaat[[#This Row],[Code]],Locaties[#All],2,FALSE)</f>
        <v>SGC Tubbergen</v>
      </c>
      <c r="C806" s="281" t="str">
        <f>VLOOKUP(Ruimtestaat[[#This Row],[Code]],Locaties[#All],4,FALSE)</f>
        <v>Huyerenseweg 1</v>
      </c>
      <c r="D806" s="281" t="str">
        <f>VLOOKUP(Ruimtestaat[[#This Row],[Code]],Locaties[#All],5,FALSE)</f>
        <v>7651 LR</v>
      </c>
      <c r="E806" s="281" t="str">
        <f>VLOOKUP(Ruimtestaat[[#This Row],[Code]],Locaties[#All],6,FALSE)</f>
        <v>Tubbergen</v>
      </c>
      <c r="F806" s="282"/>
      <c r="G806" s="201" t="s">
        <v>942</v>
      </c>
      <c r="H806" s="280" t="s">
        <v>961</v>
      </c>
      <c r="I806" s="244" t="s">
        <v>396</v>
      </c>
      <c r="J806" s="215">
        <v>16</v>
      </c>
      <c r="K806" s="243" t="s">
        <v>1040</v>
      </c>
      <c r="L806" s="284" t="s">
        <v>999</v>
      </c>
      <c r="M806" s="213">
        <v>46.1</v>
      </c>
      <c r="N806" s="202"/>
      <c r="O806" s="243" t="str">
        <f>VLOOKUP(Ruimtestaat[[#This Row],[Ruimte code]],Ruimtegroepen[#All],4,FALSE)</f>
        <v>L  (Lesruimte)</v>
      </c>
      <c r="P806" s="214"/>
      <c r="Q806" s="215">
        <v>40</v>
      </c>
      <c r="R806" s="215" t="s">
        <v>2</v>
      </c>
      <c r="S806" s="215">
        <f>IF(R806&gt;0,IF(RIGHT(Ruimtestaat[[#This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6" s="215">
        <f>IF(S806&gt;0,VLOOKUP($J806,Ruimtegroepen[],3,FALSE)*VLOOKUP($K806,Vloersoorten[],3,FALSE)*VLOOKUP($R806,Frequenties[],3,FALSE)*VLOOKUP($A806,Locaties[],3,FALSE),0)</f>
        <v>0</v>
      </c>
      <c r="U806" s="215">
        <f>Ruimtestaat[[#This Row],[Uitvoeringen werkdagen]]*Ruimtestaat[[#This Row],[Oppervlak (netto)]]</f>
        <v>9220</v>
      </c>
      <c r="V806" s="259">
        <f>IF(T806&gt;0,Ruimtestaat[[#This Row],[Prest. (m2 /jaar) werkdagen]]/Ruimtestaat[[#This Row],[Norm (m2/uur) werkdagen]],0)</f>
        <v>0</v>
      </c>
      <c r="W806" s="260">
        <f>Ruimtestaat[[#This Row],[uren / jaar werkdagen]]*Tariefsopbouw!$D$38</f>
        <v>0</v>
      </c>
      <c r="X806" s="33"/>
      <c r="Y806" s="33">
        <f>IF(Ruimtestaat[[#This Row],[Frequentie weekend]]&gt;0,VALUE(LEFT(X806,1))*Q806,0)</f>
        <v>0</v>
      </c>
      <c r="Z806" s="33">
        <f>IF($Y806&gt;0,VLOOKUP($J806,Ruimtegroepen[],3,FALSE)*VLOOKUP($K806,Vloersoorten[],3,FALSE)*VLOOKUP($X806,Frequenties[],3,FALSE)*VLOOKUP(#REF!,Locaties[],3,FALSE),0)</f>
        <v>0</v>
      </c>
      <c r="AA806" s="33"/>
      <c r="AB806" s="33"/>
      <c r="AC806" s="33">
        <f>Ruimtestaat[[#This Row],[uren / jaar weekend]]*Tariefsopbouw!$D$40</f>
        <v>0</v>
      </c>
      <c r="AD806" s="88">
        <f>Ruimtestaat[[#This Row],[Prest. (m2 /jaar) weekend]]+Ruimtestaat[[#This Row],[Prest. (m2 /jaar) werkdagen]]</f>
        <v>9220</v>
      </c>
      <c r="AE806" s="88">
        <f>Ruimtestaat[[#This Row],[uren / jaar weekend]]+Ruimtestaat[[#This Row],[uren / jaar werkdagen]]</f>
        <v>0</v>
      </c>
      <c r="AF806" s="89">
        <f>Ruimtestaat[[#This Row],[kosten / jaar weekend]]+Ruimtestaat[[#This Row],[kosten / jaar werkdagen]]</f>
        <v>0</v>
      </c>
    </row>
    <row r="807" spans="1:32" ht="15" customHeight="1">
      <c r="A807" s="280">
        <v>6</v>
      </c>
      <c r="B807" s="21" t="str">
        <f>VLOOKUP(Ruimtestaat[[#This Row],[Code]],Locaties[#All],2,FALSE)</f>
        <v>SGC Tubbergen</v>
      </c>
      <c r="C807" s="281" t="str">
        <f>VLOOKUP(Ruimtestaat[[#This Row],[Code]],Locaties[#All],4,FALSE)</f>
        <v>Huyerenseweg 1</v>
      </c>
      <c r="D807" s="281" t="str">
        <f>VLOOKUP(Ruimtestaat[[#This Row],[Code]],Locaties[#All],5,FALSE)</f>
        <v>7651 LR</v>
      </c>
      <c r="E807" s="281" t="str">
        <f>VLOOKUP(Ruimtestaat[[#This Row],[Code]],Locaties[#All],6,FALSE)</f>
        <v>Tubbergen</v>
      </c>
      <c r="F807" s="282"/>
      <c r="G807" s="201" t="s">
        <v>942</v>
      </c>
      <c r="H807" s="280" t="s">
        <v>962</v>
      </c>
      <c r="I807" s="244" t="s">
        <v>396</v>
      </c>
      <c r="J807" s="215">
        <v>16</v>
      </c>
      <c r="K807" s="243" t="s">
        <v>1040</v>
      </c>
      <c r="L807" s="284" t="s">
        <v>999</v>
      </c>
      <c r="M807" s="213">
        <v>53</v>
      </c>
      <c r="N807" s="202"/>
      <c r="O807" s="243" t="str">
        <f>VLOOKUP(Ruimtestaat[[#This Row],[Ruimte code]],Ruimtegroepen[#All],4,FALSE)</f>
        <v>L  (Lesruimte)</v>
      </c>
      <c r="P807" s="214"/>
      <c r="Q807" s="215">
        <v>40</v>
      </c>
      <c r="R807" s="215" t="s">
        <v>2</v>
      </c>
      <c r="S807" s="215">
        <f>IF(R807&gt;0,IF(RIGHT(Ruimtestaat[[#This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7" s="215">
        <f>IF(S807&gt;0,VLOOKUP($J807,Ruimtegroepen[],3,FALSE)*VLOOKUP($K807,Vloersoorten[],3,FALSE)*VLOOKUP($R807,Frequenties[],3,FALSE)*VLOOKUP($A807,Locaties[],3,FALSE),0)</f>
        <v>0</v>
      </c>
      <c r="U807" s="215">
        <f>Ruimtestaat[[#This Row],[Uitvoeringen werkdagen]]*Ruimtestaat[[#This Row],[Oppervlak (netto)]]</f>
        <v>10600</v>
      </c>
      <c r="V807" s="259">
        <f>IF(T807&gt;0,Ruimtestaat[[#This Row],[Prest. (m2 /jaar) werkdagen]]/Ruimtestaat[[#This Row],[Norm (m2/uur) werkdagen]],0)</f>
        <v>0</v>
      </c>
      <c r="W807" s="260">
        <f>Ruimtestaat[[#This Row],[uren / jaar werkdagen]]*Tariefsopbouw!$D$38</f>
        <v>0</v>
      </c>
      <c r="X807" s="33"/>
      <c r="Y807" s="33">
        <f>IF(Ruimtestaat[[#This Row],[Frequentie weekend]]&gt;0,VALUE(LEFT(X807,1))*Q807,0)</f>
        <v>0</v>
      </c>
      <c r="Z807" s="33">
        <f>IF($Y807&gt;0,VLOOKUP($J807,Ruimtegroepen[],3,FALSE)*VLOOKUP($K807,Vloersoorten[],3,FALSE)*VLOOKUP($X807,Frequenties[],3,FALSE)*VLOOKUP(#REF!,Locaties[],3,FALSE),0)</f>
        <v>0</v>
      </c>
      <c r="AA807" s="33"/>
      <c r="AB807" s="33"/>
      <c r="AC807" s="33">
        <f>Ruimtestaat[[#This Row],[uren / jaar weekend]]*Tariefsopbouw!$D$40</f>
        <v>0</v>
      </c>
      <c r="AD807" s="88">
        <f>Ruimtestaat[[#This Row],[Prest. (m2 /jaar) weekend]]+Ruimtestaat[[#This Row],[Prest. (m2 /jaar) werkdagen]]</f>
        <v>10600</v>
      </c>
      <c r="AE807" s="88">
        <f>Ruimtestaat[[#This Row],[uren / jaar weekend]]+Ruimtestaat[[#This Row],[uren / jaar werkdagen]]</f>
        <v>0</v>
      </c>
      <c r="AF807" s="89">
        <f>Ruimtestaat[[#This Row],[kosten / jaar weekend]]+Ruimtestaat[[#This Row],[kosten / jaar werkdagen]]</f>
        <v>0</v>
      </c>
    </row>
    <row r="808" spans="1:32" ht="15" customHeight="1">
      <c r="A808" s="280">
        <v>6</v>
      </c>
      <c r="B808" s="21" t="str">
        <f>VLOOKUP(Ruimtestaat[[#This Row],[Code]],Locaties[#All],2,FALSE)</f>
        <v>SGC Tubbergen</v>
      </c>
      <c r="C808" s="281" t="str">
        <f>VLOOKUP(Ruimtestaat[[#This Row],[Code]],Locaties[#All],4,FALSE)</f>
        <v>Huyerenseweg 1</v>
      </c>
      <c r="D808" s="281" t="str">
        <f>VLOOKUP(Ruimtestaat[[#This Row],[Code]],Locaties[#All],5,FALSE)</f>
        <v>7651 LR</v>
      </c>
      <c r="E808" s="281" t="str">
        <f>VLOOKUP(Ruimtestaat[[#This Row],[Code]],Locaties[#All],6,FALSE)</f>
        <v>Tubbergen</v>
      </c>
      <c r="F808" s="282"/>
      <c r="G808" s="201" t="s">
        <v>942</v>
      </c>
      <c r="H808" s="280"/>
      <c r="I808" s="244" t="s">
        <v>1038</v>
      </c>
      <c r="J808" s="281">
        <v>6</v>
      </c>
      <c r="K808" s="243" t="s">
        <v>1043</v>
      </c>
      <c r="L808" s="284" t="s">
        <v>997</v>
      </c>
      <c r="M808" s="213">
        <v>32</v>
      </c>
      <c r="N808" s="202"/>
      <c r="O808" s="243" t="str">
        <f>VLOOKUP(Ruimtestaat[[#This Row],[Ruimte code]],Ruimtegroepen[#All],4,FALSE)</f>
        <v>V  (Verkeersruimte)</v>
      </c>
      <c r="P808" s="214"/>
      <c r="Q808" s="215">
        <v>40</v>
      </c>
      <c r="R808" s="215" t="s">
        <v>2</v>
      </c>
      <c r="S808" s="215">
        <f>IF(R808&gt;0,IF(RIGHT(Ruimtestaat[[#This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08" s="215">
        <f>IF(S808&gt;0,VLOOKUP($J808,Ruimtegroepen[],3,FALSE)*VLOOKUP($K808,Vloersoorten[],3,FALSE)*VLOOKUP($R808,Frequenties[],3,FALSE)*VLOOKUP($A808,Locaties[],3,FALSE),0)</f>
        <v>0</v>
      </c>
      <c r="U808" s="215">
        <f>Ruimtestaat[[#This Row],[Uitvoeringen werkdagen]]*Ruimtestaat[[#This Row],[Oppervlak (netto)]]</f>
        <v>6400</v>
      </c>
      <c r="V808" s="259">
        <f>IF(T808&gt;0,Ruimtestaat[[#This Row],[Prest. (m2 /jaar) werkdagen]]/Ruimtestaat[[#This Row],[Norm (m2/uur) werkdagen]],0)</f>
        <v>0</v>
      </c>
      <c r="W808" s="260">
        <f>Ruimtestaat[[#This Row],[uren / jaar werkdagen]]*Tariefsopbouw!$D$38</f>
        <v>0</v>
      </c>
      <c r="X808" s="33"/>
      <c r="Y808" s="33">
        <f>IF(Ruimtestaat[[#This Row],[Frequentie weekend]]&gt;0,VALUE(LEFT(X808,1))*Q808,0)</f>
        <v>0</v>
      </c>
      <c r="Z808" s="33">
        <f>IF($Y808&gt;0,VLOOKUP($J808,Ruimtegroepen[],3,FALSE)*VLOOKUP($K808,Vloersoorten[],3,FALSE)*VLOOKUP($X808,Frequenties[],3,FALSE)*VLOOKUP(#REF!,Locaties[],3,FALSE),0)</f>
        <v>0</v>
      </c>
      <c r="AA808" s="33"/>
      <c r="AB808" s="33"/>
      <c r="AC808" s="33">
        <f>Ruimtestaat[[#This Row],[uren / jaar weekend]]*Tariefsopbouw!$D$40</f>
        <v>0</v>
      </c>
      <c r="AD808" s="88">
        <f>Ruimtestaat[[#This Row],[Prest. (m2 /jaar) weekend]]+Ruimtestaat[[#This Row],[Prest. (m2 /jaar) werkdagen]]</f>
        <v>6400</v>
      </c>
      <c r="AE808" s="88">
        <f>Ruimtestaat[[#This Row],[uren / jaar weekend]]+Ruimtestaat[[#This Row],[uren / jaar werkdagen]]</f>
        <v>0</v>
      </c>
      <c r="AF808" s="89">
        <f>Ruimtestaat[[#This Row],[kosten / jaar weekend]]+Ruimtestaat[[#This Row],[kosten / jaar werkdagen]]</f>
        <v>0</v>
      </c>
    </row>
    <row r="809" spans="1:32" ht="15" customHeight="1">
      <c r="A809" s="280">
        <v>6</v>
      </c>
      <c r="B809" s="21" t="str">
        <f>VLOOKUP(Ruimtestaat[[#This Row],[Code]],Locaties[#All],2,FALSE)</f>
        <v>SGC Tubbergen</v>
      </c>
      <c r="C809" s="281" t="str">
        <f>VLOOKUP(Ruimtestaat[[#This Row],[Code]],Locaties[#All],4,FALSE)</f>
        <v>Huyerenseweg 1</v>
      </c>
      <c r="D809" s="281" t="str">
        <f>VLOOKUP(Ruimtestaat[[#This Row],[Code]],Locaties[#All],5,FALSE)</f>
        <v>7651 LR</v>
      </c>
      <c r="E809" s="281" t="str">
        <f>VLOOKUP(Ruimtestaat[[#This Row],[Code]],Locaties[#All],6,FALSE)</f>
        <v>Tubbergen</v>
      </c>
      <c r="F809" s="282"/>
      <c r="G809" s="201" t="s">
        <v>942</v>
      </c>
      <c r="H809" s="280"/>
      <c r="I809" s="244" t="s">
        <v>1044</v>
      </c>
      <c r="J809" s="200">
        <v>21</v>
      </c>
      <c r="K809" s="243" t="s">
        <v>1040</v>
      </c>
      <c r="L809" s="284" t="s">
        <v>999</v>
      </c>
      <c r="M809" s="213"/>
      <c r="N809" s="213">
        <v>4</v>
      </c>
      <c r="O809" s="243" t="str">
        <f>VLOOKUP(Ruimtestaat[[#This Row],[Ruimte code]],Ruimtegroepen[#All],4,FALSE)</f>
        <v>Niet in onderhoud</v>
      </c>
      <c r="P809" s="214"/>
      <c r="Q809" s="215"/>
      <c r="R809" s="215"/>
      <c r="S809" s="215">
        <f>IF(R809&gt;0,IF(RIGHT(Ruimtestaat[[#This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09" s="215">
        <f>IF(S809&gt;0,VLOOKUP($J809,Ruimtegroepen[],3,FALSE)*VLOOKUP($K809,Vloersoorten[],3,FALSE)*VLOOKUP($R809,Frequenties[],3,FALSE)*VLOOKUP($A809,Locaties[],3,FALSE),0)</f>
        <v>0</v>
      </c>
      <c r="U809" s="215">
        <f>Ruimtestaat[[#This Row],[Uitvoeringen werkdagen]]*Ruimtestaat[[#This Row],[Oppervlak (netto)]]</f>
        <v>0</v>
      </c>
      <c r="V809" s="259">
        <f>IF(T809&gt;0,Ruimtestaat[[#This Row],[Prest. (m2 /jaar) werkdagen]]/Ruimtestaat[[#This Row],[Norm (m2/uur) werkdagen]],0)</f>
        <v>0</v>
      </c>
      <c r="W809" s="260">
        <f>Ruimtestaat[[#This Row],[uren / jaar werkdagen]]*Tariefsopbouw!$D$38</f>
        <v>0</v>
      </c>
      <c r="X809" s="33"/>
      <c r="Y809" s="33">
        <f>IF(Ruimtestaat[[#This Row],[Frequentie weekend]]&gt;0,VALUE(LEFT(X809,1))*Q809,0)</f>
        <v>0</v>
      </c>
      <c r="Z809" s="33">
        <f>IF($Y809&gt;0,VLOOKUP($J809,Ruimtegroepen[],3,FALSE)*VLOOKUP($K809,Vloersoorten[],3,FALSE)*VLOOKUP($X809,Frequenties[],3,FALSE)*VLOOKUP(#REF!,Locaties[],3,FALSE),0)</f>
        <v>0</v>
      </c>
      <c r="AA809" s="33"/>
      <c r="AB809" s="33"/>
      <c r="AC809" s="33">
        <f>Ruimtestaat[[#This Row],[uren / jaar weekend]]*Tariefsopbouw!$D$40</f>
        <v>0</v>
      </c>
      <c r="AD809" s="88">
        <f>Ruimtestaat[[#This Row],[Prest. (m2 /jaar) weekend]]+Ruimtestaat[[#This Row],[Prest. (m2 /jaar) werkdagen]]</f>
        <v>0</v>
      </c>
      <c r="AE809" s="88">
        <f>Ruimtestaat[[#This Row],[uren / jaar weekend]]+Ruimtestaat[[#This Row],[uren / jaar werkdagen]]</f>
        <v>0</v>
      </c>
      <c r="AF809" s="89">
        <f>Ruimtestaat[[#This Row],[kosten / jaar weekend]]+Ruimtestaat[[#This Row],[kosten / jaar werkdagen]]</f>
        <v>0</v>
      </c>
    </row>
    <row r="810" spans="1:32" ht="15" customHeight="1">
      <c r="A810" s="280">
        <v>6</v>
      </c>
      <c r="B810" s="21" t="str">
        <f>VLOOKUP(Ruimtestaat[[#This Row],[Code]],Locaties[#All],2,FALSE)</f>
        <v>SGC Tubbergen</v>
      </c>
      <c r="C810" s="281" t="str">
        <f>VLOOKUP(Ruimtestaat[[#This Row],[Code]],Locaties[#All],4,FALSE)</f>
        <v>Huyerenseweg 1</v>
      </c>
      <c r="D810" s="281" t="str">
        <f>VLOOKUP(Ruimtestaat[[#This Row],[Code]],Locaties[#All],5,FALSE)</f>
        <v>7651 LR</v>
      </c>
      <c r="E810" s="281" t="str">
        <f>VLOOKUP(Ruimtestaat[[#This Row],[Code]],Locaties[#All],6,FALSE)</f>
        <v>Tubbergen</v>
      </c>
      <c r="F810" s="282"/>
      <c r="G810" s="201" t="s">
        <v>942</v>
      </c>
      <c r="H810" s="280"/>
      <c r="I810" s="244" t="s">
        <v>1036</v>
      </c>
      <c r="J810" s="200">
        <v>5</v>
      </c>
      <c r="K810" s="243" t="s">
        <v>1043</v>
      </c>
      <c r="L810" s="284" t="s">
        <v>997</v>
      </c>
      <c r="M810" s="213">
        <v>7</v>
      </c>
      <c r="N810" s="202"/>
      <c r="O810" s="243" t="str">
        <f>VLOOKUP(Ruimtestaat[[#This Row],[Ruimte code]],Ruimtegroepen[#All],4,FALSE)</f>
        <v>S  (Sanitair)</v>
      </c>
      <c r="P810" s="214"/>
      <c r="Q810" s="215">
        <v>40</v>
      </c>
      <c r="R810" s="215" t="s">
        <v>2</v>
      </c>
      <c r="S810" s="215">
        <f>IF(R810&gt;0,IF(RIGHT(Ruimtestaat[[#This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0" s="215">
        <f>IF(S810&gt;0,VLOOKUP($J810,Ruimtegroepen[],3,FALSE)*VLOOKUP($K810,Vloersoorten[],3,FALSE)*VLOOKUP($R810,Frequenties[],3,FALSE)*VLOOKUP($A810,Locaties[],3,FALSE),0)</f>
        <v>0</v>
      </c>
      <c r="U810" s="215">
        <f>Ruimtestaat[[#This Row],[Uitvoeringen werkdagen]]*Ruimtestaat[[#This Row],[Oppervlak (netto)]]</f>
        <v>1400</v>
      </c>
      <c r="V810" s="259">
        <f>IF(T810&gt;0,Ruimtestaat[[#This Row],[Prest. (m2 /jaar) werkdagen]]/Ruimtestaat[[#This Row],[Norm (m2/uur) werkdagen]],0)</f>
        <v>0</v>
      </c>
      <c r="W810" s="260">
        <f>Ruimtestaat[[#This Row],[uren / jaar werkdagen]]*Tariefsopbouw!$D$38</f>
        <v>0</v>
      </c>
      <c r="X810" s="33"/>
      <c r="Y810" s="33">
        <f>IF(Ruimtestaat[[#This Row],[Frequentie weekend]]&gt;0,VALUE(LEFT(X810,1))*Q810,0)</f>
        <v>0</v>
      </c>
      <c r="Z810" s="33">
        <f>IF($Y810&gt;0,VLOOKUP($J810,Ruimtegroepen[],3,FALSE)*VLOOKUP($K810,Vloersoorten[],3,FALSE)*VLOOKUP($X810,Frequenties[],3,FALSE)*VLOOKUP(#REF!,Locaties[],3,FALSE),0)</f>
        <v>0</v>
      </c>
      <c r="AA810" s="33"/>
      <c r="AB810" s="33"/>
      <c r="AC810" s="33">
        <f>Ruimtestaat[[#This Row],[uren / jaar weekend]]*Tariefsopbouw!$D$40</f>
        <v>0</v>
      </c>
      <c r="AD810" s="88">
        <f>Ruimtestaat[[#This Row],[Prest. (m2 /jaar) weekend]]+Ruimtestaat[[#This Row],[Prest. (m2 /jaar) werkdagen]]</f>
        <v>1400</v>
      </c>
      <c r="AE810" s="88">
        <f>Ruimtestaat[[#This Row],[uren / jaar weekend]]+Ruimtestaat[[#This Row],[uren / jaar werkdagen]]</f>
        <v>0</v>
      </c>
      <c r="AF810" s="89">
        <f>Ruimtestaat[[#This Row],[kosten / jaar weekend]]+Ruimtestaat[[#This Row],[kosten / jaar werkdagen]]</f>
        <v>0</v>
      </c>
    </row>
    <row r="811" spans="1:32" ht="15" customHeight="1">
      <c r="A811" s="280">
        <v>6</v>
      </c>
      <c r="B811" s="21" t="str">
        <f>VLOOKUP(Ruimtestaat[[#This Row],[Code]],Locaties[#All],2,FALSE)</f>
        <v>SGC Tubbergen</v>
      </c>
      <c r="C811" s="281" t="str">
        <f>VLOOKUP(Ruimtestaat[[#This Row],[Code]],Locaties[#All],4,FALSE)</f>
        <v>Huyerenseweg 1</v>
      </c>
      <c r="D811" s="281" t="str">
        <f>VLOOKUP(Ruimtestaat[[#This Row],[Code]],Locaties[#All],5,FALSE)</f>
        <v>7651 LR</v>
      </c>
      <c r="E811" s="281" t="str">
        <f>VLOOKUP(Ruimtestaat[[#This Row],[Code]],Locaties[#All],6,FALSE)</f>
        <v>Tubbergen</v>
      </c>
      <c r="F811" s="282"/>
      <c r="G811" s="201" t="s">
        <v>942</v>
      </c>
      <c r="H811" s="280"/>
      <c r="I811" s="244" t="s">
        <v>721</v>
      </c>
      <c r="J811" s="200">
        <v>5</v>
      </c>
      <c r="K811" s="243" t="s">
        <v>1043</v>
      </c>
      <c r="L811" s="284" t="s">
        <v>997</v>
      </c>
      <c r="M811" s="213">
        <v>8.35</v>
      </c>
      <c r="N811" s="202"/>
      <c r="O811" s="243" t="str">
        <f>VLOOKUP(Ruimtestaat[[#This Row],[Ruimte code]],Ruimtegroepen[#All],4,FALSE)</f>
        <v>S  (Sanitair)</v>
      </c>
      <c r="P811" s="214"/>
      <c r="Q811" s="215">
        <v>40</v>
      </c>
      <c r="R811" s="215" t="s">
        <v>2</v>
      </c>
      <c r="S811" s="215">
        <f>IF(R811&gt;0,IF(RIGHT(Ruimtestaat[[#This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1" s="215">
        <f>IF(S811&gt;0,VLOOKUP($J811,Ruimtegroepen[],3,FALSE)*VLOOKUP($K811,Vloersoorten[],3,FALSE)*VLOOKUP($R811,Frequenties[],3,FALSE)*VLOOKUP($A811,Locaties[],3,FALSE),0)</f>
        <v>0</v>
      </c>
      <c r="U811" s="215">
        <f>Ruimtestaat[[#This Row],[Uitvoeringen werkdagen]]*Ruimtestaat[[#This Row],[Oppervlak (netto)]]</f>
        <v>1670</v>
      </c>
      <c r="V811" s="259">
        <f>IF(T811&gt;0,Ruimtestaat[[#This Row],[Prest. (m2 /jaar) werkdagen]]/Ruimtestaat[[#This Row],[Norm (m2/uur) werkdagen]],0)</f>
        <v>0</v>
      </c>
      <c r="W811" s="260">
        <f>Ruimtestaat[[#This Row],[uren / jaar werkdagen]]*Tariefsopbouw!$D$38</f>
        <v>0</v>
      </c>
      <c r="X811" s="33"/>
      <c r="Y811" s="33">
        <f>IF(Ruimtestaat[[#This Row],[Frequentie weekend]]&gt;0,VALUE(LEFT(X811,1))*Q811,0)</f>
        <v>0</v>
      </c>
      <c r="Z811" s="33">
        <f>IF($Y811&gt;0,VLOOKUP($J811,Ruimtegroepen[],3,FALSE)*VLOOKUP($K811,Vloersoorten[],3,FALSE)*VLOOKUP($X811,Frequenties[],3,FALSE)*VLOOKUP(#REF!,Locaties[],3,FALSE),0)</f>
        <v>0</v>
      </c>
      <c r="AA811" s="33"/>
      <c r="AB811" s="33"/>
      <c r="AC811" s="33">
        <f>Ruimtestaat[[#This Row],[uren / jaar weekend]]*Tariefsopbouw!$D$40</f>
        <v>0</v>
      </c>
      <c r="AD811" s="88">
        <f>Ruimtestaat[[#This Row],[Prest. (m2 /jaar) weekend]]+Ruimtestaat[[#This Row],[Prest. (m2 /jaar) werkdagen]]</f>
        <v>1670</v>
      </c>
      <c r="AE811" s="88">
        <f>Ruimtestaat[[#This Row],[uren / jaar weekend]]+Ruimtestaat[[#This Row],[uren / jaar werkdagen]]</f>
        <v>0</v>
      </c>
      <c r="AF811" s="89">
        <f>Ruimtestaat[[#This Row],[kosten / jaar weekend]]+Ruimtestaat[[#This Row],[kosten / jaar werkdagen]]</f>
        <v>0</v>
      </c>
    </row>
    <row r="812" spans="1:32" ht="15" customHeight="1">
      <c r="A812" s="280">
        <v>6</v>
      </c>
      <c r="B812" s="21" t="str">
        <f>VLOOKUP(Ruimtestaat[[#This Row],[Code]],Locaties[#All],2,FALSE)</f>
        <v>SGC Tubbergen</v>
      </c>
      <c r="C812" s="281" t="str">
        <f>VLOOKUP(Ruimtestaat[[#This Row],[Code]],Locaties[#All],4,FALSE)</f>
        <v>Huyerenseweg 1</v>
      </c>
      <c r="D812" s="281" t="str">
        <f>VLOOKUP(Ruimtestaat[[#This Row],[Code]],Locaties[#All],5,FALSE)</f>
        <v>7651 LR</v>
      </c>
      <c r="E812" s="281" t="str">
        <f>VLOOKUP(Ruimtestaat[[#This Row],[Code]],Locaties[#All],6,FALSE)</f>
        <v>Tubbergen</v>
      </c>
      <c r="F812" s="282"/>
      <c r="G812" s="201" t="s">
        <v>942</v>
      </c>
      <c r="H812" s="280"/>
      <c r="I812" s="244" t="s">
        <v>721</v>
      </c>
      <c r="J812" s="200">
        <v>5</v>
      </c>
      <c r="K812" s="243" t="s">
        <v>1043</v>
      </c>
      <c r="L812" s="284" t="s">
        <v>997</v>
      </c>
      <c r="M812" s="213">
        <v>8.35</v>
      </c>
      <c r="N812" s="202"/>
      <c r="O812" s="243" t="str">
        <f>VLOOKUP(Ruimtestaat[[#This Row],[Ruimte code]],Ruimtegroepen[#All],4,FALSE)</f>
        <v>S  (Sanitair)</v>
      </c>
      <c r="P812" s="214"/>
      <c r="Q812" s="215">
        <v>40</v>
      </c>
      <c r="R812" s="215" t="s">
        <v>2</v>
      </c>
      <c r="S812" s="215">
        <f>IF(R812&gt;0,IF(RIGHT(Ruimtestaat[[#This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2" s="215">
        <f>IF(S812&gt;0,VLOOKUP($J812,Ruimtegroepen[],3,FALSE)*VLOOKUP($K812,Vloersoorten[],3,FALSE)*VLOOKUP($R812,Frequenties[],3,FALSE)*VLOOKUP($A812,Locaties[],3,FALSE),0)</f>
        <v>0</v>
      </c>
      <c r="U812" s="215">
        <f>Ruimtestaat[[#This Row],[Uitvoeringen werkdagen]]*Ruimtestaat[[#This Row],[Oppervlak (netto)]]</f>
        <v>1670</v>
      </c>
      <c r="V812" s="259">
        <f>IF(T812&gt;0,Ruimtestaat[[#This Row],[Prest. (m2 /jaar) werkdagen]]/Ruimtestaat[[#This Row],[Norm (m2/uur) werkdagen]],0)</f>
        <v>0</v>
      </c>
      <c r="W812" s="260">
        <f>Ruimtestaat[[#This Row],[uren / jaar werkdagen]]*Tariefsopbouw!$D$38</f>
        <v>0</v>
      </c>
      <c r="X812" s="33"/>
      <c r="Y812" s="33">
        <f>IF(Ruimtestaat[[#This Row],[Frequentie weekend]]&gt;0,VALUE(LEFT(X812,1))*Q812,0)</f>
        <v>0</v>
      </c>
      <c r="Z812" s="33">
        <f>IF($Y812&gt;0,VLOOKUP($J812,Ruimtegroepen[],3,FALSE)*VLOOKUP($K812,Vloersoorten[],3,FALSE)*VLOOKUP($X812,Frequenties[],3,FALSE)*VLOOKUP(#REF!,Locaties[],3,FALSE),0)</f>
        <v>0</v>
      </c>
      <c r="AA812" s="33"/>
      <c r="AB812" s="33"/>
      <c r="AC812" s="33">
        <f>Ruimtestaat[[#This Row],[uren / jaar weekend]]*Tariefsopbouw!$D$40</f>
        <v>0</v>
      </c>
      <c r="AD812" s="88">
        <f>Ruimtestaat[[#This Row],[Prest. (m2 /jaar) weekend]]+Ruimtestaat[[#This Row],[Prest. (m2 /jaar) werkdagen]]</f>
        <v>1670</v>
      </c>
      <c r="AE812" s="88">
        <f>Ruimtestaat[[#This Row],[uren / jaar weekend]]+Ruimtestaat[[#This Row],[uren / jaar werkdagen]]</f>
        <v>0</v>
      </c>
      <c r="AF812" s="89">
        <f>Ruimtestaat[[#This Row],[kosten / jaar weekend]]+Ruimtestaat[[#This Row],[kosten / jaar werkdagen]]</f>
        <v>0</v>
      </c>
    </row>
    <row r="813" spans="1:32" ht="15" customHeight="1">
      <c r="A813" s="280">
        <v>6</v>
      </c>
      <c r="B813" s="21" t="str">
        <f>VLOOKUP(Ruimtestaat[[#This Row],[Code]],Locaties[#All],2,FALSE)</f>
        <v>SGC Tubbergen</v>
      </c>
      <c r="C813" s="281" t="str">
        <f>VLOOKUP(Ruimtestaat[[#This Row],[Code]],Locaties[#All],4,FALSE)</f>
        <v>Huyerenseweg 1</v>
      </c>
      <c r="D813" s="281" t="str">
        <f>VLOOKUP(Ruimtestaat[[#This Row],[Code]],Locaties[#All],5,FALSE)</f>
        <v>7651 LR</v>
      </c>
      <c r="E813" s="281" t="str">
        <f>VLOOKUP(Ruimtestaat[[#This Row],[Code]],Locaties[#All],6,FALSE)</f>
        <v>Tubbergen</v>
      </c>
      <c r="F813" s="282"/>
      <c r="G813" s="201" t="s">
        <v>942</v>
      </c>
      <c r="H813" s="280"/>
      <c r="I813" s="244" t="s">
        <v>469</v>
      </c>
      <c r="J813" s="215">
        <v>6</v>
      </c>
      <c r="K813" s="243" t="s">
        <v>1040</v>
      </c>
      <c r="L813" s="284" t="s">
        <v>999</v>
      </c>
      <c r="M813" s="213">
        <v>20</v>
      </c>
      <c r="N813" s="202"/>
      <c r="O813" s="243" t="str">
        <f>VLOOKUP(Ruimtestaat[[#This Row],[Ruimte code]],Ruimtegroepen[#All],4,FALSE)</f>
        <v>V  (Verkeersruimte)</v>
      </c>
      <c r="P813" s="214"/>
      <c r="Q813" s="215">
        <v>40</v>
      </c>
      <c r="R813" s="215" t="s">
        <v>2</v>
      </c>
      <c r="S813" s="215">
        <f>IF(R813&gt;0,IF(RIGHT(Ruimtestaat[[#This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3" s="215">
        <f>IF(S813&gt;0,VLOOKUP($J813,Ruimtegroepen[],3,FALSE)*VLOOKUP($K813,Vloersoorten[],3,FALSE)*VLOOKUP($R813,Frequenties[],3,FALSE)*VLOOKUP($A813,Locaties[],3,FALSE),0)</f>
        <v>0</v>
      </c>
      <c r="U813" s="215">
        <f>Ruimtestaat[[#This Row],[Uitvoeringen werkdagen]]*Ruimtestaat[[#This Row],[Oppervlak (netto)]]</f>
        <v>4000</v>
      </c>
      <c r="V813" s="259">
        <f>IF(T813&gt;0,Ruimtestaat[[#This Row],[Prest. (m2 /jaar) werkdagen]]/Ruimtestaat[[#This Row],[Norm (m2/uur) werkdagen]],0)</f>
        <v>0</v>
      </c>
      <c r="W813" s="260">
        <f>Ruimtestaat[[#This Row],[uren / jaar werkdagen]]*Tariefsopbouw!$D$38</f>
        <v>0</v>
      </c>
      <c r="X813" s="33"/>
      <c r="Y813" s="33">
        <f>IF(Ruimtestaat[[#This Row],[Frequentie weekend]]&gt;0,VALUE(LEFT(X813,1))*Q813,0)</f>
        <v>0</v>
      </c>
      <c r="Z813" s="33">
        <f>IF($Y813&gt;0,VLOOKUP($J813,Ruimtegroepen[],3,FALSE)*VLOOKUP($K813,Vloersoorten[],3,FALSE)*VLOOKUP($X813,Frequenties[],3,FALSE)*VLOOKUP(#REF!,Locaties[],3,FALSE),0)</f>
        <v>0</v>
      </c>
      <c r="AA813" s="33"/>
      <c r="AB813" s="33"/>
      <c r="AC813" s="33">
        <f>Ruimtestaat[[#This Row],[uren / jaar weekend]]*Tariefsopbouw!$D$40</f>
        <v>0</v>
      </c>
      <c r="AD813" s="88">
        <f>Ruimtestaat[[#This Row],[Prest. (m2 /jaar) weekend]]+Ruimtestaat[[#This Row],[Prest. (m2 /jaar) werkdagen]]</f>
        <v>4000</v>
      </c>
      <c r="AE813" s="88">
        <f>Ruimtestaat[[#This Row],[uren / jaar weekend]]+Ruimtestaat[[#This Row],[uren / jaar werkdagen]]</f>
        <v>0</v>
      </c>
      <c r="AF813" s="89">
        <f>Ruimtestaat[[#This Row],[kosten / jaar weekend]]+Ruimtestaat[[#This Row],[kosten / jaar werkdagen]]</f>
        <v>0</v>
      </c>
    </row>
    <row r="814" spans="1:32" ht="15" customHeight="1">
      <c r="A814" s="280">
        <v>6</v>
      </c>
      <c r="B814" s="21" t="str">
        <f>VLOOKUP(Ruimtestaat[[#This Row],[Code]],Locaties[#All],2,FALSE)</f>
        <v>SGC Tubbergen</v>
      </c>
      <c r="C814" s="281" t="str">
        <f>VLOOKUP(Ruimtestaat[[#This Row],[Code]],Locaties[#All],4,FALSE)</f>
        <v>Huyerenseweg 1</v>
      </c>
      <c r="D814" s="281" t="str">
        <f>VLOOKUP(Ruimtestaat[[#This Row],[Code]],Locaties[#All],5,FALSE)</f>
        <v>7651 LR</v>
      </c>
      <c r="E814" s="281" t="str">
        <f>VLOOKUP(Ruimtestaat[[#This Row],[Code]],Locaties[#All],6,FALSE)</f>
        <v>Tubbergen</v>
      </c>
      <c r="F814" s="282"/>
      <c r="G814" s="201" t="s">
        <v>942</v>
      </c>
      <c r="H814" s="280"/>
      <c r="I814" s="244" t="s">
        <v>469</v>
      </c>
      <c r="J814" s="200">
        <v>6</v>
      </c>
      <c r="K814" s="243" t="s">
        <v>1040</v>
      </c>
      <c r="L814" s="284" t="s">
        <v>999</v>
      </c>
      <c r="M814" s="213">
        <v>76</v>
      </c>
      <c r="N814" s="202"/>
      <c r="O814" s="243" t="str">
        <f>VLOOKUP(Ruimtestaat[[#This Row],[Ruimte code]],Ruimtegroepen[#All],4,FALSE)</f>
        <v>V  (Verkeersruimte)</v>
      </c>
      <c r="P814" s="214"/>
      <c r="Q814" s="215">
        <v>40</v>
      </c>
      <c r="R814" s="215" t="s">
        <v>2</v>
      </c>
      <c r="S814" s="215">
        <f>IF(R814&gt;0,IF(RIGHT(Ruimtestaat[[#This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4" s="215">
        <f>IF(S814&gt;0,VLOOKUP($J814,Ruimtegroepen[],3,FALSE)*VLOOKUP($K814,Vloersoorten[],3,FALSE)*VLOOKUP($R814,Frequenties[],3,FALSE)*VLOOKUP($A814,Locaties[],3,FALSE),0)</f>
        <v>0</v>
      </c>
      <c r="U814" s="215">
        <f>Ruimtestaat[[#This Row],[Uitvoeringen werkdagen]]*Ruimtestaat[[#This Row],[Oppervlak (netto)]]</f>
        <v>15200</v>
      </c>
      <c r="V814" s="259">
        <f>IF(T814&gt;0,Ruimtestaat[[#This Row],[Prest. (m2 /jaar) werkdagen]]/Ruimtestaat[[#This Row],[Norm (m2/uur) werkdagen]],0)</f>
        <v>0</v>
      </c>
      <c r="W814" s="260">
        <f>Ruimtestaat[[#This Row],[uren / jaar werkdagen]]*Tariefsopbouw!$D$38</f>
        <v>0</v>
      </c>
      <c r="X814" s="33"/>
      <c r="Y814" s="33">
        <f>IF(Ruimtestaat[[#This Row],[Frequentie weekend]]&gt;0,VALUE(LEFT(X814,1))*Q814,0)</f>
        <v>0</v>
      </c>
      <c r="Z814" s="33">
        <f>IF($Y814&gt;0,VLOOKUP($J814,Ruimtegroepen[],3,FALSE)*VLOOKUP($K814,Vloersoorten[],3,FALSE)*VLOOKUP($X814,Frequenties[],3,FALSE)*VLOOKUP(#REF!,Locaties[],3,FALSE),0)</f>
        <v>0</v>
      </c>
      <c r="AA814" s="33"/>
      <c r="AB814" s="33"/>
      <c r="AC814" s="33">
        <f>Ruimtestaat[[#This Row],[uren / jaar weekend]]*Tariefsopbouw!$D$40</f>
        <v>0</v>
      </c>
      <c r="AD814" s="88">
        <f>Ruimtestaat[[#This Row],[Prest. (m2 /jaar) weekend]]+Ruimtestaat[[#This Row],[Prest. (m2 /jaar) werkdagen]]</f>
        <v>15200</v>
      </c>
      <c r="AE814" s="88">
        <f>Ruimtestaat[[#This Row],[uren / jaar weekend]]+Ruimtestaat[[#This Row],[uren / jaar werkdagen]]</f>
        <v>0</v>
      </c>
      <c r="AF814" s="89">
        <f>Ruimtestaat[[#This Row],[kosten / jaar weekend]]+Ruimtestaat[[#This Row],[kosten / jaar werkdagen]]</f>
        <v>0</v>
      </c>
    </row>
    <row r="815" spans="1:32" ht="15" customHeight="1">
      <c r="A815" s="280">
        <v>6</v>
      </c>
      <c r="B815" s="21" t="str">
        <f>VLOOKUP(Ruimtestaat[[#This Row],[Code]],Locaties[#All],2,FALSE)</f>
        <v>SGC Tubbergen</v>
      </c>
      <c r="C815" s="281" t="str">
        <f>VLOOKUP(Ruimtestaat[[#This Row],[Code]],Locaties[#All],4,FALSE)</f>
        <v>Huyerenseweg 1</v>
      </c>
      <c r="D815" s="281" t="str">
        <f>VLOOKUP(Ruimtestaat[[#This Row],[Code]],Locaties[#All],5,FALSE)</f>
        <v>7651 LR</v>
      </c>
      <c r="E815" s="281" t="str">
        <f>VLOOKUP(Ruimtestaat[[#This Row],[Code]],Locaties[#All],6,FALSE)</f>
        <v>Tubbergen</v>
      </c>
      <c r="F815" s="282"/>
      <c r="G815" s="201" t="s">
        <v>942</v>
      </c>
      <c r="H815" s="280" t="s">
        <v>963</v>
      </c>
      <c r="I815" s="244" t="s">
        <v>396</v>
      </c>
      <c r="J815" s="215">
        <v>16</v>
      </c>
      <c r="K815" s="243" t="s">
        <v>1040</v>
      </c>
      <c r="L815" s="284" t="s">
        <v>999</v>
      </c>
      <c r="M815" s="213">
        <v>48</v>
      </c>
      <c r="N815" s="202"/>
      <c r="O815" s="243" t="str">
        <f>VLOOKUP(Ruimtestaat[[#This Row],[Ruimte code]],Ruimtegroepen[#All],4,FALSE)</f>
        <v>L  (Lesruimte)</v>
      </c>
      <c r="P815" s="214"/>
      <c r="Q815" s="215">
        <v>40</v>
      </c>
      <c r="R815" s="215" t="s">
        <v>2</v>
      </c>
      <c r="S815" s="215">
        <f>IF(R815&gt;0,IF(RIGHT(Ruimtestaat[[#This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5" s="215">
        <f>IF(S815&gt;0,VLOOKUP($J815,Ruimtegroepen[],3,FALSE)*VLOOKUP($K815,Vloersoorten[],3,FALSE)*VLOOKUP($R815,Frequenties[],3,FALSE)*VLOOKUP($A815,Locaties[],3,FALSE),0)</f>
        <v>0</v>
      </c>
      <c r="U815" s="215">
        <f>Ruimtestaat[[#This Row],[Uitvoeringen werkdagen]]*Ruimtestaat[[#This Row],[Oppervlak (netto)]]</f>
        <v>9600</v>
      </c>
      <c r="V815" s="259">
        <f>IF(T815&gt;0,Ruimtestaat[[#This Row],[Prest. (m2 /jaar) werkdagen]]/Ruimtestaat[[#This Row],[Norm (m2/uur) werkdagen]],0)</f>
        <v>0</v>
      </c>
      <c r="W815" s="260">
        <f>Ruimtestaat[[#This Row],[uren / jaar werkdagen]]*Tariefsopbouw!$D$38</f>
        <v>0</v>
      </c>
      <c r="X815" s="33"/>
      <c r="Y815" s="33">
        <f>IF(Ruimtestaat[[#This Row],[Frequentie weekend]]&gt;0,VALUE(LEFT(X815,1))*Q815,0)</f>
        <v>0</v>
      </c>
      <c r="Z815" s="33">
        <f>IF($Y815&gt;0,VLOOKUP($J815,Ruimtegroepen[],3,FALSE)*VLOOKUP($K815,Vloersoorten[],3,FALSE)*VLOOKUP($X815,Frequenties[],3,FALSE)*VLOOKUP(#REF!,Locaties[],3,FALSE),0)</f>
        <v>0</v>
      </c>
      <c r="AA815" s="33"/>
      <c r="AB815" s="33"/>
      <c r="AC815" s="33">
        <f>Ruimtestaat[[#This Row],[uren / jaar weekend]]*Tariefsopbouw!$D$40</f>
        <v>0</v>
      </c>
      <c r="AD815" s="88">
        <f>Ruimtestaat[[#This Row],[Prest. (m2 /jaar) weekend]]+Ruimtestaat[[#This Row],[Prest. (m2 /jaar) werkdagen]]</f>
        <v>9600</v>
      </c>
      <c r="AE815" s="88">
        <f>Ruimtestaat[[#This Row],[uren / jaar weekend]]+Ruimtestaat[[#This Row],[uren / jaar werkdagen]]</f>
        <v>0</v>
      </c>
      <c r="AF815" s="89">
        <f>Ruimtestaat[[#This Row],[kosten / jaar weekend]]+Ruimtestaat[[#This Row],[kosten / jaar werkdagen]]</f>
        <v>0</v>
      </c>
    </row>
    <row r="816" spans="1:32" ht="15" customHeight="1">
      <c r="A816" s="280">
        <v>6</v>
      </c>
      <c r="B816" s="21" t="str">
        <f>VLOOKUP(Ruimtestaat[[#This Row],[Code]],Locaties[#All],2,FALSE)</f>
        <v>SGC Tubbergen</v>
      </c>
      <c r="C816" s="281" t="str">
        <f>VLOOKUP(Ruimtestaat[[#This Row],[Code]],Locaties[#All],4,FALSE)</f>
        <v>Huyerenseweg 1</v>
      </c>
      <c r="D816" s="281" t="str">
        <f>VLOOKUP(Ruimtestaat[[#This Row],[Code]],Locaties[#All],5,FALSE)</f>
        <v>7651 LR</v>
      </c>
      <c r="E816" s="281" t="str">
        <f>VLOOKUP(Ruimtestaat[[#This Row],[Code]],Locaties[#All],6,FALSE)</f>
        <v>Tubbergen</v>
      </c>
      <c r="F816" s="282"/>
      <c r="G816" s="201" t="s">
        <v>942</v>
      </c>
      <c r="H816" s="280" t="s">
        <v>964</v>
      </c>
      <c r="I816" s="244" t="s">
        <v>396</v>
      </c>
      <c r="J816" s="215">
        <v>16</v>
      </c>
      <c r="K816" s="243" t="s">
        <v>1040</v>
      </c>
      <c r="L816" s="284" t="s">
        <v>999</v>
      </c>
      <c r="M816" s="213">
        <v>49.5</v>
      </c>
      <c r="N816" s="202"/>
      <c r="O816" s="243" t="str">
        <f>VLOOKUP(Ruimtestaat[[#This Row],[Ruimte code]],Ruimtegroepen[#All],4,FALSE)</f>
        <v>L  (Lesruimte)</v>
      </c>
      <c r="P816" s="214"/>
      <c r="Q816" s="215">
        <v>40</v>
      </c>
      <c r="R816" s="215" t="s">
        <v>2</v>
      </c>
      <c r="S816" s="215">
        <f>IF(R816&gt;0,IF(RIGHT(Ruimtestaat[[#This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6" s="215">
        <f>IF(S816&gt;0,VLOOKUP($J816,Ruimtegroepen[],3,FALSE)*VLOOKUP($K816,Vloersoorten[],3,FALSE)*VLOOKUP($R816,Frequenties[],3,FALSE)*VLOOKUP($A816,Locaties[],3,FALSE),0)</f>
        <v>0</v>
      </c>
      <c r="U816" s="215">
        <f>Ruimtestaat[[#This Row],[Uitvoeringen werkdagen]]*Ruimtestaat[[#This Row],[Oppervlak (netto)]]</f>
        <v>9900</v>
      </c>
      <c r="V816" s="259">
        <f>IF(T816&gt;0,Ruimtestaat[[#This Row],[Prest. (m2 /jaar) werkdagen]]/Ruimtestaat[[#This Row],[Norm (m2/uur) werkdagen]],0)</f>
        <v>0</v>
      </c>
      <c r="W816" s="260">
        <f>Ruimtestaat[[#This Row],[uren / jaar werkdagen]]*Tariefsopbouw!$D$38</f>
        <v>0</v>
      </c>
      <c r="X816" s="33"/>
      <c r="Y816" s="33">
        <f>IF(Ruimtestaat[[#This Row],[Frequentie weekend]]&gt;0,VALUE(LEFT(X816,1))*Q816,0)</f>
        <v>0</v>
      </c>
      <c r="Z816" s="33">
        <f>IF($Y816&gt;0,VLOOKUP($J816,Ruimtegroepen[],3,FALSE)*VLOOKUP($K816,Vloersoorten[],3,FALSE)*VLOOKUP($X816,Frequenties[],3,FALSE)*VLOOKUP(#REF!,Locaties[],3,FALSE),0)</f>
        <v>0</v>
      </c>
      <c r="AA816" s="33"/>
      <c r="AB816" s="33"/>
      <c r="AC816" s="33">
        <f>Ruimtestaat[[#This Row],[uren / jaar weekend]]*Tariefsopbouw!$D$40</f>
        <v>0</v>
      </c>
      <c r="AD816" s="88">
        <f>Ruimtestaat[[#This Row],[Prest. (m2 /jaar) weekend]]+Ruimtestaat[[#This Row],[Prest. (m2 /jaar) werkdagen]]</f>
        <v>9900</v>
      </c>
      <c r="AE816" s="88">
        <f>Ruimtestaat[[#This Row],[uren / jaar weekend]]+Ruimtestaat[[#This Row],[uren / jaar werkdagen]]</f>
        <v>0</v>
      </c>
      <c r="AF816" s="89">
        <f>Ruimtestaat[[#This Row],[kosten / jaar weekend]]+Ruimtestaat[[#This Row],[kosten / jaar werkdagen]]</f>
        <v>0</v>
      </c>
    </row>
    <row r="817" spans="1:32" ht="15" customHeight="1">
      <c r="A817" s="280">
        <v>6</v>
      </c>
      <c r="B817" s="21" t="str">
        <f>VLOOKUP(Ruimtestaat[[#This Row],[Code]],Locaties[#All],2,FALSE)</f>
        <v>SGC Tubbergen</v>
      </c>
      <c r="C817" s="281" t="str">
        <f>VLOOKUP(Ruimtestaat[[#This Row],[Code]],Locaties[#All],4,FALSE)</f>
        <v>Huyerenseweg 1</v>
      </c>
      <c r="D817" s="281" t="str">
        <f>VLOOKUP(Ruimtestaat[[#This Row],[Code]],Locaties[#All],5,FALSE)</f>
        <v>7651 LR</v>
      </c>
      <c r="E817" s="281" t="str">
        <f>VLOOKUP(Ruimtestaat[[#This Row],[Code]],Locaties[#All],6,FALSE)</f>
        <v>Tubbergen</v>
      </c>
      <c r="F817" s="282"/>
      <c r="G817" s="201" t="s">
        <v>942</v>
      </c>
      <c r="H817" s="280" t="s">
        <v>965</v>
      </c>
      <c r="I817" s="244" t="s">
        <v>396</v>
      </c>
      <c r="J817" s="215">
        <v>16</v>
      </c>
      <c r="K817" s="243" t="s">
        <v>1040</v>
      </c>
      <c r="L817" s="284" t="s">
        <v>999</v>
      </c>
      <c r="M817" s="213">
        <v>54</v>
      </c>
      <c r="N817" s="202"/>
      <c r="O817" s="243" t="str">
        <f>VLOOKUP(Ruimtestaat[[#This Row],[Ruimte code]],Ruimtegroepen[#All],4,FALSE)</f>
        <v>L  (Lesruimte)</v>
      </c>
      <c r="P817" s="214"/>
      <c r="Q817" s="215">
        <v>40</v>
      </c>
      <c r="R817" s="215" t="s">
        <v>2</v>
      </c>
      <c r="S817" s="215">
        <f>IF(R817&gt;0,IF(RIGHT(Ruimtestaat[[#This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7" s="215">
        <f>IF(S817&gt;0,VLOOKUP($J817,Ruimtegroepen[],3,FALSE)*VLOOKUP($K817,Vloersoorten[],3,FALSE)*VLOOKUP($R817,Frequenties[],3,FALSE)*VLOOKUP($A817,Locaties[],3,FALSE),0)</f>
        <v>0</v>
      </c>
      <c r="U817" s="215">
        <f>Ruimtestaat[[#This Row],[Uitvoeringen werkdagen]]*Ruimtestaat[[#This Row],[Oppervlak (netto)]]</f>
        <v>10800</v>
      </c>
      <c r="V817" s="259">
        <f>IF(T817&gt;0,Ruimtestaat[[#This Row],[Prest. (m2 /jaar) werkdagen]]/Ruimtestaat[[#This Row],[Norm (m2/uur) werkdagen]],0)</f>
        <v>0</v>
      </c>
      <c r="W817" s="260">
        <f>Ruimtestaat[[#This Row],[uren / jaar werkdagen]]*Tariefsopbouw!$D$38</f>
        <v>0</v>
      </c>
      <c r="X817" s="33"/>
      <c r="Y817" s="33">
        <f>IF(Ruimtestaat[[#This Row],[Frequentie weekend]]&gt;0,VALUE(LEFT(X817,1))*Q817,0)</f>
        <v>0</v>
      </c>
      <c r="Z817" s="33">
        <f>IF($Y817&gt;0,VLOOKUP($J817,Ruimtegroepen[],3,FALSE)*VLOOKUP($K817,Vloersoorten[],3,FALSE)*VLOOKUP($X817,Frequenties[],3,FALSE)*VLOOKUP(#REF!,Locaties[],3,FALSE),0)</f>
        <v>0</v>
      </c>
      <c r="AA817" s="33"/>
      <c r="AB817" s="33"/>
      <c r="AC817" s="33">
        <f>Ruimtestaat[[#This Row],[uren / jaar weekend]]*Tariefsopbouw!$D$40</f>
        <v>0</v>
      </c>
      <c r="AD817" s="88">
        <f>Ruimtestaat[[#This Row],[Prest. (m2 /jaar) weekend]]+Ruimtestaat[[#This Row],[Prest. (m2 /jaar) werkdagen]]</f>
        <v>10800</v>
      </c>
      <c r="AE817" s="88">
        <f>Ruimtestaat[[#This Row],[uren / jaar weekend]]+Ruimtestaat[[#This Row],[uren / jaar werkdagen]]</f>
        <v>0</v>
      </c>
      <c r="AF817" s="89">
        <f>Ruimtestaat[[#This Row],[kosten / jaar weekend]]+Ruimtestaat[[#This Row],[kosten / jaar werkdagen]]</f>
        <v>0</v>
      </c>
    </row>
    <row r="818" spans="1:32" ht="15" customHeight="1">
      <c r="A818" s="280">
        <v>6</v>
      </c>
      <c r="B818" s="21" t="str">
        <f>VLOOKUP(Ruimtestaat[[#This Row],[Code]],Locaties[#All],2,FALSE)</f>
        <v>SGC Tubbergen</v>
      </c>
      <c r="C818" s="281" t="str">
        <f>VLOOKUP(Ruimtestaat[[#This Row],[Code]],Locaties[#All],4,FALSE)</f>
        <v>Huyerenseweg 1</v>
      </c>
      <c r="D818" s="281" t="str">
        <f>VLOOKUP(Ruimtestaat[[#This Row],[Code]],Locaties[#All],5,FALSE)</f>
        <v>7651 LR</v>
      </c>
      <c r="E818" s="281" t="str">
        <f>VLOOKUP(Ruimtestaat[[#This Row],[Code]],Locaties[#All],6,FALSE)</f>
        <v>Tubbergen</v>
      </c>
      <c r="F818" s="282"/>
      <c r="G818" s="201" t="s">
        <v>942</v>
      </c>
      <c r="H818" s="280" t="s">
        <v>966</v>
      </c>
      <c r="I818" s="244" t="s">
        <v>396</v>
      </c>
      <c r="J818" s="215">
        <v>16</v>
      </c>
      <c r="K818" s="243" t="s">
        <v>1040</v>
      </c>
      <c r="L818" s="284" t="s">
        <v>999</v>
      </c>
      <c r="M818" s="213">
        <v>43</v>
      </c>
      <c r="N818" s="213"/>
      <c r="O818" s="243" t="str">
        <f>VLOOKUP(Ruimtestaat[[#This Row],[Ruimte code]],Ruimtegroepen[#All],4,FALSE)</f>
        <v>L  (Lesruimte)</v>
      </c>
      <c r="P818" s="214"/>
      <c r="Q818" s="215">
        <v>40</v>
      </c>
      <c r="R818" s="215" t="s">
        <v>2</v>
      </c>
      <c r="S818" s="215">
        <f>IF(R818&gt;0,IF(RIGHT(Ruimtestaat[[#This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8" s="215">
        <f>IF(S818&gt;0,VLOOKUP($J818,Ruimtegroepen[],3,FALSE)*VLOOKUP($K818,Vloersoorten[],3,FALSE)*VLOOKUP($R818,Frequenties[],3,FALSE)*VLOOKUP($A818,Locaties[],3,FALSE),0)</f>
        <v>0</v>
      </c>
      <c r="U818" s="215">
        <f>Ruimtestaat[[#This Row],[Uitvoeringen werkdagen]]*Ruimtestaat[[#This Row],[Oppervlak (netto)]]</f>
        <v>8600</v>
      </c>
      <c r="V818" s="259">
        <f>IF(T818&gt;0,Ruimtestaat[[#This Row],[Prest. (m2 /jaar) werkdagen]]/Ruimtestaat[[#This Row],[Norm (m2/uur) werkdagen]],0)</f>
        <v>0</v>
      </c>
      <c r="W818" s="260">
        <f>Ruimtestaat[[#This Row],[uren / jaar werkdagen]]*Tariefsopbouw!$D$38</f>
        <v>0</v>
      </c>
      <c r="X818" s="33"/>
      <c r="Y818" s="33">
        <f>IF(Ruimtestaat[[#This Row],[Frequentie weekend]]&gt;0,VALUE(LEFT(X818,1))*Q818,0)</f>
        <v>0</v>
      </c>
      <c r="Z818" s="33">
        <f>IF($Y818&gt;0,VLOOKUP($J818,Ruimtegroepen[],3,FALSE)*VLOOKUP($K818,Vloersoorten[],3,FALSE)*VLOOKUP($X818,Frequenties[],3,FALSE)*VLOOKUP(#REF!,Locaties[],3,FALSE),0)</f>
        <v>0</v>
      </c>
      <c r="AA818" s="33"/>
      <c r="AB818" s="33"/>
      <c r="AC818" s="33">
        <f>Ruimtestaat[[#This Row],[uren / jaar weekend]]*Tariefsopbouw!$D$40</f>
        <v>0</v>
      </c>
      <c r="AD818" s="88">
        <f>Ruimtestaat[[#This Row],[Prest. (m2 /jaar) weekend]]+Ruimtestaat[[#This Row],[Prest. (m2 /jaar) werkdagen]]</f>
        <v>8600</v>
      </c>
      <c r="AE818" s="88">
        <f>Ruimtestaat[[#This Row],[uren / jaar weekend]]+Ruimtestaat[[#This Row],[uren / jaar werkdagen]]</f>
        <v>0</v>
      </c>
      <c r="AF818" s="89">
        <f>Ruimtestaat[[#This Row],[kosten / jaar weekend]]+Ruimtestaat[[#This Row],[kosten / jaar werkdagen]]</f>
        <v>0</v>
      </c>
    </row>
    <row r="819" spans="1:32" ht="15" customHeight="1">
      <c r="A819" s="280">
        <v>6</v>
      </c>
      <c r="B819" s="21" t="str">
        <f>VLOOKUP(Ruimtestaat[[#This Row],[Code]],Locaties[#All],2,FALSE)</f>
        <v>SGC Tubbergen</v>
      </c>
      <c r="C819" s="281" t="str">
        <f>VLOOKUP(Ruimtestaat[[#This Row],[Code]],Locaties[#All],4,FALSE)</f>
        <v>Huyerenseweg 1</v>
      </c>
      <c r="D819" s="281" t="str">
        <f>VLOOKUP(Ruimtestaat[[#This Row],[Code]],Locaties[#All],5,FALSE)</f>
        <v>7651 LR</v>
      </c>
      <c r="E819" s="281" t="str">
        <f>VLOOKUP(Ruimtestaat[[#This Row],[Code]],Locaties[#All],6,FALSE)</f>
        <v>Tubbergen</v>
      </c>
      <c r="F819" s="282"/>
      <c r="G819" s="201" t="s">
        <v>942</v>
      </c>
      <c r="H819" s="280" t="s">
        <v>967</v>
      </c>
      <c r="I819" s="244" t="s">
        <v>396</v>
      </c>
      <c r="J819" s="215">
        <v>16</v>
      </c>
      <c r="K819" s="243" t="s">
        <v>1040</v>
      </c>
      <c r="L819" s="284" t="s">
        <v>999</v>
      </c>
      <c r="M819" s="213">
        <v>49</v>
      </c>
      <c r="N819" s="202"/>
      <c r="O819" s="243" t="str">
        <f>VLOOKUP(Ruimtestaat[[#This Row],[Ruimte code]],Ruimtegroepen[#All],4,FALSE)</f>
        <v>L  (Lesruimte)</v>
      </c>
      <c r="P819" s="214"/>
      <c r="Q819" s="215">
        <v>40</v>
      </c>
      <c r="R819" s="215" t="s">
        <v>2</v>
      </c>
      <c r="S819" s="215">
        <f>IF(R819&gt;0,IF(RIGHT(Ruimtestaat[[#This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19" s="215">
        <f>IF(S819&gt;0,VLOOKUP($J819,Ruimtegroepen[],3,FALSE)*VLOOKUP($K819,Vloersoorten[],3,FALSE)*VLOOKUP($R819,Frequenties[],3,FALSE)*VLOOKUP($A819,Locaties[],3,FALSE),0)</f>
        <v>0</v>
      </c>
      <c r="U819" s="215">
        <f>Ruimtestaat[[#This Row],[Uitvoeringen werkdagen]]*Ruimtestaat[[#This Row],[Oppervlak (netto)]]</f>
        <v>9800</v>
      </c>
      <c r="V819" s="259">
        <f>IF(T819&gt;0,Ruimtestaat[[#This Row],[Prest. (m2 /jaar) werkdagen]]/Ruimtestaat[[#This Row],[Norm (m2/uur) werkdagen]],0)</f>
        <v>0</v>
      </c>
      <c r="W819" s="260">
        <f>Ruimtestaat[[#This Row],[uren / jaar werkdagen]]*Tariefsopbouw!$D$38</f>
        <v>0</v>
      </c>
      <c r="X819" s="33"/>
      <c r="Y819" s="33">
        <f>IF(Ruimtestaat[[#This Row],[Frequentie weekend]]&gt;0,VALUE(LEFT(X819,1))*Q819,0)</f>
        <v>0</v>
      </c>
      <c r="Z819" s="33">
        <f>IF($Y819&gt;0,VLOOKUP($J819,Ruimtegroepen[],3,FALSE)*VLOOKUP($K819,Vloersoorten[],3,FALSE)*VLOOKUP($X819,Frequenties[],3,FALSE)*VLOOKUP(#REF!,Locaties[],3,FALSE),0)</f>
        <v>0</v>
      </c>
      <c r="AA819" s="33"/>
      <c r="AB819" s="33"/>
      <c r="AC819" s="33">
        <f>Ruimtestaat[[#This Row],[uren / jaar weekend]]*Tariefsopbouw!$D$40</f>
        <v>0</v>
      </c>
      <c r="AD819" s="88">
        <f>Ruimtestaat[[#This Row],[Prest. (m2 /jaar) weekend]]+Ruimtestaat[[#This Row],[Prest. (m2 /jaar) werkdagen]]</f>
        <v>9800</v>
      </c>
      <c r="AE819" s="88">
        <f>Ruimtestaat[[#This Row],[uren / jaar weekend]]+Ruimtestaat[[#This Row],[uren / jaar werkdagen]]</f>
        <v>0</v>
      </c>
      <c r="AF819" s="89">
        <f>Ruimtestaat[[#This Row],[kosten / jaar weekend]]+Ruimtestaat[[#This Row],[kosten / jaar werkdagen]]</f>
        <v>0</v>
      </c>
    </row>
    <row r="820" spans="1:32" ht="15" customHeight="1">
      <c r="A820" s="280">
        <v>6</v>
      </c>
      <c r="B820" s="21" t="str">
        <f>VLOOKUP(Ruimtestaat[[#This Row],[Code]],Locaties[#All],2,FALSE)</f>
        <v>SGC Tubbergen</v>
      </c>
      <c r="C820" s="281" t="str">
        <f>VLOOKUP(Ruimtestaat[[#This Row],[Code]],Locaties[#All],4,FALSE)</f>
        <v>Huyerenseweg 1</v>
      </c>
      <c r="D820" s="281" t="str">
        <f>VLOOKUP(Ruimtestaat[[#This Row],[Code]],Locaties[#All],5,FALSE)</f>
        <v>7651 LR</v>
      </c>
      <c r="E820" s="281" t="str">
        <f>VLOOKUP(Ruimtestaat[[#This Row],[Code]],Locaties[#All],6,FALSE)</f>
        <v>Tubbergen</v>
      </c>
      <c r="F820" s="282"/>
      <c r="G820" s="201" t="s">
        <v>942</v>
      </c>
      <c r="H820" s="280" t="s">
        <v>968</v>
      </c>
      <c r="I820" s="244" t="s">
        <v>487</v>
      </c>
      <c r="J820" s="200">
        <v>2</v>
      </c>
      <c r="K820" s="243" t="s">
        <v>1040</v>
      </c>
      <c r="L820" s="284" t="s">
        <v>999</v>
      </c>
      <c r="M820" s="213">
        <v>13</v>
      </c>
      <c r="N820" s="213"/>
      <c r="O820" s="243" t="str">
        <f>VLOOKUP(Ruimtestaat[[#This Row],[Ruimte code]],Ruimtegroepen[#All],4,FALSE)</f>
        <v>B  (Bureauruimte)</v>
      </c>
      <c r="P820" s="214"/>
      <c r="Q820" s="215">
        <v>40</v>
      </c>
      <c r="R820" s="215" t="s">
        <v>17</v>
      </c>
      <c r="S820" s="215">
        <f>IF(R820&gt;0,IF(RIGHT(Ruimtestaat[[#This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20" s="215">
        <f>IF(S820&gt;0,VLOOKUP($J820,Ruimtegroepen[],3,FALSE)*VLOOKUP($K820,Vloersoorten[],3,FALSE)*VLOOKUP($R820,Frequenties[],3,FALSE)*VLOOKUP($A820,Locaties[],3,FALSE),0)</f>
        <v>0</v>
      </c>
      <c r="U820" s="215">
        <f>Ruimtestaat[[#This Row],[Uitvoeringen werkdagen]]*Ruimtestaat[[#This Row],[Oppervlak (netto)]]</f>
        <v>1040</v>
      </c>
      <c r="V820" s="259">
        <f>IF(T820&gt;0,Ruimtestaat[[#This Row],[Prest. (m2 /jaar) werkdagen]]/Ruimtestaat[[#This Row],[Norm (m2/uur) werkdagen]],0)</f>
        <v>0</v>
      </c>
      <c r="W820" s="260">
        <f>Ruimtestaat[[#This Row],[uren / jaar werkdagen]]*Tariefsopbouw!$D$38</f>
        <v>0</v>
      </c>
      <c r="X820" s="33"/>
      <c r="Y820" s="33">
        <f>IF(Ruimtestaat[[#This Row],[Frequentie weekend]]&gt;0,VALUE(LEFT(X820,1))*Q820,0)</f>
        <v>0</v>
      </c>
      <c r="Z820" s="33">
        <f>IF($Y820&gt;0,VLOOKUP($J820,Ruimtegroepen[],3,FALSE)*VLOOKUP($K820,Vloersoorten[],3,FALSE)*VLOOKUP($X820,Frequenties[],3,FALSE)*VLOOKUP(#REF!,Locaties[],3,FALSE),0)</f>
        <v>0</v>
      </c>
      <c r="AA820" s="33"/>
      <c r="AB820" s="33"/>
      <c r="AC820" s="33">
        <f>Ruimtestaat[[#This Row],[uren / jaar weekend]]*Tariefsopbouw!$D$40</f>
        <v>0</v>
      </c>
      <c r="AD820" s="88">
        <f>Ruimtestaat[[#This Row],[Prest. (m2 /jaar) weekend]]+Ruimtestaat[[#This Row],[Prest. (m2 /jaar) werkdagen]]</f>
        <v>1040</v>
      </c>
      <c r="AE820" s="88">
        <f>Ruimtestaat[[#This Row],[uren / jaar weekend]]+Ruimtestaat[[#This Row],[uren / jaar werkdagen]]</f>
        <v>0</v>
      </c>
      <c r="AF820" s="89">
        <f>Ruimtestaat[[#This Row],[kosten / jaar weekend]]+Ruimtestaat[[#This Row],[kosten / jaar werkdagen]]</f>
        <v>0</v>
      </c>
    </row>
    <row r="821" spans="1:32" ht="15" customHeight="1">
      <c r="A821" s="280">
        <v>6</v>
      </c>
      <c r="B821" s="21" t="str">
        <f>VLOOKUP(Ruimtestaat[[#This Row],[Code]],Locaties[#All],2,FALSE)</f>
        <v>SGC Tubbergen</v>
      </c>
      <c r="C821" s="281" t="str">
        <f>VLOOKUP(Ruimtestaat[[#This Row],[Code]],Locaties[#All],4,FALSE)</f>
        <v>Huyerenseweg 1</v>
      </c>
      <c r="D821" s="281" t="str">
        <f>VLOOKUP(Ruimtestaat[[#This Row],[Code]],Locaties[#All],5,FALSE)</f>
        <v>7651 LR</v>
      </c>
      <c r="E821" s="281" t="str">
        <f>VLOOKUP(Ruimtestaat[[#This Row],[Code]],Locaties[#All],6,FALSE)</f>
        <v>Tubbergen</v>
      </c>
      <c r="F821" s="282"/>
      <c r="G821" s="201" t="s">
        <v>942</v>
      </c>
      <c r="H821" s="280"/>
      <c r="I821" s="244" t="s">
        <v>469</v>
      </c>
      <c r="J821" s="200">
        <v>6</v>
      </c>
      <c r="K821" s="243" t="s">
        <v>1040</v>
      </c>
      <c r="L821" s="284" t="s">
        <v>999</v>
      </c>
      <c r="M821" s="213">
        <v>31</v>
      </c>
      <c r="N821" s="213"/>
      <c r="O821" s="243" t="str">
        <f>VLOOKUP(Ruimtestaat[[#This Row],[Ruimte code]],Ruimtegroepen[#All],4,FALSE)</f>
        <v>V  (Verkeersruimte)</v>
      </c>
      <c r="P821" s="214"/>
      <c r="Q821" s="215">
        <v>40</v>
      </c>
      <c r="R821" s="215" t="s">
        <v>2</v>
      </c>
      <c r="S821" s="215">
        <f>IF(R821&gt;0,IF(RIGHT(Ruimtestaat[[#This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1" s="215">
        <f>IF(S821&gt;0,VLOOKUP($J821,Ruimtegroepen[],3,FALSE)*VLOOKUP($K821,Vloersoorten[],3,FALSE)*VLOOKUP($R821,Frequenties[],3,FALSE)*VLOOKUP($A821,Locaties[],3,FALSE),0)</f>
        <v>0</v>
      </c>
      <c r="U821" s="215">
        <f>Ruimtestaat[[#This Row],[Uitvoeringen werkdagen]]*Ruimtestaat[[#This Row],[Oppervlak (netto)]]</f>
        <v>6200</v>
      </c>
      <c r="V821" s="259">
        <f>IF(T821&gt;0,Ruimtestaat[[#This Row],[Prest. (m2 /jaar) werkdagen]]/Ruimtestaat[[#This Row],[Norm (m2/uur) werkdagen]],0)</f>
        <v>0</v>
      </c>
      <c r="W821" s="260">
        <f>Ruimtestaat[[#This Row],[uren / jaar werkdagen]]*Tariefsopbouw!$D$38</f>
        <v>0</v>
      </c>
      <c r="X821" s="33"/>
      <c r="Y821" s="33">
        <f>IF(Ruimtestaat[[#This Row],[Frequentie weekend]]&gt;0,VALUE(LEFT(X821,1))*Q821,0)</f>
        <v>0</v>
      </c>
      <c r="Z821" s="33">
        <f>IF($Y821&gt;0,VLOOKUP($J821,Ruimtegroepen[],3,FALSE)*VLOOKUP($K821,Vloersoorten[],3,FALSE)*VLOOKUP($X821,Frequenties[],3,FALSE)*VLOOKUP(#REF!,Locaties[],3,FALSE),0)</f>
        <v>0</v>
      </c>
      <c r="AA821" s="33"/>
      <c r="AB821" s="33"/>
      <c r="AC821" s="33">
        <f>Ruimtestaat[[#This Row],[uren / jaar weekend]]*Tariefsopbouw!$D$40</f>
        <v>0</v>
      </c>
      <c r="AD821" s="88">
        <f>Ruimtestaat[[#This Row],[Prest. (m2 /jaar) weekend]]+Ruimtestaat[[#This Row],[Prest. (m2 /jaar) werkdagen]]</f>
        <v>6200</v>
      </c>
      <c r="AE821" s="88">
        <f>Ruimtestaat[[#This Row],[uren / jaar weekend]]+Ruimtestaat[[#This Row],[uren / jaar werkdagen]]</f>
        <v>0</v>
      </c>
      <c r="AF821" s="89">
        <f>Ruimtestaat[[#This Row],[kosten / jaar weekend]]+Ruimtestaat[[#This Row],[kosten / jaar werkdagen]]</f>
        <v>0</v>
      </c>
    </row>
    <row r="822" spans="1:32" ht="15" customHeight="1">
      <c r="A822" s="280">
        <v>6</v>
      </c>
      <c r="B822" s="21" t="str">
        <f>VLOOKUP(Ruimtestaat[[#This Row],[Code]],Locaties[#All],2,FALSE)</f>
        <v>SGC Tubbergen</v>
      </c>
      <c r="C822" s="281" t="str">
        <f>VLOOKUP(Ruimtestaat[[#This Row],[Code]],Locaties[#All],4,FALSE)</f>
        <v>Huyerenseweg 1</v>
      </c>
      <c r="D822" s="281" t="str">
        <f>VLOOKUP(Ruimtestaat[[#This Row],[Code]],Locaties[#All],5,FALSE)</f>
        <v>7651 LR</v>
      </c>
      <c r="E822" s="281" t="str">
        <f>VLOOKUP(Ruimtestaat[[#This Row],[Code]],Locaties[#All],6,FALSE)</f>
        <v>Tubbergen</v>
      </c>
      <c r="F822" s="282"/>
      <c r="G822" s="201" t="s">
        <v>942</v>
      </c>
      <c r="H822" s="280"/>
      <c r="I822" s="244" t="s">
        <v>469</v>
      </c>
      <c r="J822" s="200">
        <v>6</v>
      </c>
      <c r="K822" s="243" t="s">
        <v>1041</v>
      </c>
      <c r="L822" s="284" t="s">
        <v>998</v>
      </c>
      <c r="M822" s="213">
        <v>77</v>
      </c>
      <c r="N822" s="213"/>
      <c r="O822" s="243" t="str">
        <f>VLOOKUP(Ruimtestaat[[#This Row],[Ruimte code]],Ruimtegroepen[#All],4,FALSE)</f>
        <v>V  (Verkeersruimte)</v>
      </c>
      <c r="P822" s="214"/>
      <c r="Q822" s="215">
        <v>40</v>
      </c>
      <c r="R822" s="215" t="s">
        <v>2</v>
      </c>
      <c r="S822" s="215">
        <f>IF(R822&gt;0,IF(RIGHT(Ruimtestaat[[#This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2" s="215">
        <f>IF(S822&gt;0,VLOOKUP($J822,Ruimtegroepen[],3,FALSE)*VLOOKUP($K822,Vloersoorten[],3,FALSE)*VLOOKUP($R822,Frequenties[],3,FALSE)*VLOOKUP($A822,Locaties[],3,FALSE),0)</f>
        <v>0</v>
      </c>
      <c r="U822" s="215">
        <f>Ruimtestaat[[#This Row],[Uitvoeringen werkdagen]]*Ruimtestaat[[#This Row],[Oppervlak (netto)]]</f>
        <v>15400</v>
      </c>
      <c r="V822" s="259">
        <f>IF(T822&gt;0,Ruimtestaat[[#This Row],[Prest. (m2 /jaar) werkdagen]]/Ruimtestaat[[#This Row],[Norm (m2/uur) werkdagen]],0)</f>
        <v>0</v>
      </c>
      <c r="W822" s="260">
        <f>Ruimtestaat[[#This Row],[uren / jaar werkdagen]]*Tariefsopbouw!$D$38</f>
        <v>0</v>
      </c>
      <c r="X822" s="33"/>
      <c r="Y822" s="33">
        <f>IF(Ruimtestaat[[#This Row],[Frequentie weekend]]&gt;0,VALUE(LEFT(X822,1))*Q822,0)</f>
        <v>0</v>
      </c>
      <c r="Z822" s="33">
        <f>IF($Y822&gt;0,VLOOKUP($J822,Ruimtegroepen[],3,FALSE)*VLOOKUP($K822,Vloersoorten[],3,FALSE)*VLOOKUP($X822,Frequenties[],3,FALSE)*VLOOKUP(#REF!,Locaties[],3,FALSE),0)</f>
        <v>0</v>
      </c>
      <c r="AA822" s="33"/>
      <c r="AB822" s="33"/>
      <c r="AC822" s="33">
        <f>Ruimtestaat[[#This Row],[uren / jaar weekend]]*Tariefsopbouw!$D$40</f>
        <v>0</v>
      </c>
      <c r="AD822" s="88">
        <f>Ruimtestaat[[#This Row],[Prest. (m2 /jaar) weekend]]+Ruimtestaat[[#This Row],[Prest. (m2 /jaar) werkdagen]]</f>
        <v>15400</v>
      </c>
      <c r="AE822" s="88">
        <f>Ruimtestaat[[#This Row],[uren / jaar weekend]]+Ruimtestaat[[#This Row],[uren / jaar werkdagen]]</f>
        <v>0</v>
      </c>
      <c r="AF822" s="89">
        <f>Ruimtestaat[[#This Row],[kosten / jaar weekend]]+Ruimtestaat[[#This Row],[kosten / jaar werkdagen]]</f>
        <v>0</v>
      </c>
    </row>
    <row r="823" spans="1:32" ht="15" customHeight="1">
      <c r="A823" s="280">
        <v>6</v>
      </c>
      <c r="B823" s="21" t="str">
        <f>VLOOKUP(Ruimtestaat[[#This Row],[Code]],Locaties[#All],2,FALSE)</f>
        <v>SGC Tubbergen</v>
      </c>
      <c r="C823" s="281" t="str">
        <f>VLOOKUP(Ruimtestaat[[#This Row],[Code]],Locaties[#All],4,FALSE)</f>
        <v>Huyerenseweg 1</v>
      </c>
      <c r="D823" s="281" t="str">
        <f>VLOOKUP(Ruimtestaat[[#This Row],[Code]],Locaties[#All],5,FALSE)</f>
        <v>7651 LR</v>
      </c>
      <c r="E823" s="281" t="str">
        <f>VLOOKUP(Ruimtestaat[[#This Row],[Code]],Locaties[#All],6,FALSE)</f>
        <v>Tubbergen</v>
      </c>
      <c r="F823" s="282"/>
      <c r="G823" s="201" t="s">
        <v>942</v>
      </c>
      <c r="H823" s="280"/>
      <c r="I823" s="244" t="s">
        <v>469</v>
      </c>
      <c r="J823" s="200">
        <v>6</v>
      </c>
      <c r="K823" s="243" t="s">
        <v>1041</v>
      </c>
      <c r="L823" s="284" t="s">
        <v>998</v>
      </c>
      <c r="M823" s="213">
        <v>31</v>
      </c>
      <c r="N823" s="202"/>
      <c r="O823" s="243" t="str">
        <f>VLOOKUP(Ruimtestaat[[#This Row],[Ruimte code]],Ruimtegroepen[#All],4,FALSE)</f>
        <v>V  (Verkeersruimte)</v>
      </c>
      <c r="P823" s="214"/>
      <c r="Q823" s="215">
        <v>40</v>
      </c>
      <c r="R823" s="215" t="s">
        <v>2</v>
      </c>
      <c r="S823" s="215">
        <f>IF(R823&gt;0,IF(RIGHT(Ruimtestaat[[#This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3" s="215">
        <f>IF(S823&gt;0,VLOOKUP($J823,Ruimtegroepen[],3,FALSE)*VLOOKUP($K823,Vloersoorten[],3,FALSE)*VLOOKUP($R823,Frequenties[],3,FALSE)*VLOOKUP($A823,Locaties[],3,FALSE),0)</f>
        <v>0</v>
      </c>
      <c r="U823" s="215">
        <f>Ruimtestaat[[#This Row],[Uitvoeringen werkdagen]]*Ruimtestaat[[#This Row],[Oppervlak (netto)]]</f>
        <v>6200</v>
      </c>
      <c r="V823" s="259">
        <f>IF(T823&gt;0,Ruimtestaat[[#This Row],[Prest. (m2 /jaar) werkdagen]]/Ruimtestaat[[#This Row],[Norm (m2/uur) werkdagen]],0)</f>
        <v>0</v>
      </c>
      <c r="W823" s="260">
        <f>Ruimtestaat[[#This Row],[uren / jaar werkdagen]]*Tariefsopbouw!$D$38</f>
        <v>0</v>
      </c>
      <c r="X823" s="33"/>
      <c r="Y823" s="33">
        <f>IF(Ruimtestaat[[#This Row],[Frequentie weekend]]&gt;0,VALUE(LEFT(X823,1))*Q823,0)</f>
        <v>0</v>
      </c>
      <c r="Z823" s="33">
        <f>IF($Y823&gt;0,VLOOKUP($J823,Ruimtegroepen[],3,FALSE)*VLOOKUP($K823,Vloersoorten[],3,FALSE)*VLOOKUP($X823,Frequenties[],3,FALSE)*VLOOKUP(#REF!,Locaties[],3,FALSE),0)</f>
        <v>0</v>
      </c>
      <c r="AA823" s="33"/>
      <c r="AB823" s="33"/>
      <c r="AC823" s="33">
        <f>Ruimtestaat[[#This Row],[uren / jaar weekend]]*Tariefsopbouw!$D$40</f>
        <v>0</v>
      </c>
      <c r="AD823" s="88">
        <f>Ruimtestaat[[#This Row],[Prest. (m2 /jaar) weekend]]+Ruimtestaat[[#This Row],[Prest. (m2 /jaar) werkdagen]]</f>
        <v>6200</v>
      </c>
      <c r="AE823" s="88">
        <f>Ruimtestaat[[#This Row],[uren / jaar weekend]]+Ruimtestaat[[#This Row],[uren / jaar werkdagen]]</f>
        <v>0</v>
      </c>
      <c r="AF823" s="89">
        <f>Ruimtestaat[[#This Row],[kosten / jaar weekend]]+Ruimtestaat[[#This Row],[kosten / jaar werkdagen]]</f>
        <v>0</v>
      </c>
    </row>
    <row r="824" spans="1:32" ht="15" customHeight="1">
      <c r="A824" s="280">
        <v>6</v>
      </c>
      <c r="B824" s="21" t="str">
        <f>VLOOKUP(Ruimtestaat[[#This Row],[Code]],Locaties[#All],2,FALSE)</f>
        <v>SGC Tubbergen</v>
      </c>
      <c r="C824" s="281" t="str">
        <f>VLOOKUP(Ruimtestaat[[#This Row],[Code]],Locaties[#All],4,FALSE)</f>
        <v>Huyerenseweg 1</v>
      </c>
      <c r="D824" s="281" t="str">
        <f>VLOOKUP(Ruimtestaat[[#This Row],[Code]],Locaties[#All],5,FALSE)</f>
        <v>7651 LR</v>
      </c>
      <c r="E824" s="281" t="str">
        <f>VLOOKUP(Ruimtestaat[[#This Row],[Code]],Locaties[#All],6,FALSE)</f>
        <v>Tubbergen</v>
      </c>
      <c r="F824" s="282"/>
      <c r="G824" s="201" t="s">
        <v>942</v>
      </c>
      <c r="H824" s="280"/>
      <c r="I824" s="244" t="s">
        <v>457</v>
      </c>
      <c r="J824" s="200">
        <v>10</v>
      </c>
      <c r="K824" s="243" t="s">
        <v>1043</v>
      </c>
      <c r="L824" s="284" t="s">
        <v>997</v>
      </c>
      <c r="M824" s="213">
        <v>8</v>
      </c>
      <c r="N824" s="202"/>
      <c r="O824" s="243" t="str">
        <f>VLOOKUP(Ruimtestaat[[#This Row],[Ruimte code]],Ruimtegroepen[#All],4,FALSE)</f>
        <v>V  (Verkeersruimte)</v>
      </c>
      <c r="P824" s="214"/>
      <c r="Q824" s="215">
        <v>40</v>
      </c>
      <c r="R824" s="215" t="s">
        <v>2</v>
      </c>
      <c r="S824" s="215">
        <f>IF(R824&gt;0,IF(RIGHT(Ruimtestaat[[#This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4" s="215">
        <f>IF(S824&gt;0,VLOOKUP($J824,Ruimtegroepen[],3,FALSE)*VLOOKUP($K824,Vloersoorten[],3,FALSE)*VLOOKUP($R824,Frequenties[],3,FALSE)*VLOOKUP($A824,Locaties[],3,FALSE),0)</f>
        <v>0</v>
      </c>
      <c r="U824" s="215">
        <f>Ruimtestaat[[#This Row],[Uitvoeringen werkdagen]]*Ruimtestaat[[#This Row],[Oppervlak (netto)]]</f>
        <v>1600</v>
      </c>
      <c r="V824" s="259">
        <f>IF(T824&gt;0,Ruimtestaat[[#This Row],[Prest. (m2 /jaar) werkdagen]]/Ruimtestaat[[#This Row],[Norm (m2/uur) werkdagen]],0)</f>
        <v>0</v>
      </c>
      <c r="W824" s="260">
        <f>Ruimtestaat[[#This Row],[uren / jaar werkdagen]]*Tariefsopbouw!$D$38</f>
        <v>0</v>
      </c>
      <c r="X824" s="33"/>
      <c r="Y824" s="33">
        <f>IF(Ruimtestaat[[#This Row],[Frequentie weekend]]&gt;0,VALUE(LEFT(X824,1))*Q824,0)</f>
        <v>0</v>
      </c>
      <c r="Z824" s="33">
        <f>IF($Y824&gt;0,VLOOKUP($J824,Ruimtegroepen[],3,FALSE)*VLOOKUP($K824,Vloersoorten[],3,FALSE)*VLOOKUP($X824,Frequenties[],3,FALSE)*VLOOKUP(#REF!,Locaties[],3,FALSE),0)</f>
        <v>0</v>
      </c>
      <c r="AA824" s="33"/>
      <c r="AB824" s="33"/>
      <c r="AC824" s="33">
        <f>Ruimtestaat[[#This Row],[uren / jaar weekend]]*Tariefsopbouw!$D$40</f>
        <v>0</v>
      </c>
      <c r="AD824" s="88">
        <f>Ruimtestaat[[#This Row],[Prest. (m2 /jaar) weekend]]+Ruimtestaat[[#This Row],[Prest. (m2 /jaar) werkdagen]]</f>
        <v>1600</v>
      </c>
      <c r="AE824" s="88">
        <f>Ruimtestaat[[#This Row],[uren / jaar weekend]]+Ruimtestaat[[#This Row],[uren / jaar werkdagen]]</f>
        <v>0</v>
      </c>
      <c r="AF824" s="89">
        <f>Ruimtestaat[[#This Row],[kosten / jaar weekend]]+Ruimtestaat[[#This Row],[kosten / jaar werkdagen]]</f>
        <v>0</v>
      </c>
    </row>
    <row r="825" spans="1:32" ht="15" customHeight="1">
      <c r="A825" s="280">
        <v>6</v>
      </c>
      <c r="B825" s="21" t="str">
        <f>VLOOKUP(Ruimtestaat[[#This Row],[Code]],Locaties[#All],2,FALSE)</f>
        <v>SGC Tubbergen</v>
      </c>
      <c r="C825" s="281" t="str">
        <f>VLOOKUP(Ruimtestaat[[#This Row],[Code]],Locaties[#All],4,FALSE)</f>
        <v>Huyerenseweg 1</v>
      </c>
      <c r="D825" s="281" t="str">
        <f>VLOOKUP(Ruimtestaat[[#This Row],[Code]],Locaties[#All],5,FALSE)</f>
        <v>7651 LR</v>
      </c>
      <c r="E825" s="281" t="str">
        <f>VLOOKUP(Ruimtestaat[[#This Row],[Code]],Locaties[#All],6,FALSE)</f>
        <v>Tubbergen</v>
      </c>
      <c r="F825" s="282"/>
      <c r="G825" s="201" t="s">
        <v>942</v>
      </c>
      <c r="H825" s="280" t="s">
        <v>969</v>
      </c>
      <c r="I825" s="244" t="s">
        <v>487</v>
      </c>
      <c r="J825" s="215">
        <v>2</v>
      </c>
      <c r="K825" s="243" t="s">
        <v>1040</v>
      </c>
      <c r="L825" s="284" t="s">
        <v>999</v>
      </c>
      <c r="M825" s="213">
        <v>17</v>
      </c>
      <c r="N825" s="202"/>
      <c r="O825" s="243" t="str">
        <f>VLOOKUP(Ruimtestaat[[#This Row],[Ruimte code]],Ruimtegroepen[#All],4,FALSE)</f>
        <v>B  (Bureauruimte)</v>
      </c>
      <c r="P825" s="214"/>
      <c r="Q825" s="215">
        <v>40</v>
      </c>
      <c r="R825" s="215" t="s">
        <v>17</v>
      </c>
      <c r="S825" s="215">
        <f>IF(R825&gt;0,IF(RIGHT(Ruimtestaat[[#This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25" s="215">
        <f>IF(S825&gt;0,VLOOKUP($J825,Ruimtegroepen[],3,FALSE)*VLOOKUP($K825,Vloersoorten[],3,FALSE)*VLOOKUP($R825,Frequenties[],3,FALSE)*VLOOKUP($A825,Locaties[],3,FALSE),0)</f>
        <v>0</v>
      </c>
      <c r="U825" s="215">
        <f>Ruimtestaat[[#This Row],[Uitvoeringen werkdagen]]*Ruimtestaat[[#This Row],[Oppervlak (netto)]]</f>
        <v>1360</v>
      </c>
      <c r="V825" s="259">
        <f>IF(T825&gt;0,Ruimtestaat[[#This Row],[Prest. (m2 /jaar) werkdagen]]/Ruimtestaat[[#This Row],[Norm (m2/uur) werkdagen]],0)</f>
        <v>0</v>
      </c>
      <c r="W825" s="260">
        <f>Ruimtestaat[[#This Row],[uren / jaar werkdagen]]*Tariefsopbouw!$D$38</f>
        <v>0</v>
      </c>
      <c r="X825" s="33"/>
      <c r="Y825" s="33">
        <f>IF(Ruimtestaat[[#This Row],[Frequentie weekend]]&gt;0,VALUE(LEFT(X825,1))*Q825,0)</f>
        <v>0</v>
      </c>
      <c r="Z825" s="33">
        <f>IF($Y825&gt;0,VLOOKUP($J825,Ruimtegroepen[],3,FALSE)*VLOOKUP($K825,Vloersoorten[],3,FALSE)*VLOOKUP($X825,Frequenties[],3,FALSE)*VLOOKUP(#REF!,Locaties[],3,FALSE),0)</f>
        <v>0</v>
      </c>
      <c r="AA825" s="33"/>
      <c r="AB825" s="33"/>
      <c r="AC825" s="33">
        <f>Ruimtestaat[[#This Row],[uren / jaar weekend]]*Tariefsopbouw!$D$40</f>
        <v>0</v>
      </c>
      <c r="AD825" s="88">
        <f>Ruimtestaat[[#This Row],[Prest. (m2 /jaar) weekend]]+Ruimtestaat[[#This Row],[Prest. (m2 /jaar) werkdagen]]</f>
        <v>1360</v>
      </c>
      <c r="AE825" s="88">
        <f>Ruimtestaat[[#This Row],[uren / jaar weekend]]+Ruimtestaat[[#This Row],[uren / jaar werkdagen]]</f>
        <v>0</v>
      </c>
      <c r="AF825" s="89">
        <f>Ruimtestaat[[#This Row],[kosten / jaar weekend]]+Ruimtestaat[[#This Row],[kosten / jaar werkdagen]]</f>
        <v>0</v>
      </c>
    </row>
    <row r="826" spans="1:32" ht="15" customHeight="1">
      <c r="A826" s="280">
        <v>6</v>
      </c>
      <c r="B826" s="21" t="str">
        <f>VLOOKUP(Ruimtestaat[[#This Row],[Code]],Locaties[#All],2,FALSE)</f>
        <v>SGC Tubbergen</v>
      </c>
      <c r="C826" s="281" t="str">
        <f>VLOOKUP(Ruimtestaat[[#This Row],[Code]],Locaties[#All],4,FALSE)</f>
        <v>Huyerenseweg 1</v>
      </c>
      <c r="D826" s="281" t="str">
        <f>VLOOKUP(Ruimtestaat[[#This Row],[Code]],Locaties[#All],5,FALSE)</f>
        <v>7651 LR</v>
      </c>
      <c r="E826" s="281" t="str">
        <f>VLOOKUP(Ruimtestaat[[#This Row],[Code]],Locaties[#All],6,FALSE)</f>
        <v>Tubbergen</v>
      </c>
      <c r="F826" s="282"/>
      <c r="G826" s="201" t="s">
        <v>942</v>
      </c>
      <c r="H826" s="280"/>
      <c r="I826" s="244" t="s">
        <v>692</v>
      </c>
      <c r="J826" s="200">
        <v>4</v>
      </c>
      <c r="K826" s="243" t="s">
        <v>1040</v>
      </c>
      <c r="L826" s="284" t="s">
        <v>999</v>
      </c>
      <c r="M826" s="213">
        <v>9</v>
      </c>
      <c r="N826" s="202"/>
      <c r="O826" s="243" t="str">
        <f>VLOOKUP(Ruimtestaat[[#This Row],[Ruimte code]],Ruimtegroepen[#All],4,FALSE)</f>
        <v>B  (Bureauruimte)</v>
      </c>
      <c r="P826" s="214"/>
      <c r="Q826" s="215">
        <v>40</v>
      </c>
      <c r="R826" s="215" t="s">
        <v>18</v>
      </c>
      <c r="S826" s="215">
        <f>IF(R826&gt;0,IF(RIGHT(Ruimtestaat[[#This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26" s="215">
        <f>IF(S826&gt;0,VLOOKUP($J826,Ruimtegroepen[],3,FALSE)*VLOOKUP($K826,Vloersoorten[],3,FALSE)*VLOOKUP($R826,Frequenties[],3,FALSE)*VLOOKUP($A826,Locaties[],3,FALSE),0)</f>
        <v>0</v>
      </c>
      <c r="U826" s="215">
        <f>Ruimtestaat[[#This Row],[Uitvoeringen werkdagen]]*Ruimtestaat[[#This Row],[Oppervlak (netto)]]</f>
        <v>1080</v>
      </c>
      <c r="V826" s="259">
        <f>IF(T826&gt;0,Ruimtestaat[[#This Row],[Prest. (m2 /jaar) werkdagen]]/Ruimtestaat[[#This Row],[Norm (m2/uur) werkdagen]],0)</f>
        <v>0</v>
      </c>
      <c r="W826" s="260">
        <f>Ruimtestaat[[#This Row],[uren / jaar werkdagen]]*Tariefsopbouw!$D$38</f>
        <v>0</v>
      </c>
      <c r="X826" s="33"/>
      <c r="Y826" s="33">
        <f>IF(Ruimtestaat[[#This Row],[Frequentie weekend]]&gt;0,VALUE(LEFT(X826,1))*Q826,0)</f>
        <v>0</v>
      </c>
      <c r="Z826" s="33">
        <f>IF($Y826&gt;0,VLOOKUP($J826,Ruimtegroepen[],3,FALSE)*VLOOKUP($K826,Vloersoorten[],3,FALSE)*VLOOKUP($X826,Frequenties[],3,FALSE)*VLOOKUP(#REF!,Locaties[],3,FALSE),0)</f>
        <v>0</v>
      </c>
      <c r="AA826" s="33"/>
      <c r="AB826" s="33"/>
      <c r="AC826" s="33">
        <f>Ruimtestaat[[#This Row],[uren / jaar weekend]]*Tariefsopbouw!$D$40</f>
        <v>0</v>
      </c>
      <c r="AD826" s="88">
        <f>Ruimtestaat[[#This Row],[Prest. (m2 /jaar) weekend]]+Ruimtestaat[[#This Row],[Prest. (m2 /jaar) werkdagen]]</f>
        <v>1080</v>
      </c>
      <c r="AE826" s="88">
        <f>Ruimtestaat[[#This Row],[uren / jaar weekend]]+Ruimtestaat[[#This Row],[uren / jaar werkdagen]]</f>
        <v>0</v>
      </c>
      <c r="AF826" s="89">
        <f>Ruimtestaat[[#This Row],[kosten / jaar weekend]]+Ruimtestaat[[#This Row],[kosten / jaar werkdagen]]</f>
        <v>0</v>
      </c>
    </row>
    <row r="827" spans="1:32" ht="15" customHeight="1">
      <c r="A827" s="280">
        <v>6</v>
      </c>
      <c r="B827" s="21" t="str">
        <f>VLOOKUP(Ruimtestaat[[#This Row],[Code]],Locaties[#All],2,FALSE)</f>
        <v>SGC Tubbergen</v>
      </c>
      <c r="C827" s="281" t="str">
        <f>VLOOKUP(Ruimtestaat[[#This Row],[Code]],Locaties[#All],4,FALSE)</f>
        <v>Huyerenseweg 1</v>
      </c>
      <c r="D827" s="281" t="str">
        <f>VLOOKUP(Ruimtestaat[[#This Row],[Code]],Locaties[#All],5,FALSE)</f>
        <v>7651 LR</v>
      </c>
      <c r="E827" s="281" t="str">
        <f>VLOOKUP(Ruimtestaat[[#This Row],[Code]],Locaties[#All],6,FALSE)</f>
        <v>Tubbergen</v>
      </c>
      <c r="F827" s="282"/>
      <c r="G827" s="201" t="s">
        <v>942</v>
      </c>
      <c r="H827" s="280"/>
      <c r="I827" s="244" t="s">
        <v>692</v>
      </c>
      <c r="J827" s="200">
        <v>4</v>
      </c>
      <c r="K827" s="243" t="s">
        <v>1040</v>
      </c>
      <c r="L827" s="284" t="s">
        <v>999</v>
      </c>
      <c r="M827" s="213">
        <v>11</v>
      </c>
      <c r="N827" s="213"/>
      <c r="O827" s="243" t="str">
        <f>VLOOKUP(Ruimtestaat[[#This Row],[Ruimte code]],Ruimtegroepen[#All],4,FALSE)</f>
        <v>B  (Bureauruimte)</v>
      </c>
      <c r="P827" s="214"/>
      <c r="Q827" s="215">
        <v>40</v>
      </c>
      <c r="R827" s="215" t="s">
        <v>18</v>
      </c>
      <c r="S827" s="215">
        <f>IF(R827&gt;0,IF(RIGHT(Ruimtestaat[[#This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27" s="215">
        <f>IF(S827&gt;0,VLOOKUP($J827,Ruimtegroepen[],3,FALSE)*VLOOKUP($K827,Vloersoorten[],3,FALSE)*VLOOKUP($R827,Frequenties[],3,FALSE)*VLOOKUP($A827,Locaties[],3,FALSE),0)</f>
        <v>0</v>
      </c>
      <c r="U827" s="215">
        <f>Ruimtestaat[[#This Row],[Uitvoeringen werkdagen]]*Ruimtestaat[[#This Row],[Oppervlak (netto)]]</f>
        <v>1320</v>
      </c>
      <c r="V827" s="259">
        <f>IF(T827&gt;0,Ruimtestaat[[#This Row],[Prest. (m2 /jaar) werkdagen]]/Ruimtestaat[[#This Row],[Norm (m2/uur) werkdagen]],0)</f>
        <v>0</v>
      </c>
      <c r="W827" s="260">
        <f>Ruimtestaat[[#This Row],[uren / jaar werkdagen]]*Tariefsopbouw!$D$38</f>
        <v>0</v>
      </c>
      <c r="X827" s="33"/>
      <c r="Y827" s="33">
        <f>IF(Ruimtestaat[[#This Row],[Frequentie weekend]]&gt;0,VALUE(LEFT(X827,1))*Q827,0)</f>
        <v>0</v>
      </c>
      <c r="Z827" s="33">
        <f>IF($Y827&gt;0,VLOOKUP($J827,Ruimtegroepen[],3,FALSE)*VLOOKUP($K827,Vloersoorten[],3,FALSE)*VLOOKUP($X827,Frequenties[],3,FALSE)*VLOOKUP(#REF!,Locaties[],3,FALSE),0)</f>
        <v>0</v>
      </c>
      <c r="AA827" s="33"/>
      <c r="AB827" s="33"/>
      <c r="AC827" s="33">
        <f>Ruimtestaat[[#This Row],[uren / jaar weekend]]*Tariefsopbouw!$D$40</f>
        <v>0</v>
      </c>
      <c r="AD827" s="88">
        <f>Ruimtestaat[[#This Row],[Prest. (m2 /jaar) weekend]]+Ruimtestaat[[#This Row],[Prest. (m2 /jaar) werkdagen]]</f>
        <v>1320</v>
      </c>
      <c r="AE827" s="88">
        <f>Ruimtestaat[[#This Row],[uren / jaar weekend]]+Ruimtestaat[[#This Row],[uren / jaar werkdagen]]</f>
        <v>0</v>
      </c>
      <c r="AF827" s="89">
        <f>Ruimtestaat[[#This Row],[kosten / jaar weekend]]+Ruimtestaat[[#This Row],[kosten / jaar werkdagen]]</f>
        <v>0</v>
      </c>
    </row>
    <row r="828" spans="1:32" ht="15" customHeight="1">
      <c r="A828" s="280">
        <v>6</v>
      </c>
      <c r="B828" s="21" t="str">
        <f>VLOOKUP(Ruimtestaat[[#This Row],[Code]],Locaties[#All],2,FALSE)</f>
        <v>SGC Tubbergen</v>
      </c>
      <c r="C828" s="281" t="str">
        <f>VLOOKUP(Ruimtestaat[[#This Row],[Code]],Locaties[#All],4,FALSE)</f>
        <v>Huyerenseweg 1</v>
      </c>
      <c r="D828" s="281" t="str">
        <f>VLOOKUP(Ruimtestaat[[#This Row],[Code]],Locaties[#All],5,FALSE)</f>
        <v>7651 LR</v>
      </c>
      <c r="E828" s="281" t="str">
        <f>VLOOKUP(Ruimtestaat[[#This Row],[Code]],Locaties[#All],6,FALSE)</f>
        <v>Tubbergen</v>
      </c>
      <c r="F828" s="282"/>
      <c r="G828" s="201" t="s">
        <v>942</v>
      </c>
      <c r="H828" s="280"/>
      <c r="I828" s="244" t="s">
        <v>721</v>
      </c>
      <c r="J828" s="200">
        <v>5</v>
      </c>
      <c r="K828" s="243" t="s">
        <v>1043</v>
      </c>
      <c r="L828" s="284" t="s">
        <v>997</v>
      </c>
      <c r="M828" s="213">
        <v>8.5</v>
      </c>
      <c r="N828" s="202"/>
      <c r="O828" s="243" t="str">
        <f>VLOOKUP(Ruimtestaat[[#This Row],[Ruimte code]],Ruimtegroepen[#All],4,FALSE)</f>
        <v>S  (Sanitair)</v>
      </c>
      <c r="P828" s="214"/>
      <c r="Q828" s="215">
        <v>40</v>
      </c>
      <c r="R828" s="215" t="s">
        <v>2</v>
      </c>
      <c r="S828" s="215">
        <f>IF(R828&gt;0,IF(RIGHT(Ruimtestaat[[#This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8" s="215">
        <f>IF(S828&gt;0,VLOOKUP($J828,Ruimtegroepen[],3,FALSE)*VLOOKUP($K828,Vloersoorten[],3,FALSE)*VLOOKUP($R828,Frequenties[],3,FALSE)*VLOOKUP($A828,Locaties[],3,FALSE),0)</f>
        <v>0</v>
      </c>
      <c r="U828" s="215">
        <f>Ruimtestaat[[#This Row],[Uitvoeringen werkdagen]]*Ruimtestaat[[#This Row],[Oppervlak (netto)]]</f>
        <v>1700</v>
      </c>
      <c r="V828" s="259">
        <f>IF(T828&gt;0,Ruimtestaat[[#This Row],[Prest. (m2 /jaar) werkdagen]]/Ruimtestaat[[#This Row],[Norm (m2/uur) werkdagen]],0)</f>
        <v>0</v>
      </c>
      <c r="W828" s="260">
        <f>Ruimtestaat[[#This Row],[uren / jaar werkdagen]]*Tariefsopbouw!$D$38</f>
        <v>0</v>
      </c>
      <c r="X828" s="33"/>
      <c r="Y828" s="33">
        <f>IF(Ruimtestaat[[#This Row],[Frequentie weekend]]&gt;0,VALUE(LEFT(X828,1))*Q828,0)</f>
        <v>0</v>
      </c>
      <c r="Z828" s="33">
        <f>IF($Y828&gt;0,VLOOKUP($J828,Ruimtegroepen[],3,FALSE)*VLOOKUP($K828,Vloersoorten[],3,FALSE)*VLOOKUP($X828,Frequenties[],3,FALSE)*VLOOKUP(#REF!,Locaties[],3,FALSE),0)</f>
        <v>0</v>
      </c>
      <c r="AA828" s="33"/>
      <c r="AB828" s="33"/>
      <c r="AC828" s="33">
        <f>Ruimtestaat[[#This Row],[uren / jaar weekend]]*Tariefsopbouw!$D$40</f>
        <v>0</v>
      </c>
      <c r="AD828" s="88">
        <f>Ruimtestaat[[#This Row],[Prest. (m2 /jaar) weekend]]+Ruimtestaat[[#This Row],[Prest. (m2 /jaar) werkdagen]]</f>
        <v>1700</v>
      </c>
      <c r="AE828" s="88">
        <f>Ruimtestaat[[#This Row],[uren / jaar weekend]]+Ruimtestaat[[#This Row],[uren / jaar werkdagen]]</f>
        <v>0</v>
      </c>
      <c r="AF828" s="89">
        <f>Ruimtestaat[[#This Row],[kosten / jaar weekend]]+Ruimtestaat[[#This Row],[kosten / jaar werkdagen]]</f>
        <v>0</v>
      </c>
    </row>
    <row r="829" spans="1:32" ht="15" customHeight="1">
      <c r="A829" s="280">
        <v>6</v>
      </c>
      <c r="B829" s="21" t="str">
        <f>VLOOKUP(Ruimtestaat[[#This Row],[Code]],Locaties[#All],2,FALSE)</f>
        <v>SGC Tubbergen</v>
      </c>
      <c r="C829" s="281" t="str">
        <f>VLOOKUP(Ruimtestaat[[#This Row],[Code]],Locaties[#All],4,FALSE)</f>
        <v>Huyerenseweg 1</v>
      </c>
      <c r="D829" s="281" t="str">
        <f>VLOOKUP(Ruimtestaat[[#This Row],[Code]],Locaties[#All],5,FALSE)</f>
        <v>7651 LR</v>
      </c>
      <c r="E829" s="281" t="str">
        <f>VLOOKUP(Ruimtestaat[[#This Row],[Code]],Locaties[#All],6,FALSE)</f>
        <v>Tubbergen</v>
      </c>
      <c r="F829" s="282"/>
      <c r="G829" s="201" t="s">
        <v>942</v>
      </c>
      <c r="H829" s="280"/>
      <c r="I829" s="244" t="s">
        <v>721</v>
      </c>
      <c r="J829" s="200">
        <v>5</v>
      </c>
      <c r="K829" s="243" t="s">
        <v>1043</v>
      </c>
      <c r="L829" s="284" t="s">
        <v>997</v>
      </c>
      <c r="M829" s="213">
        <v>8.5</v>
      </c>
      <c r="N829" s="202"/>
      <c r="O829" s="243" t="str">
        <f>VLOOKUP(Ruimtestaat[[#This Row],[Ruimte code]],Ruimtegroepen[#All],4,FALSE)</f>
        <v>S  (Sanitair)</v>
      </c>
      <c r="P829" s="214"/>
      <c r="Q829" s="215">
        <v>40</v>
      </c>
      <c r="R829" s="215" t="s">
        <v>2</v>
      </c>
      <c r="S829" s="215">
        <f>IF(R829&gt;0,IF(RIGHT(Ruimtestaat[[#This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29" s="215">
        <f>IF(S829&gt;0,VLOOKUP($J829,Ruimtegroepen[],3,FALSE)*VLOOKUP($K829,Vloersoorten[],3,FALSE)*VLOOKUP($R829,Frequenties[],3,FALSE)*VLOOKUP($A829,Locaties[],3,FALSE),0)</f>
        <v>0</v>
      </c>
      <c r="U829" s="215">
        <f>Ruimtestaat[[#This Row],[Uitvoeringen werkdagen]]*Ruimtestaat[[#This Row],[Oppervlak (netto)]]</f>
        <v>1700</v>
      </c>
      <c r="V829" s="259">
        <f>IF(T829&gt;0,Ruimtestaat[[#This Row],[Prest. (m2 /jaar) werkdagen]]/Ruimtestaat[[#This Row],[Norm (m2/uur) werkdagen]],0)</f>
        <v>0</v>
      </c>
      <c r="W829" s="260">
        <f>Ruimtestaat[[#This Row],[uren / jaar werkdagen]]*Tariefsopbouw!$D$38</f>
        <v>0</v>
      </c>
      <c r="X829" s="33"/>
      <c r="Y829" s="33">
        <f>IF(Ruimtestaat[[#This Row],[Frequentie weekend]]&gt;0,VALUE(LEFT(X829,1))*Q829,0)</f>
        <v>0</v>
      </c>
      <c r="Z829" s="33">
        <f>IF($Y829&gt;0,VLOOKUP($J829,Ruimtegroepen[],3,FALSE)*VLOOKUP($K829,Vloersoorten[],3,FALSE)*VLOOKUP($X829,Frequenties[],3,FALSE)*VLOOKUP(#REF!,Locaties[],3,FALSE),0)</f>
        <v>0</v>
      </c>
      <c r="AA829" s="33"/>
      <c r="AB829" s="33"/>
      <c r="AC829" s="33">
        <f>Ruimtestaat[[#This Row],[uren / jaar weekend]]*Tariefsopbouw!$D$40</f>
        <v>0</v>
      </c>
      <c r="AD829" s="88">
        <f>Ruimtestaat[[#This Row],[Prest. (m2 /jaar) weekend]]+Ruimtestaat[[#This Row],[Prest. (m2 /jaar) werkdagen]]</f>
        <v>1700</v>
      </c>
      <c r="AE829" s="88">
        <f>Ruimtestaat[[#This Row],[uren / jaar weekend]]+Ruimtestaat[[#This Row],[uren / jaar werkdagen]]</f>
        <v>0</v>
      </c>
      <c r="AF829" s="89">
        <f>Ruimtestaat[[#This Row],[kosten / jaar weekend]]+Ruimtestaat[[#This Row],[kosten / jaar werkdagen]]</f>
        <v>0</v>
      </c>
    </row>
    <row r="830" spans="1:32" ht="15" customHeight="1">
      <c r="A830" s="280">
        <v>6</v>
      </c>
      <c r="B830" s="21" t="str">
        <f>VLOOKUP(Ruimtestaat[[#This Row],[Code]],Locaties[#All],2,FALSE)</f>
        <v>SGC Tubbergen</v>
      </c>
      <c r="C830" s="281" t="str">
        <f>VLOOKUP(Ruimtestaat[[#This Row],[Code]],Locaties[#All],4,FALSE)</f>
        <v>Huyerenseweg 1</v>
      </c>
      <c r="D830" s="281" t="str">
        <f>VLOOKUP(Ruimtestaat[[#This Row],[Code]],Locaties[#All],5,FALSE)</f>
        <v>7651 LR</v>
      </c>
      <c r="E830" s="281" t="str">
        <f>VLOOKUP(Ruimtestaat[[#This Row],[Code]],Locaties[#All],6,FALSE)</f>
        <v>Tubbergen</v>
      </c>
      <c r="F830" s="282"/>
      <c r="G830" s="201" t="s">
        <v>942</v>
      </c>
      <c r="H830" s="280" t="s">
        <v>970</v>
      </c>
      <c r="I830" s="244" t="s">
        <v>396</v>
      </c>
      <c r="J830" s="215">
        <v>16</v>
      </c>
      <c r="K830" s="243" t="s">
        <v>1040</v>
      </c>
      <c r="L830" s="284" t="s">
        <v>999</v>
      </c>
      <c r="M830" s="213">
        <v>59.5</v>
      </c>
      <c r="N830" s="213"/>
      <c r="O830" s="243" t="str">
        <f>VLOOKUP(Ruimtestaat[[#This Row],[Ruimte code]],Ruimtegroepen[#All],4,FALSE)</f>
        <v>L  (Lesruimte)</v>
      </c>
      <c r="P830" s="214"/>
      <c r="Q830" s="215">
        <v>40</v>
      </c>
      <c r="R830" s="215" t="s">
        <v>2</v>
      </c>
      <c r="S830" s="215">
        <f>IF(R830&gt;0,IF(RIGHT(Ruimtestaat[[#This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0" s="215">
        <f>IF(S830&gt;0,VLOOKUP($J830,Ruimtegroepen[],3,FALSE)*VLOOKUP($K830,Vloersoorten[],3,FALSE)*VLOOKUP($R830,Frequenties[],3,FALSE)*VLOOKUP($A830,Locaties[],3,FALSE),0)</f>
        <v>0</v>
      </c>
      <c r="U830" s="215">
        <f>Ruimtestaat[[#This Row],[Uitvoeringen werkdagen]]*Ruimtestaat[[#This Row],[Oppervlak (netto)]]</f>
        <v>11900</v>
      </c>
      <c r="V830" s="259">
        <f>IF(T830&gt;0,Ruimtestaat[[#This Row],[Prest. (m2 /jaar) werkdagen]]/Ruimtestaat[[#This Row],[Norm (m2/uur) werkdagen]],0)</f>
        <v>0</v>
      </c>
      <c r="W830" s="260">
        <f>Ruimtestaat[[#This Row],[uren / jaar werkdagen]]*Tariefsopbouw!$D$38</f>
        <v>0</v>
      </c>
      <c r="X830" s="33"/>
      <c r="Y830" s="33">
        <f>IF(Ruimtestaat[[#This Row],[Frequentie weekend]]&gt;0,VALUE(LEFT(X830,1))*Q830,0)</f>
        <v>0</v>
      </c>
      <c r="Z830" s="33">
        <f>IF($Y830&gt;0,VLOOKUP($J830,Ruimtegroepen[],3,FALSE)*VLOOKUP($K830,Vloersoorten[],3,FALSE)*VLOOKUP($X830,Frequenties[],3,FALSE)*VLOOKUP(#REF!,Locaties[],3,FALSE),0)</f>
        <v>0</v>
      </c>
      <c r="AA830" s="33"/>
      <c r="AB830" s="33"/>
      <c r="AC830" s="33">
        <f>Ruimtestaat[[#This Row],[uren / jaar weekend]]*Tariefsopbouw!$D$40</f>
        <v>0</v>
      </c>
      <c r="AD830" s="88">
        <f>Ruimtestaat[[#This Row],[Prest. (m2 /jaar) weekend]]+Ruimtestaat[[#This Row],[Prest. (m2 /jaar) werkdagen]]</f>
        <v>11900</v>
      </c>
      <c r="AE830" s="88">
        <f>Ruimtestaat[[#This Row],[uren / jaar weekend]]+Ruimtestaat[[#This Row],[uren / jaar werkdagen]]</f>
        <v>0</v>
      </c>
      <c r="AF830" s="89">
        <f>Ruimtestaat[[#This Row],[kosten / jaar weekend]]+Ruimtestaat[[#This Row],[kosten / jaar werkdagen]]</f>
        <v>0</v>
      </c>
    </row>
    <row r="831" spans="1:32" ht="15" customHeight="1">
      <c r="A831" s="280">
        <v>6</v>
      </c>
      <c r="B831" s="21" t="str">
        <f>VLOOKUP(Ruimtestaat[[#This Row],[Code]],Locaties[#All],2,FALSE)</f>
        <v>SGC Tubbergen</v>
      </c>
      <c r="C831" s="281" t="str">
        <f>VLOOKUP(Ruimtestaat[[#This Row],[Code]],Locaties[#All],4,FALSE)</f>
        <v>Huyerenseweg 1</v>
      </c>
      <c r="D831" s="281" t="str">
        <f>VLOOKUP(Ruimtestaat[[#This Row],[Code]],Locaties[#All],5,FALSE)</f>
        <v>7651 LR</v>
      </c>
      <c r="E831" s="281" t="str">
        <f>VLOOKUP(Ruimtestaat[[#This Row],[Code]],Locaties[#All],6,FALSE)</f>
        <v>Tubbergen</v>
      </c>
      <c r="F831" s="282"/>
      <c r="G831" s="201" t="s">
        <v>942</v>
      </c>
      <c r="H831" s="280" t="s">
        <v>971</v>
      </c>
      <c r="I831" s="244" t="s">
        <v>692</v>
      </c>
      <c r="J831" s="200">
        <v>4</v>
      </c>
      <c r="K831" s="243" t="s">
        <v>1040</v>
      </c>
      <c r="L831" s="284" t="s">
        <v>999</v>
      </c>
      <c r="M831" s="213">
        <v>30</v>
      </c>
      <c r="N831" s="213"/>
      <c r="O831" s="243" t="str">
        <f>VLOOKUP(Ruimtestaat[[#This Row],[Ruimte code]],Ruimtegroepen[#All],4,FALSE)</f>
        <v>B  (Bureauruimte)</v>
      </c>
      <c r="P831" s="214"/>
      <c r="Q831" s="215">
        <v>40</v>
      </c>
      <c r="R831" s="215" t="s">
        <v>18</v>
      </c>
      <c r="S831" s="215">
        <f>IF(R831&gt;0,IF(RIGHT(Ruimtestaat[[#This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120</v>
      </c>
      <c r="T831" s="215">
        <f>IF(S831&gt;0,VLOOKUP($J831,Ruimtegroepen[],3,FALSE)*VLOOKUP($K831,Vloersoorten[],3,FALSE)*VLOOKUP($R831,Frequenties[],3,FALSE)*VLOOKUP($A831,Locaties[],3,FALSE),0)</f>
        <v>0</v>
      </c>
      <c r="U831" s="215">
        <f>Ruimtestaat[[#This Row],[Uitvoeringen werkdagen]]*Ruimtestaat[[#This Row],[Oppervlak (netto)]]</f>
        <v>3600</v>
      </c>
      <c r="V831" s="259">
        <f>IF(T831&gt;0,Ruimtestaat[[#This Row],[Prest. (m2 /jaar) werkdagen]]/Ruimtestaat[[#This Row],[Norm (m2/uur) werkdagen]],0)</f>
        <v>0</v>
      </c>
      <c r="W831" s="260">
        <f>Ruimtestaat[[#This Row],[uren / jaar werkdagen]]*Tariefsopbouw!$D$38</f>
        <v>0</v>
      </c>
      <c r="X831" s="33"/>
      <c r="Y831" s="33">
        <f>IF(Ruimtestaat[[#This Row],[Frequentie weekend]]&gt;0,VALUE(LEFT(X831,1))*Q831,0)</f>
        <v>0</v>
      </c>
      <c r="Z831" s="33">
        <f>IF($Y831&gt;0,VLOOKUP($J831,Ruimtegroepen[],3,FALSE)*VLOOKUP($K831,Vloersoorten[],3,FALSE)*VLOOKUP($X831,Frequenties[],3,FALSE)*VLOOKUP(#REF!,Locaties[],3,FALSE),0)</f>
        <v>0</v>
      </c>
      <c r="AA831" s="33"/>
      <c r="AB831" s="33"/>
      <c r="AC831" s="33">
        <f>Ruimtestaat[[#This Row],[uren / jaar weekend]]*Tariefsopbouw!$D$40</f>
        <v>0</v>
      </c>
      <c r="AD831" s="88">
        <f>Ruimtestaat[[#This Row],[Prest. (m2 /jaar) weekend]]+Ruimtestaat[[#This Row],[Prest. (m2 /jaar) werkdagen]]</f>
        <v>3600</v>
      </c>
      <c r="AE831" s="88">
        <f>Ruimtestaat[[#This Row],[uren / jaar weekend]]+Ruimtestaat[[#This Row],[uren / jaar werkdagen]]</f>
        <v>0</v>
      </c>
      <c r="AF831" s="89">
        <f>Ruimtestaat[[#This Row],[kosten / jaar weekend]]+Ruimtestaat[[#This Row],[kosten / jaar werkdagen]]</f>
        <v>0</v>
      </c>
    </row>
    <row r="832" spans="1:32" ht="15" customHeight="1">
      <c r="A832" s="280">
        <v>6</v>
      </c>
      <c r="B832" s="21" t="str">
        <f>VLOOKUP(Ruimtestaat[[#This Row],[Code]],Locaties[#All],2,FALSE)</f>
        <v>SGC Tubbergen</v>
      </c>
      <c r="C832" s="281" t="str">
        <f>VLOOKUP(Ruimtestaat[[#This Row],[Code]],Locaties[#All],4,FALSE)</f>
        <v>Huyerenseweg 1</v>
      </c>
      <c r="D832" s="281" t="str">
        <f>VLOOKUP(Ruimtestaat[[#This Row],[Code]],Locaties[#All],5,FALSE)</f>
        <v>7651 LR</v>
      </c>
      <c r="E832" s="281" t="str">
        <f>VLOOKUP(Ruimtestaat[[#This Row],[Code]],Locaties[#All],6,FALSE)</f>
        <v>Tubbergen</v>
      </c>
      <c r="F832" s="282"/>
      <c r="G832" s="201" t="s">
        <v>942</v>
      </c>
      <c r="H832" s="280" t="s">
        <v>972</v>
      </c>
      <c r="I832" s="244" t="s">
        <v>396</v>
      </c>
      <c r="J832" s="215">
        <v>16</v>
      </c>
      <c r="K832" s="243" t="s">
        <v>1040</v>
      </c>
      <c r="L832" s="284" t="s">
        <v>999</v>
      </c>
      <c r="M832" s="213">
        <v>39</v>
      </c>
      <c r="N832" s="213"/>
      <c r="O832" s="243" t="str">
        <f>VLOOKUP(Ruimtestaat[[#This Row],[Ruimte code]],Ruimtegroepen[#All],4,FALSE)</f>
        <v>L  (Lesruimte)</v>
      </c>
      <c r="P832" s="214"/>
      <c r="Q832" s="215">
        <v>40</v>
      </c>
      <c r="R832" s="215" t="s">
        <v>2</v>
      </c>
      <c r="S832" s="215">
        <f>IF(R832&gt;0,IF(RIGHT(Ruimtestaat[[#This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2" s="215">
        <f>IF(S832&gt;0,VLOOKUP($J832,Ruimtegroepen[],3,FALSE)*VLOOKUP($K832,Vloersoorten[],3,FALSE)*VLOOKUP($R832,Frequenties[],3,FALSE)*VLOOKUP($A832,Locaties[],3,FALSE),0)</f>
        <v>0</v>
      </c>
      <c r="U832" s="215">
        <f>Ruimtestaat[[#This Row],[Uitvoeringen werkdagen]]*Ruimtestaat[[#This Row],[Oppervlak (netto)]]</f>
        <v>7800</v>
      </c>
      <c r="V832" s="259">
        <f>IF(T832&gt;0,Ruimtestaat[[#This Row],[Prest. (m2 /jaar) werkdagen]]/Ruimtestaat[[#This Row],[Norm (m2/uur) werkdagen]],0)</f>
        <v>0</v>
      </c>
      <c r="W832" s="260">
        <f>Ruimtestaat[[#This Row],[uren / jaar werkdagen]]*Tariefsopbouw!$D$38</f>
        <v>0</v>
      </c>
      <c r="X832" s="33"/>
      <c r="Y832" s="33">
        <f>IF(Ruimtestaat[[#This Row],[Frequentie weekend]]&gt;0,VALUE(LEFT(X832,1))*Q832,0)</f>
        <v>0</v>
      </c>
      <c r="Z832" s="33">
        <f>IF($Y832&gt;0,VLOOKUP($J832,Ruimtegroepen[],3,FALSE)*VLOOKUP($K832,Vloersoorten[],3,FALSE)*VLOOKUP($X832,Frequenties[],3,FALSE)*VLOOKUP(#REF!,Locaties[],3,FALSE),0)</f>
        <v>0</v>
      </c>
      <c r="AA832" s="33"/>
      <c r="AB832" s="33"/>
      <c r="AC832" s="33">
        <f>Ruimtestaat[[#This Row],[uren / jaar weekend]]*Tariefsopbouw!$D$40</f>
        <v>0</v>
      </c>
      <c r="AD832" s="88">
        <f>Ruimtestaat[[#This Row],[Prest. (m2 /jaar) weekend]]+Ruimtestaat[[#This Row],[Prest. (m2 /jaar) werkdagen]]</f>
        <v>7800</v>
      </c>
      <c r="AE832" s="88">
        <f>Ruimtestaat[[#This Row],[uren / jaar weekend]]+Ruimtestaat[[#This Row],[uren / jaar werkdagen]]</f>
        <v>0</v>
      </c>
      <c r="AF832" s="89">
        <f>Ruimtestaat[[#This Row],[kosten / jaar weekend]]+Ruimtestaat[[#This Row],[kosten / jaar werkdagen]]</f>
        <v>0</v>
      </c>
    </row>
    <row r="833" spans="1:32" ht="15" customHeight="1">
      <c r="A833" s="280">
        <v>6</v>
      </c>
      <c r="B833" s="21" t="str">
        <f>VLOOKUP(Ruimtestaat[[#This Row],[Code]],Locaties[#All],2,FALSE)</f>
        <v>SGC Tubbergen</v>
      </c>
      <c r="C833" s="281" t="str">
        <f>VLOOKUP(Ruimtestaat[[#This Row],[Code]],Locaties[#All],4,FALSE)</f>
        <v>Huyerenseweg 1</v>
      </c>
      <c r="D833" s="281" t="str">
        <f>VLOOKUP(Ruimtestaat[[#This Row],[Code]],Locaties[#All],5,FALSE)</f>
        <v>7651 LR</v>
      </c>
      <c r="E833" s="281" t="str">
        <f>VLOOKUP(Ruimtestaat[[#This Row],[Code]],Locaties[#All],6,FALSE)</f>
        <v>Tubbergen</v>
      </c>
      <c r="F833" s="282"/>
      <c r="G833" s="201" t="s">
        <v>942</v>
      </c>
      <c r="H833" s="280" t="s">
        <v>973</v>
      </c>
      <c r="I833" s="244" t="s">
        <v>396</v>
      </c>
      <c r="J833" s="215">
        <v>16</v>
      </c>
      <c r="K833" s="243" t="s">
        <v>1040</v>
      </c>
      <c r="L833" s="284" t="s">
        <v>999</v>
      </c>
      <c r="M833" s="213">
        <v>39</v>
      </c>
      <c r="N833" s="213"/>
      <c r="O833" s="243" t="str">
        <f>VLOOKUP(Ruimtestaat[[#This Row],[Ruimte code]],Ruimtegroepen[#All],4,FALSE)</f>
        <v>L  (Lesruimte)</v>
      </c>
      <c r="P833" s="214"/>
      <c r="Q833" s="215">
        <v>40</v>
      </c>
      <c r="R833" s="215" t="s">
        <v>2</v>
      </c>
      <c r="S833" s="215">
        <f>IF(R833&gt;0,IF(RIGHT(Ruimtestaat[[#This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3" s="215">
        <f>IF(S833&gt;0,VLOOKUP($J833,Ruimtegroepen[],3,FALSE)*VLOOKUP($K833,Vloersoorten[],3,FALSE)*VLOOKUP($R833,Frequenties[],3,FALSE)*VLOOKUP($A833,Locaties[],3,FALSE),0)</f>
        <v>0</v>
      </c>
      <c r="U833" s="215">
        <f>Ruimtestaat[[#This Row],[Uitvoeringen werkdagen]]*Ruimtestaat[[#This Row],[Oppervlak (netto)]]</f>
        <v>7800</v>
      </c>
      <c r="V833" s="259">
        <f>IF(T833&gt;0,Ruimtestaat[[#This Row],[Prest. (m2 /jaar) werkdagen]]/Ruimtestaat[[#This Row],[Norm (m2/uur) werkdagen]],0)</f>
        <v>0</v>
      </c>
      <c r="W833" s="260">
        <f>Ruimtestaat[[#This Row],[uren / jaar werkdagen]]*Tariefsopbouw!$D$38</f>
        <v>0</v>
      </c>
      <c r="X833" s="33"/>
      <c r="Y833" s="33">
        <f>IF(Ruimtestaat[[#This Row],[Frequentie weekend]]&gt;0,VALUE(LEFT(X833,1))*Q833,0)</f>
        <v>0</v>
      </c>
      <c r="Z833" s="33">
        <f>IF($Y833&gt;0,VLOOKUP($J833,Ruimtegroepen[],3,FALSE)*VLOOKUP($K833,Vloersoorten[],3,FALSE)*VLOOKUP($X833,Frequenties[],3,FALSE)*VLOOKUP(#REF!,Locaties[],3,FALSE),0)</f>
        <v>0</v>
      </c>
      <c r="AA833" s="33"/>
      <c r="AB833" s="33"/>
      <c r="AC833" s="33">
        <f>Ruimtestaat[[#This Row],[uren / jaar weekend]]*Tariefsopbouw!$D$40</f>
        <v>0</v>
      </c>
      <c r="AD833" s="88">
        <f>Ruimtestaat[[#This Row],[Prest. (m2 /jaar) weekend]]+Ruimtestaat[[#This Row],[Prest. (m2 /jaar) werkdagen]]</f>
        <v>7800</v>
      </c>
      <c r="AE833" s="88">
        <f>Ruimtestaat[[#This Row],[uren / jaar weekend]]+Ruimtestaat[[#This Row],[uren / jaar werkdagen]]</f>
        <v>0</v>
      </c>
      <c r="AF833" s="89">
        <f>Ruimtestaat[[#This Row],[kosten / jaar weekend]]+Ruimtestaat[[#This Row],[kosten / jaar werkdagen]]</f>
        <v>0</v>
      </c>
    </row>
    <row r="834" spans="1:32" ht="15" customHeight="1">
      <c r="A834" s="280">
        <v>6</v>
      </c>
      <c r="B834" s="21" t="str">
        <f>VLOOKUP(Ruimtestaat[[#This Row],[Code]],Locaties[#All],2,FALSE)</f>
        <v>SGC Tubbergen</v>
      </c>
      <c r="C834" s="281" t="str">
        <f>VLOOKUP(Ruimtestaat[[#This Row],[Code]],Locaties[#All],4,FALSE)</f>
        <v>Huyerenseweg 1</v>
      </c>
      <c r="D834" s="281" t="str">
        <f>VLOOKUP(Ruimtestaat[[#This Row],[Code]],Locaties[#All],5,FALSE)</f>
        <v>7651 LR</v>
      </c>
      <c r="E834" s="281" t="str">
        <f>VLOOKUP(Ruimtestaat[[#This Row],[Code]],Locaties[#All],6,FALSE)</f>
        <v>Tubbergen</v>
      </c>
      <c r="F834" s="282"/>
      <c r="G834" s="201" t="s">
        <v>942</v>
      </c>
      <c r="H834" s="280" t="s">
        <v>974</v>
      </c>
      <c r="I834" s="244" t="s">
        <v>396</v>
      </c>
      <c r="J834" s="215">
        <v>16</v>
      </c>
      <c r="K834" s="243" t="s">
        <v>1040</v>
      </c>
      <c r="L834" s="284" t="s">
        <v>999</v>
      </c>
      <c r="M834" s="213">
        <v>39</v>
      </c>
      <c r="N834" s="213"/>
      <c r="O834" s="243" t="str">
        <f>VLOOKUP(Ruimtestaat[[#This Row],[Ruimte code]],Ruimtegroepen[#All],4,FALSE)</f>
        <v>L  (Lesruimte)</v>
      </c>
      <c r="P834" s="214"/>
      <c r="Q834" s="215">
        <v>40</v>
      </c>
      <c r="R834" s="215" t="s">
        <v>2</v>
      </c>
      <c r="S834" s="215">
        <f>IF(R834&gt;0,IF(RIGHT(Ruimtestaat[[#This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4" s="215">
        <f>IF(S834&gt;0,VLOOKUP($J834,Ruimtegroepen[],3,FALSE)*VLOOKUP($K834,Vloersoorten[],3,FALSE)*VLOOKUP($R834,Frequenties[],3,FALSE)*VLOOKUP($A834,Locaties[],3,FALSE),0)</f>
        <v>0</v>
      </c>
      <c r="U834" s="215">
        <f>Ruimtestaat[[#This Row],[Uitvoeringen werkdagen]]*Ruimtestaat[[#This Row],[Oppervlak (netto)]]</f>
        <v>7800</v>
      </c>
      <c r="V834" s="259">
        <f>IF(T834&gt;0,Ruimtestaat[[#This Row],[Prest. (m2 /jaar) werkdagen]]/Ruimtestaat[[#This Row],[Norm (m2/uur) werkdagen]],0)</f>
        <v>0</v>
      </c>
      <c r="W834" s="260">
        <f>Ruimtestaat[[#This Row],[uren / jaar werkdagen]]*Tariefsopbouw!$D$38</f>
        <v>0</v>
      </c>
      <c r="X834" s="33"/>
      <c r="Y834" s="33">
        <f>IF(Ruimtestaat[[#This Row],[Frequentie weekend]]&gt;0,VALUE(LEFT(X834,1))*Q834,0)</f>
        <v>0</v>
      </c>
      <c r="Z834" s="33">
        <f>IF($Y834&gt;0,VLOOKUP($J834,Ruimtegroepen[],3,FALSE)*VLOOKUP($K834,Vloersoorten[],3,FALSE)*VLOOKUP($X834,Frequenties[],3,FALSE)*VLOOKUP(#REF!,Locaties[],3,FALSE),0)</f>
        <v>0</v>
      </c>
      <c r="AA834" s="33"/>
      <c r="AB834" s="33"/>
      <c r="AC834" s="33">
        <f>Ruimtestaat[[#This Row],[uren / jaar weekend]]*Tariefsopbouw!$D$40</f>
        <v>0</v>
      </c>
      <c r="AD834" s="88">
        <f>Ruimtestaat[[#This Row],[Prest. (m2 /jaar) weekend]]+Ruimtestaat[[#This Row],[Prest. (m2 /jaar) werkdagen]]</f>
        <v>7800</v>
      </c>
      <c r="AE834" s="88">
        <f>Ruimtestaat[[#This Row],[uren / jaar weekend]]+Ruimtestaat[[#This Row],[uren / jaar werkdagen]]</f>
        <v>0</v>
      </c>
      <c r="AF834" s="89">
        <f>Ruimtestaat[[#This Row],[kosten / jaar weekend]]+Ruimtestaat[[#This Row],[kosten / jaar werkdagen]]</f>
        <v>0</v>
      </c>
    </row>
    <row r="835" spans="1:32" ht="15" customHeight="1">
      <c r="A835" s="280">
        <v>6</v>
      </c>
      <c r="B835" s="21" t="str">
        <f>VLOOKUP(Ruimtestaat[[#This Row],[Code]],Locaties[#All],2,FALSE)</f>
        <v>SGC Tubbergen</v>
      </c>
      <c r="C835" s="281" t="str">
        <f>VLOOKUP(Ruimtestaat[[#This Row],[Code]],Locaties[#All],4,FALSE)</f>
        <v>Huyerenseweg 1</v>
      </c>
      <c r="D835" s="281" t="str">
        <f>VLOOKUP(Ruimtestaat[[#This Row],[Code]],Locaties[#All],5,FALSE)</f>
        <v>7651 LR</v>
      </c>
      <c r="E835" s="281" t="str">
        <f>VLOOKUP(Ruimtestaat[[#This Row],[Code]],Locaties[#All],6,FALSE)</f>
        <v>Tubbergen</v>
      </c>
      <c r="F835" s="282"/>
      <c r="G835" s="201" t="s">
        <v>942</v>
      </c>
      <c r="H835" s="280" t="s">
        <v>975</v>
      </c>
      <c r="I835" s="244" t="s">
        <v>396</v>
      </c>
      <c r="J835" s="215">
        <v>16</v>
      </c>
      <c r="K835" s="243" t="s">
        <v>1040</v>
      </c>
      <c r="L835" s="284" t="s">
        <v>999</v>
      </c>
      <c r="M835" s="213">
        <v>41</v>
      </c>
      <c r="N835" s="213"/>
      <c r="O835" s="243" t="str">
        <f>VLOOKUP(Ruimtestaat[[#This Row],[Ruimte code]],Ruimtegroepen[#All],4,FALSE)</f>
        <v>L  (Lesruimte)</v>
      </c>
      <c r="P835" s="214"/>
      <c r="Q835" s="215">
        <v>40</v>
      </c>
      <c r="R835" s="215" t="s">
        <v>2</v>
      </c>
      <c r="S835" s="215">
        <f>IF(R835&gt;0,IF(RIGHT(Ruimtestaat[[#This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5" s="215">
        <f>IF(S835&gt;0,VLOOKUP($J835,Ruimtegroepen[],3,FALSE)*VLOOKUP($K835,Vloersoorten[],3,FALSE)*VLOOKUP($R835,Frequenties[],3,FALSE)*VLOOKUP($A835,Locaties[],3,FALSE),0)</f>
        <v>0</v>
      </c>
      <c r="U835" s="215">
        <f>Ruimtestaat[[#This Row],[Uitvoeringen werkdagen]]*Ruimtestaat[[#This Row],[Oppervlak (netto)]]</f>
        <v>8200</v>
      </c>
      <c r="V835" s="259">
        <f>IF(T835&gt;0,Ruimtestaat[[#This Row],[Prest. (m2 /jaar) werkdagen]]/Ruimtestaat[[#This Row],[Norm (m2/uur) werkdagen]],0)</f>
        <v>0</v>
      </c>
      <c r="W835" s="260">
        <f>Ruimtestaat[[#This Row],[uren / jaar werkdagen]]*Tariefsopbouw!$D$38</f>
        <v>0</v>
      </c>
      <c r="X835" s="33"/>
      <c r="Y835" s="33">
        <f>IF(Ruimtestaat[[#This Row],[Frequentie weekend]]&gt;0,VALUE(LEFT(X835,1))*Q835,0)</f>
        <v>0</v>
      </c>
      <c r="Z835" s="33">
        <f>IF($Y835&gt;0,VLOOKUP($J835,Ruimtegroepen[],3,FALSE)*VLOOKUP($K835,Vloersoorten[],3,FALSE)*VLOOKUP($X835,Frequenties[],3,FALSE)*VLOOKUP(#REF!,Locaties[],3,FALSE),0)</f>
        <v>0</v>
      </c>
      <c r="AA835" s="33"/>
      <c r="AB835" s="33"/>
      <c r="AC835" s="33">
        <f>Ruimtestaat[[#This Row],[uren / jaar weekend]]*Tariefsopbouw!$D$40</f>
        <v>0</v>
      </c>
      <c r="AD835" s="88">
        <f>Ruimtestaat[[#This Row],[Prest. (m2 /jaar) weekend]]+Ruimtestaat[[#This Row],[Prest. (m2 /jaar) werkdagen]]</f>
        <v>8200</v>
      </c>
      <c r="AE835" s="88">
        <f>Ruimtestaat[[#This Row],[uren / jaar weekend]]+Ruimtestaat[[#This Row],[uren / jaar werkdagen]]</f>
        <v>0</v>
      </c>
      <c r="AF835" s="89">
        <f>Ruimtestaat[[#This Row],[kosten / jaar weekend]]+Ruimtestaat[[#This Row],[kosten / jaar werkdagen]]</f>
        <v>0</v>
      </c>
    </row>
    <row r="836" spans="1:32" ht="15" customHeight="1">
      <c r="A836" s="280">
        <v>6</v>
      </c>
      <c r="B836" s="21" t="str">
        <f>VLOOKUP(Ruimtestaat[[#This Row],[Code]],Locaties[#All],2,FALSE)</f>
        <v>SGC Tubbergen</v>
      </c>
      <c r="C836" s="281" t="str">
        <f>VLOOKUP(Ruimtestaat[[#This Row],[Code]],Locaties[#All],4,FALSE)</f>
        <v>Huyerenseweg 1</v>
      </c>
      <c r="D836" s="281" t="str">
        <f>VLOOKUP(Ruimtestaat[[#This Row],[Code]],Locaties[#All],5,FALSE)</f>
        <v>7651 LR</v>
      </c>
      <c r="E836" s="281" t="str">
        <f>VLOOKUP(Ruimtestaat[[#This Row],[Code]],Locaties[#All],6,FALSE)</f>
        <v>Tubbergen</v>
      </c>
      <c r="F836" s="282"/>
      <c r="G836" s="201" t="s">
        <v>942</v>
      </c>
      <c r="H836" s="280" t="s">
        <v>976</v>
      </c>
      <c r="I836" s="244" t="s">
        <v>396</v>
      </c>
      <c r="J836" s="215">
        <v>16</v>
      </c>
      <c r="K836" s="243" t="s">
        <v>1041</v>
      </c>
      <c r="L836" s="284" t="s">
        <v>998</v>
      </c>
      <c r="M836" s="213">
        <v>83</v>
      </c>
      <c r="N836" s="202"/>
      <c r="O836" s="243" t="str">
        <f>VLOOKUP(Ruimtestaat[[#This Row],[Ruimte code]],Ruimtegroepen[#All],4,FALSE)</f>
        <v>L  (Lesruimte)</v>
      </c>
      <c r="P836" s="214"/>
      <c r="Q836" s="215">
        <v>40</v>
      </c>
      <c r="R836" s="215" t="s">
        <v>2</v>
      </c>
      <c r="S836" s="215">
        <f>IF(R836&gt;0,IF(RIGHT(Ruimtestaat[[#This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6" s="215">
        <f>IF(S836&gt;0,VLOOKUP($J836,Ruimtegroepen[],3,FALSE)*VLOOKUP($K836,Vloersoorten[],3,FALSE)*VLOOKUP($R836,Frequenties[],3,FALSE)*VLOOKUP($A836,Locaties[],3,FALSE),0)</f>
        <v>0</v>
      </c>
      <c r="U836" s="215">
        <f>Ruimtestaat[[#This Row],[Uitvoeringen werkdagen]]*Ruimtestaat[[#This Row],[Oppervlak (netto)]]</f>
        <v>16600</v>
      </c>
      <c r="V836" s="259">
        <f>IF(T836&gt;0,Ruimtestaat[[#This Row],[Prest. (m2 /jaar) werkdagen]]/Ruimtestaat[[#This Row],[Norm (m2/uur) werkdagen]],0)</f>
        <v>0</v>
      </c>
      <c r="W836" s="260">
        <f>Ruimtestaat[[#This Row],[uren / jaar werkdagen]]*Tariefsopbouw!$D$38</f>
        <v>0</v>
      </c>
      <c r="X836" s="33"/>
      <c r="Y836" s="33">
        <f>IF(Ruimtestaat[[#This Row],[Frequentie weekend]]&gt;0,VALUE(LEFT(X836,1))*Q836,0)</f>
        <v>0</v>
      </c>
      <c r="Z836" s="33">
        <f>IF($Y836&gt;0,VLOOKUP($J836,Ruimtegroepen[],3,FALSE)*VLOOKUP($K836,Vloersoorten[],3,FALSE)*VLOOKUP($X836,Frequenties[],3,FALSE)*VLOOKUP(#REF!,Locaties[],3,FALSE),0)</f>
        <v>0</v>
      </c>
      <c r="AA836" s="33"/>
      <c r="AB836" s="33"/>
      <c r="AC836" s="33">
        <f>Ruimtestaat[[#This Row],[uren / jaar weekend]]*Tariefsopbouw!$D$40</f>
        <v>0</v>
      </c>
      <c r="AD836" s="88">
        <f>Ruimtestaat[[#This Row],[Prest. (m2 /jaar) weekend]]+Ruimtestaat[[#This Row],[Prest. (m2 /jaar) werkdagen]]</f>
        <v>16600</v>
      </c>
      <c r="AE836" s="88">
        <f>Ruimtestaat[[#This Row],[uren / jaar weekend]]+Ruimtestaat[[#This Row],[uren / jaar werkdagen]]</f>
        <v>0</v>
      </c>
      <c r="AF836" s="89">
        <f>Ruimtestaat[[#This Row],[kosten / jaar weekend]]+Ruimtestaat[[#This Row],[kosten / jaar werkdagen]]</f>
        <v>0</v>
      </c>
    </row>
    <row r="837" spans="1:32" ht="15" customHeight="1">
      <c r="A837" s="280">
        <v>6</v>
      </c>
      <c r="B837" s="21" t="str">
        <f>VLOOKUP(Ruimtestaat[[#This Row],[Code]],Locaties[#All],2,FALSE)</f>
        <v>SGC Tubbergen</v>
      </c>
      <c r="C837" s="281" t="str">
        <f>VLOOKUP(Ruimtestaat[[#This Row],[Code]],Locaties[#All],4,FALSE)</f>
        <v>Huyerenseweg 1</v>
      </c>
      <c r="D837" s="281" t="str">
        <f>VLOOKUP(Ruimtestaat[[#This Row],[Code]],Locaties[#All],5,FALSE)</f>
        <v>7651 LR</v>
      </c>
      <c r="E837" s="281" t="str">
        <f>VLOOKUP(Ruimtestaat[[#This Row],[Code]],Locaties[#All],6,FALSE)</f>
        <v>Tubbergen</v>
      </c>
      <c r="F837" s="282"/>
      <c r="G837" s="201" t="s">
        <v>942</v>
      </c>
      <c r="H837" s="280" t="s">
        <v>976</v>
      </c>
      <c r="I837" s="244" t="s">
        <v>396</v>
      </c>
      <c r="J837" s="215">
        <v>16</v>
      </c>
      <c r="K837" s="243" t="s">
        <v>1043</v>
      </c>
      <c r="L837" s="284" t="s">
        <v>997</v>
      </c>
      <c r="M837" s="213">
        <v>142.5</v>
      </c>
      <c r="N837" s="202"/>
      <c r="O837" s="243" t="str">
        <f>VLOOKUP(Ruimtestaat[[#This Row],[Ruimte code]],Ruimtegroepen[#All],4,FALSE)</f>
        <v>L  (Lesruimte)</v>
      </c>
      <c r="P837" s="214"/>
      <c r="Q837" s="215">
        <v>40</v>
      </c>
      <c r="R837" s="215" t="s">
        <v>2</v>
      </c>
      <c r="S837" s="215">
        <f>IF(R837&gt;0,IF(RIGHT(Ruimtestaat[[#This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7" s="215">
        <f>IF(S837&gt;0,VLOOKUP($J837,Ruimtegroepen[],3,FALSE)*VLOOKUP($K837,Vloersoorten[],3,FALSE)*VLOOKUP($R837,Frequenties[],3,FALSE)*VLOOKUP($A837,Locaties[],3,FALSE),0)</f>
        <v>0</v>
      </c>
      <c r="U837" s="215">
        <f>Ruimtestaat[[#This Row],[Uitvoeringen werkdagen]]*Ruimtestaat[[#This Row],[Oppervlak (netto)]]</f>
        <v>28500</v>
      </c>
      <c r="V837" s="259">
        <f>IF(T837&gt;0,Ruimtestaat[[#This Row],[Prest. (m2 /jaar) werkdagen]]/Ruimtestaat[[#This Row],[Norm (m2/uur) werkdagen]],0)</f>
        <v>0</v>
      </c>
      <c r="W837" s="260">
        <f>Ruimtestaat[[#This Row],[uren / jaar werkdagen]]*Tariefsopbouw!$D$38</f>
        <v>0</v>
      </c>
      <c r="X837" s="33"/>
      <c r="Y837" s="33">
        <f>IF(Ruimtestaat[[#This Row],[Frequentie weekend]]&gt;0,VALUE(LEFT(X837,1))*Q837,0)</f>
        <v>0</v>
      </c>
      <c r="Z837" s="33">
        <f>IF($Y837&gt;0,VLOOKUP($J837,Ruimtegroepen[],3,FALSE)*VLOOKUP($K837,Vloersoorten[],3,FALSE)*VLOOKUP($X837,Frequenties[],3,FALSE)*VLOOKUP(#REF!,Locaties[],3,FALSE),0)</f>
        <v>0</v>
      </c>
      <c r="AA837" s="33"/>
      <c r="AB837" s="33"/>
      <c r="AC837" s="33">
        <f>Ruimtestaat[[#This Row],[uren / jaar weekend]]*Tariefsopbouw!$D$40</f>
        <v>0</v>
      </c>
      <c r="AD837" s="88">
        <f>Ruimtestaat[[#This Row],[Prest. (m2 /jaar) weekend]]+Ruimtestaat[[#This Row],[Prest. (m2 /jaar) werkdagen]]</f>
        <v>28500</v>
      </c>
      <c r="AE837" s="88">
        <f>Ruimtestaat[[#This Row],[uren / jaar weekend]]+Ruimtestaat[[#This Row],[uren / jaar werkdagen]]</f>
        <v>0</v>
      </c>
      <c r="AF837" s="89">
        <f>Ruimtestaat[[#This Row],[kosten / jaar weekend]]+Ruimtestaat[[#This Row],[kosten / jaar werkdagen]]</f>
        <v>0</v>
      </c>
    </row>
    <row r="838" spans="1:32" ht="15" customHeight="1">
      <c r="A838" s="280">
        <v>6</v>
      </c>
      <c r="B838" s="21" t="str">
        <f>VLOOKUP(Ruimtestaat[[#This Row],[Code]],Locaties[#All],2,FALSE)</f>
        <v>SGC Tubbergen</v>
      </c>
      <c r="C838" s="281" t="str">
        <f>VLOOKUP(Ruimtestaat[[#This Row],[Code]],Locaties[#All],4,FALSE)</f>
        <v>Huyerenseweg 1</v>
      </c>
      <c r="D838" s="281" t="str">
        <f>VLOOKUP(Ruimtestaat[[#This Row],[Code]],Locaties[#All],5,FALSE)</f>
        <v>7651 LR</v>
      </c>
      <c r="E838" s="281" t="str">
        <f>VLOOKUP(Ruimtestaat[[#This Row],[Code]],Locaties[#All],6,FALSE)</f>
        <v>Tubbergen</v>
      </c>
      <c r="F838" s="282"/>
      <c r="G838" s="201" t="s">
        <v>942</v>
      </c>
      <c r="H838" s="280" t="s">
        <v>976</v>
      </c>
      <c r="I838" s="244" t="s">
        <v>396</v>
      </c>
      <c r="J838" s="215">
        <v>16</v>
      </c>
      <c r="K838" s="243" t="s">
        <v>1041</v>
      </c>
      <c r="L838" s="284" t="s">
        <v>998</v>
      </c>
      <c r="M838" s="213">
        <v>47.9</v>
      </c>
      <c r="N838" s="202"/>
      <c r="O838" s="243" t="str">
        <f>VLOOKUP(Ruimtestaat[[#This Row],[Ruimte code]],Ruimtegroepen[#All],4,FALSE)</f>
        <v>L  (Lesruimte)</v>
      </c>
      <c r="P838" s="214"/>
      <c r="Q838" s="215">
        <v>40</v>
      </c>
      <c r="R838" s="215" t="s">
        <v>2</v>
      </c>
      <c r="S838" s="215">
        <f>IF(R838&gt;0,IF(RIGHT(Ruimtestaat[[#This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8" s="215">
        <f>IF(S838&gt;0,VLOOKUP($J838,Ruimtegroepen[],3,FALSE)*VLOOKUP($K838,Vloersoorten[],3,FALSE)*VLOOKUP($R838,Frequenties[],3,FALSE)*VLOOKUP($A838,Locaties[],3,FALSE),0)</f>
        <v>0</v>
      </c>
      <c r="U838" s="215">
        <f>Ruimtestaat[[#This Row],[Uitvoeringen werkdagen]]*Ruimtestaat[[#This Row],[Oppervlak (netto)]]</f>
        <v>9580</v>
      </c>
      <c r="V838" s="259">
        <f>IF(T838&gt;0,Ruimtestaat[[#This Row],[Prest. (m2 /jaar) werkdagen]]/Ruimtestaat[[#This Row],[Norm (m2/uur) werkdagen]],0)</f>
        <v>0</v>
      </c>
      <c r="W838" s="260">
        <f>Ruimtestaat[[#This Row],[uren / jaar werkdagen]]*Tariefsopbouw!$D$38</f>
        <v>0</v>
      </c>
      <c r="X838" s="33"/>
      <c r="Y838" s="33">
        <f>IF(Ruimtestaat[[#This Row],[Frequentie weekend]]&gt;0,VALUE(LEFT(X838,1))*Q838,0)</f>
        <v>0</v>
      </c>
      <c r="Z838" s="33">
        <f>IF($Y838&gt;0,VLOOKUP($J838,Ruimtegroepen[],3,FALSE)*VLOOKUP($K838,Vloersoorten[],3,FALSE)*VLOOKUP($X838,Frequenties[],3,FALSE)*VLOOKUP(#REF!,Locaties[],3,FALSE),0)</f>
        <v>0</v>
      </c>
      <c r="AA838" s="33"/>
      <c r="AB838" s="33"/>
      <c r="AC838" s="33">
        <f>Ruimtestaat[[#This Row],[uren / jaar weekend]]*Tariefsopbouw!$D$40</f>
        <v>0</v>
      </c>
      <c r="AD838" s="88">
        <f>Ruimtestaat[[#This Row],[Prest. (m2 /jaar) weekend]]+Ruimtestaat[[#This Row],[Prest. (m2 /jaar) werkdagen]]</f>
        <v>9580</v>
      </c>
      <c r="AE838" s="88">
        <f>Ruimtestaat[[#This Row],[uren / jaar weekend]]+Ruimtestaat[[#This Row],[uren / jaar werkdagen]]</f>
        <v>0</v>
      </c>
      <c r="AF838" s="89">
        <f>Ruimtestaat[[#This Row],[kosten / jaar weekend]]+Ruimtestaat[[#This Row],[kosten / jaar werkdagen]]</f>
        <v>0</v>
      </c>
    </row>
    <row r="839" spans="1:32" ht="15" customHeight="1">
      <c r="A839" s="280">
        <v>6</v>
      </c>
      <c r="B839" s="21" t="str">
        <f>VLOOKUP(Ruimtestaat[[#This Row],[Code]],Locaties[#All],2,FALSE)</f>
        <v>SGC Tubbergen</v>
      </c>
      <c r="C839" s="281" t="str">
        <f>VLOOKUP(Ruimtestaat[[#This Row],[Code]],Locaties[#All],4,FALSE)</f>
        <v>Huyerenseweg 1</v>
      </c>
      <c r="D839" s="281" t="str">
        <f>VLOOKUP(Ruimtestaat[[#This Row],[Code]],Locaties[#All],5,FALSE)</f>
        <v>7651 LR</v>
      </c>
      <c r="E839" s="281" t="str">
        <f>VLOOKUP(Ruimtestaat[[#This Row],[Code]],Locaties[#All],6,FALSE)</f>
        <v>Tubbergen</v>
      </c>
      <c r="F839" s="282"/>
      <c r="G839" s="201" t="s">
        <v>942</v>
      </c>
      <c r="H839" s="280" t="s">
        <v>976</v>
      </c>
      <c r="I839" s="244" t="s">
        <v>396</v>
      </c>
      <c r="J839" s="215">
        <v>16</v>
      </c>
      <c r="K839" s="243" t="s">
        <v>1041</v>
      </c>
      <c r="L839" s="284" t="s">
        <v>998</v>
      </c>
      <c r="M839" s="213">
        <v>7</v>
      </c>
      <c r="N839" s="202"/>
      <c r="O839" s="243" t="str">
        <f>VLOOKUP(Ruimtestaat[[#This Row],[Ruimte code]],Ruimtegroepen[#All],4,FALSE)</f>
        <v>L  (Lesruimte)</v>
      </c>
      <c r="P839" s="214"/>
      <c r="Q839" s="215">
        <v>40</v>
      </c>
      <c r="R839" s="215" t="s">
        <v>2</v>
      </c>
      <c r="S839" s="215">
        <f>IF(R839&gt;0,IF(RIGHT(Ruimtestaat[[#This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39" s="215">
        <f>IF(S839&gt;0,VLOOKUP($J839,Ruimtegroepen[],3,FALSE)*VLOOKUP($K839,Vloersoorten[],3,FALSE)*VLOOKUP($R839,Frequenties[],3,FALSE)*VLOOKUP($A839,Locaties[],3,FALSE),0)</f>
        <v>0</v>
      </c>
      <c r="U839" s="215">
        <f>Ruimtestaat[[#This Row],[Uitvoeringen werkdagen]]*Ruimtestaat[[#This Row],[Oppervlak (netto)]]</f>
        <v>1400</v>
      </c>
      <c r="V839" s="259">
        <f>IF(T839&gt;0,Ruimtestaat[[#This Row],[Prest. (m2 /jaar) werkdagen]]/Ruimtestaat[[#This Row],[Norm (m2/uur) werkdagen]],0)</f>
        <v>0</v>
      </c>
      <c r="W839" s="260">
        <f>Ruimtestaat[[#This Row],[uren / jaar werkdagen]]*Tariefsopbouw!$D$38</f>
        <v>0</v>
      </c>
      <c r="X839" s="33"/>
      <c r="Y839" s="33">
        <f>IF(Ruimtestaat[[#This Row],[Frequentie weekend]]&gt;0,VALUE(LEFT(X839,1))*Q839,0)</f>
        <v>0</v>
      </c>
      <c r="Z839" s="33">
        <f>IF($Y839&gt;0,VLOOKUP($J839,Ruimtegroepen[],3,FALSE)*VLOOKUP($K839,Vloersoorten[],3,FALSE)*VLOOKUP($X839,Frequenties[],3,FALSE)*VLOOKUP(#REF!,Locaties[],3,FALSE),0)</f>
        <v>0</v>
      </c>
      <c r="AA839" s="33"/>
      <c r="AB839" s="33"/>
      <c r="AC839" s="33">
        <f>Ruimtestaat[[#This Row],[uren / jaar weekend]]*Tariefsopbouw!$D$40</f>
        <v>0</v>
      </c>
      <c r="AD839" s="88">
        <f>Ruimtestaat[[#This Row],[Prest. (m2 /jaar) weekend]]+Ruimtestaat[[#This Row],[Prest. (m2 /jaar) werkdagen]]</f>
        <v>1400</v>
      </c>
      <c r="AE839" s="88">
        <f>Ruimtestaat[[#This Row],[uren / jaar weekend]]+Ruimtestaat[[#This Row],[uren / jaar werkdagen]]</f>
        <v>0</v>
      </c>
      <c r="AF839" s="89">
        <f>Ruimtestaat[[#This Row],[kosten / jaar weekend]]+Ruimtestaat[[#This Row],[kosten / jaar werkdagen]]</f>
        <v>0</v>
      </c>
    </row>
    <row r="840" spans="1:32" ht="15" customHeight="1">
      <c r="A840" s="280">
        <v>6</v>
      </c>
      <c r="B840" s="21" t="str">
        <f>VLOOKUP(Ruimtestaat[[#This Row],[Code]],Locaties[#All],2,FALSE)</f>
        <v>SGC Tubbergen</v>
      </c>
      <c r="C840" s="281" t="str">
        <f>VLOOKUP(Ruimtestaat[[#This Row],[Code]],Locaties[#All],4,FALSE)</f>
        <v>Huyerenseweg 1</v>
      </c>
      <c r="D840" s="281" t="str">
        <f>VLOOKUP(Ruimtestaat[[#This Row],[Code]],Locaties[#All],5,FALSE)</f>
        <v>7651 LR</v>
      </c>
      <c r="E840" s="281" t="str">
        <f>VLOOKUP(Ruimtestaat[[#This Row],[Code]],Locaties[#All],6,FALSE)</f>
        <v>Tubbergen</v>
      </c>
      <c r="F840" s="282"/>
      <c r="G840" s="201" t="s">
        <v>942</v>
      </c>
      <c r="H840" s="280" t="s">
        <v>976</v>
      </c>
      <c r="I840" s="244" t="s">
        <v>396</v>
      </c>
      <c r="J840" s="215">
        <v>16</v>
      </c>
      <c r="K840" s="243" t="s">
        <v>1041</v>
      </c>
      <c r="L840" s="284" t="s">
        <v>998</v>
      </c>
      <c r="M840" s="213">
        <v>13</v>
      </c>
      <c r="N840" s="202"/>
      <c r="O840" s="243" t="str">
        <f>VLOOKUP(Ruimtestaat[[#This Row],[Ruimte code]],Ruimtegroepen[#All],4,FALSE)</f>
        <v>L  (Lesruimte)</v>
      </c>
      <c r="P840" s="214"/>
      <c r="Q840" s="215">
        <v>40</v>
      </c>
      <c r="R840" s="215" t="s">
        <v>2</v>
      </c>
      <c r="S840" s="215">
        <f>IF(R840&gt;0,IF(RIGHT(Ruimtestaat[[#This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0" s="215">
        <f>IF(S840&gt;0,VLOOKUP($J840,Ruimtegroepen[],3,FALSE)*VLOOKUP($K840,Vloersoorten[],3,FALSE)*VLOOKUP($R840,Frequenties[],3,FALSE)*VLOOKUP($A840,Locaties[],3,FALSE),0)</f>
        <v>0</v>
      </c>
      <c r="U840" s="215">
        <f>Ruimtestaat[[#This Row],[Uitvoeringen werkdagen]]*Ruimtestaat[[#This Row],[Oppervlak (netto)]]</f>
        <v>2600</v>
      </c>
      <c r="V840" s="259">
        <f>IF(T840&gt;0,Ruimtestaat[[#This Row],[Prest. (m2 /jaar) werkdagen]]/Ruimtestaat[[#This Row],[Norm (m2/uur) werkdagen]],0)</f>
        <v>0</v>
      </c>
      <c r="W840" s="260">
        <f>Ruimtestaat[[#This Row],[uren / jaar werkdagen]]*Tariefsopbouw!$D$38</f>
        <v>0</v>
      </c>
      <c r="X840" s="33"/>
      <c r="Y840" s="33">
        <f>IF(Ruimtestaat[[#This Row],[Frequentie weekend]]&gt;0,VALUE(LEFT(X840,1))*Q840,0)</f>
        <v>0</v>
      </c>
      <c r="Z840" s="33">
        <f>IF($Y840&gt;0,VLOOKUP($J840,Ruimtegroepen[],3,FALSE)*VLOOKUP($K840,Vloersoorten[],3,FALSE)*VLOOKUP($X840,Frequenties[],3,FALSE)*VLOOKUP(#REF!,Locaties[],3,FALSE),0)</f>
        <v>0</v>
      </c>
      <c r="AA840" s="33"/>
      <c r="AB840" s="33"/>
      <c r="AC840" s="33">
        <f>Ruimtestaat[[#This Row],[uren / jaar weekend]]*Tariefsopbouw!$D$40</f>
        <v>0</v>
      </c>
      <c r="AD840" s="88">
        <f>Ruimtestaat[[#This Row],[Prest. (m2 /jaar) weekend]]+Ruimtestaat[[#This Row],[Prest. (m2 /jaar) werkdagen]]</f>
        <v>2600</v>
      </c>
      <c r="AE840" s="88">
        <f>Ruimtestaat[[#This Row],[uren / jaar weekend]]+Ruimtestaat[[#This Row],[uren / jaar werkdagen]]</f>
        <v>0</v>
      </c>
      <c r="AF840" s="89">
        <f>Ruimtestaat[[#This Row],[kosten / jaar weekend]]+Ruimtestaat[[#This Row],[kosten / jaar werkdagen]]</f>
        <v>0</v>
      </c>
    </row>
    <row r="841" spans="1:32" ht="15" customHeight="1">
      <c r="A841" s="280">
        <v>6</v>
      </c>
      <c r="B841" s="21" t="str">
        <f>VLOOKUP(Ruimtestaat[[#This Row],[Code]],Locaties[#All],2,FALSE)</f>
        <v>SGC Tubbergen</v>
      </c>
      <c r="C841" s="281" t="str">
        <f>VLOOKUP(Ruimtestaat[[#This Row],[Code]],Locaties[#All],4,FALSE)</f>
        <v>Huyerenseweg 1</v>
      </c>
      <c r="D841" s="281" t="str">
        <f>VLOOKUP(Ruimtestaat[[#This Row],[Code]],Locaties[#All],5,FALSE)</f>
        <v>7651 LR</v>
      </c>
      <c r="E841" s="281" t="str">
        <f>VLOOKUP(Ruimtestaat[[#This Row],[Code]],Locaties[#All],6,FALSE)</f>
        <v>Tubbergen</v>
      </c>
      <c r="F841" s="282"/>
      <c r="G841" s="201" t="s">
        <v>942</v>
      </c>
      <c r="H841" s="280" t="s">
        <v>977</v>
      </c>
      <c r="I841" s="244" t="s">
        <v>1039</v>
      </c>
      <c r="J841" s="215">
        <v>8</v>
      </c>
      <c r="K841" s="243" t="s">
        <v>1040</v>
      </c>
      <c r="L841" s="284" t="s">
        <v>999</v>
      </c>
      <c r="M841" s="213">
        <v>143.69999999999999</v>
      </c>
      <c r="N841" s="202"/>
      <c r="O841" s="243" t="str">
        <f>VLOOKUP(Ruimtestaat[[#This Row],[Ruimte code]],Ruimtegroepen[#All],4,FALSE)</f>
        <v>L  (Lesruimte)</v>
      </c>
      <c r="P841" s="214"/>
      <c r="Q841" s="215">
        <v>40</v>
      </c>
      <c r="R841" s="215" t="s">
        <v>2</v>
      </c>
      <c r="S841" s="215">
        <f>IF(R841&gt;0,IF(RIGHT(Ruimtestaat[[#This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1" s="215">
        <f>IF(S841&gt;0,VLOOKUP($J841,Ruimtegroepen[],3,FALSE)*VLOOKUP($K841,Vloersoorten[],3,FALSE)*VLOOKUP($R841,Frequenties[],3,FALSE)*VLOOKUP($A841,Locaties[],3,FALSE),0)</f>
        <v>0</v>
      </c>
      <c r="U841" s="215">
        <f>Ruimtestaat[[#This Row],[Uitvoeringen werkdagen]]*Ruimtestaat[[#This Row],[Oppervlak (netto)]]</f>
        <v>28739.999999999996</v>
      </c>
      <c r="V841" s="259">
        <f>IF(T841&gt;0,Ruimtestaat[[#This Row],[Prest. (m2 /jaar) werkdagen]]/Ruimtestaat[[#This Row],[Norm (m2/uur) werkdagen]],0)</f>
        <v>0</v>
      </c>
      <c r="W841" s="260">
        <f>Ruimtestaat[[#This Row],[uren / jaar werkdagen]]*Tariefsopbouw!$D$38</f>
        <v>0</v>
      </c>
      <c r="X841" s="33"/>
      <c r="Y841" s="33">
        <f>IF(Ruimtestaat[[#This Row],[Frequentie weekend]]&gt;0,VALUE(LEFT(X841,1))*Q841,0)</f>
        <v>0</v>
      </c>
      <c r="Z841" s="33">
        <f>IF($Y841&gt;0,VLOOKUP($J841,Ruimtegroepen[],3,FALSE)*VLOOKUP($K841,Vloersoorten[],3,FALSE)*VLOOKUP($X841,Frequenties[],3,FALSE)*VLOOKUP(#REF!,Locaties[],3,FALSE),0)</f>
        <v>0</v>
      </c>
      <c r="AA841" s="33"/>
      <c r="AB841" s="33"/>
      <c r="AC841" s="33">
        <f>Ruimtestaat[[#This Row],[uren / jaar weekend]]*Tariefsopbouw!$D$40</f>
        <v>0</v>
      </c>
      <c r="AD841" s="88">
        <f>Ruimtestaat[[#This Row],[Prest. (m2 /jaar) weekend]]+Ruimtestaat[[#This Row],[Prest. (m2 /jaar) werkdagen]]</f>
        <v>28739.999999999996</v>
      </c>
      <c r="AE841" s="88">
        <f>Ruimtestaat[[#This Row],[uren / jaar weekend]]+Ruimtestaat[[#This Row],[uren / jaar werkdagen]]</f>
        <v>0</v>
      </c>
      <c r="AF841" s="89">
        <f>Ruimtestaat[[#This Row],[kosten / jaar weekend]]+Ruimtestaat[[#This Row],[kosten / jaar werkdagen]]</f>
        <v>0</v>
      </c>
    </row>
    <row r="842" spans="1:32" ht="15" customHeight="1">
      <c r="A842" s="280">
        <v>6</v>
      </c>
      <c r="B842" s="21" t="str">
        <f>VLOOKUP(Ruimtestaat[[#This Row],[Code]],Locaties[#All],2,FALSE)</f>
        <v>SGC Tubbergen</v>
      </c>
      <c r="C842" s="281" t="str">
        <f>VLOOKUP(Ruimtestaat[[#This Row],[Code]],Locaties[#All],4,FALSE)</f>
        <v>Huyerenseweg 1</v>
      </c>
      <c r="D842" s="281" t="str">
        <f>VLOOKUP(Ruimtestaat[[#This Row],[Code]],Locaties[#All],5,FALSE)</f>
        <v>7651 LR</v>
      </c>
      <c r="E842" s="281" t="str">
        <f>VLOOKUP(Ruimtestaat[[#This Row],[Code]],Locaties[#All],6,FALSE)</f>
        <v>Tubbergen</v>
      </c>
      <c r="F842" s="282"/>
      <c r="G842" s="201" t="s">
        <v>1002</v>
      </c>
      <c r="H842" s="280" t="s">
        <v>978</v>
      </c>
      <c r="I842" s="244" t="s">
        <v>396</v>
      </c>
      <c r="J842" s="215">
        <v>16</v>
      </c>
      <c r="K842" s="243" t="s">
        <v>1040</v>
      </c>
      <c r="L842" s="284" t="s">
        <v>999</v>
      </c>
      <c r="M842" s="213">
        <v>64</v>
      </c>
      <c r="N842" s="202"/>
      <c r="O842" s="243" t="str">
        <f>VLOOKUP(Ruimtestaat[[#This Row],[Ruimte code]],Ruimtegroepen[#All],4,FALSE)</f>
        <v>L  (Lesruimte)</v>
      </c>
      <c r="P842" s="214"/>
      <c r="Q842" s="215">
        <v>40</v>
      </c>
      <c r="R842" s="215" t="s">
        <v>2</v>
      </c>
      <c r="S842" s="215">
        <f>IF(R842&gt;0,IF(RIGHT(Ruimtestaat[[#This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2" s="215">
        <f>IF(S842&gt;0,VLOOKUP($J842,Ruimtegroepen[],3,FALSE)*VLOOKUP($K842,Vloersoorten[],3,FALSE)*VLOOKUP($R842,Frequenties[],3,FALSE)*VLOOKUP($A842,Locaties[],3,FALSE),0)</f>
        <v>0</v>
      </c>
      <c r="U842" s="215">
        <f>Ruimtestaat[[#This Row],[Uitvoeringen werkdagen]]*Ruimtestaat[[#This Row],[Oppervlak (netto)]]</f>
        <v>12800</v>
      </c>
      <c r="V842" s="259">
        <f>IF(T842&gt;0,Ruimtestaat[[#This Row],[Prest. (m2 /jaar) werkdagen]]/Ruimtestaat[[#This Row],[Norm (m2/uur) werkdagen]],0)</f>
        <v>0</v>
      </c>
      <c r="W842" s="260">
        <f>Ruimtestaat[[#This Row],[uren / jaar werkdagen]]*Tariefsopbouw!$D$38</f>
        <v>0</v>
      </c>
      <c r="X842" s="33"/>
      <c r="Y842" s="33">
        <f>IF(Ruimtestaat[[#This Row],[Frequentie weekend]]&gt;0,VALUE(LEFT(X842,1))*Q842,0)</f>
        <v>0</v>
      </c>
      <c r="Z842" s="33">
        <f>IF($Y842&gt;0,VLOOKUP($J842,Ruimtegroepen[],3,FALSE)*VLOOKUP($K842,Vloersoorten[],3,FALSE)*VLOOKUP($X842,Frequenties[],3,FALSE)*VLOOKUP(#REF!,Locaties[],3,FALSE),0)</f>
        <v>0</v>
      </c>
      <c r="AA842" s="33"/>
      <c r="AB842" s="33"/>
      <c r="AC842" s="33">
        <f>Ruimtestaat[[#This Row],[uren / jaar weekend]]*Tariefsopbouw!$D$40</f>
        <v>0</v>
      </c>
      <c r="AD842" s="88">
        <f>Ruimtestaat[[#This Row],[Prest. (m2 /jaar) weekend]]+Ruimtestaat[[#This Row],[Prest. (m2 /jaar) werkdagen]]</f>
        <v>12800</v>
      </c>
      <c r="AE842" s="88">
        <f>Ruimtestaat[[#This Row],[uren / jaar weekend]]+Ruimtestaat[[#This Row],[uren / jaar werkdagen]]</f>
        <v>0</v>
      </c>
      <c r="AF842" s="89">
        <f>Ruimtestaat[[#This Row],[kosten / jaar weekend]]+Ruimtestaat[[#This Row],[kosten / jaar werkdagen]]</f>
        <v>0</v>
      </c>
    </row>
    <row r="843" spans="1:32" ht="15" customHeight="1">
      <c r="A843" s="280">
        <v>6</v>
      </c>
      <c r="B843" s="21" t="str">
        <f>VLOOKUP(Ruimtestaat[[#This Row],[Code]],Locaties[#All],2,FALSE)</f>
        <v>SGC Tubbergen</v>
      </c>
      <c r="C843" s="281" t="str">
        <f>VLOOKUP(Ruimtestaat[[#This Row],[Code]],Locaties[#All],4,FALSE)</f>
        <v>Huyerenseweg 1</v>
      </c>
      <c r="D843" s="281" t="str">
        <f>VLOOKUP(Ruimtestaat[[#This Row],[Code]],Locaties[#All],5,FALSE)</f>
        <v>7651 LR</v>
      </c>
      <c r="E843" s="281" t="str">
        <f>VLOOKUP(Ruimtestaat[[#This Row],[Code]],Locaties[#All],6,FALSE)</f>
        <v>Tubbergen</v>
      </c>
      <c r="F843" s="282"/>
      <c r="G843" s="201" t="s">
        <v>1003</v>
      </c>
      <c r="H843" s="280" t="s">
        <v>979</v>
      </c>
      <c r="I843" s="244" t="s">
        <v>396</v>
      </c>
      <c r="J843" s="215">
        <v>16</v>
      </c>
      <c r="K843" s="243" t="s">
        <v>1040</v>
      </c>
      <c r="L843" s="284" t="s">
        <v>999</v>
      </c>
      <c r="M843" s="213">
        <v>54</v>
      </c>
      <c r="N843" s="202"/>
      <c r="O843" s="243" t="str">
        <f>VLOOKUP(Ruimtestaat[[#This Row],[Ruimte code]],Ruimtegroepen[#All],4,FALSE)</f>
        <v>L  (Lesruimte)</v>
      </c>
      <c r="P843" s="214"/>
      <c r="Q843" s="215">
        <v>40</v>
      </c>
      <c r="R843" s="215" t="s">
        <v>2</v>
      </c>
      <c r="S843" s="215">
        <f>IF(R843&gt;0,IF(RIGHT(Ruimtestaat[[#This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3" s="215">
        <f>IF(S843&gt;0,VLOOKUP($J843,Ruimtegroepen[],3,FALSE)*VLOOKUP($K843,Vloersoorten[],3,FALSE)*VLOOKUP($R843,Frequenties[],3,FALSE)*VLOOKUP($A843,Locaties[],3,FALSE),0)</f>
        <v>0</v>
      </c>
      <c r="U843" s="215">
        <f>Ruimtestaat[[#This Row],[Uitvoeringen werkdagen]]*Ruimtestaat[[#This Row],[Oppervlak (netto)]]</f>
        <v>10800</v>
      </c>
      <c r="V843" s="259">
        <f>IF(T843&gt;0,Ruimtestaat[[#This Row],[Prest. (m2 /jaar) werkdagen]]/Ruimtestaat[[#This Row],[Norm (m2/uur) werkdagen]],0)</f>
        <v>0</v>
      </c>
      <c r="W843" s="260">
        <f>Ruimtestaat[[#This Row],[uren / jaar werkdagen]]*Tariefsopbouw!$D$38</f>
        <v>0</v>
      </c>
      <c r="X843" s="33"/>
      <c r="Y843" s="33">
        <f>IF(Ruimtestaat[[#This Row],[Frequentie weekend]]&gt;0,VALUE(LEFT(X843,1))*Q843,0)</f>
        <v>0</v>
      </c>
      <c r="Z843" s="33">
        <f>IF($Y843&gt;0,VLOOKUP($J843,Ruimtegroepen[],3,FALSE)*VLOOKUP($K843,Vloersoorten[],3,FALSE)*VLOOKUP($X843,Frequenties[],3,FALSE)*VLOOKUP(#REF!,Locaties[],3,FALSE),0)</f>
        <v>0</v>
      </c>
      <c r="AA843" s="33"/>
      <c r="AB843" s="33"/>
      <c r="AC843" s="33">
        <f>Ruimtestaat[[#This Row],[uren / jaar weekend]]*Tariefsopbouw!$D$40</f>
        <v>0</v>
      </c>
      <c r="AD843" s="88">
        <f>Ruimtestaat[[#This Row],[Prest. (m2 /jaar) weekend]]+Ruimtestaat[[#This Row],[Prest. (m2 /jaar) werkdagen]]</f>
        <v>10800</v>
      </c>
      <c r="AE843" s="88">
        <f>Ruimtestaat[[#This Row],[uren / jaar weekend]]+Ruimtestaat[[#This Row],[uren / jaar werkdagen]]</f>
        <v>0</v>
      </c>
      <c r="AF843" s="89">
        <f>Ruimtestaat[[#This Row],[kosten / jaar weekend]]+Ruimtestaat[[#This Row],[kosten / jaar werkdagen]]</f>
        <v>0</v>
      </c>
    </row>
    <row r="844" spans="1:32" ht="15" customHeight="1">
      <c r="A844" s="280">
        <v>6</v>
      </c>
      <c r="B844" s="21" t="str">
        <f>VLOOKUP(Ruimtestaat[[#This Row],[Code]],Locaties[#All],2,FALSE)</f>
        <v>SGC Tubbergen</v>
      </c>
      <c r="C844" s="281" t="str">
        <f>VLOOKUP(Ruimtestaat[[#This Row],[Code]],Locaties[#All],4,FALSE)</f>
        <v>Huyerenseweg 1</v>
      </c>
      <c r="D844" s="281" t="str">
        <f>VLOOKUP(Ruimtestaat[[#This Row],[Code]],Locaties[#All],5,FALSE)</f>
        <v>7651 LR</v>
      </c>
      <c r="E844" s="281" t="str">
        <f>VLOOKUP(Ruimtestaat[[#This Row],[Code]],Locaties[#All],6,FALSE)</f>
        <v>Tubbergen</v>
      </c>
      <c r="F844" s="282"/>
      <c r="G844" s="201" t="s">
        <v>1004</v>
      </c>
      <c r="H844" s="280" t="s">
        <v>980</v>
      </c>
      <c r="I844" s="244" t="s">
        <v>1039</v>
      </c>
      <c r="J844" s="200">
        <v>8</v>
      </c>
      <c r="K844" s="243" t="s">
        <v>1040</v>
      </c>
      <c r="L844" s="284" t="s">
        <v>999</v>
      </c>
      <c r="M844" s="213">
        <v>70</v>
      </c>
      <c r="N844" s="213"/>
      <c r="O844" s="243" t="str">
        <f>VLOOKUP(Ruimtestaat[[#This Row],[Ruimte code]],Ruimtegroepen[#All],4,FALSE)</f>
        <v>L  (Lesruimte)</v>
      </c>
      <c r="P844" s="214"/>
      <c r="Q844" s="215">
        <v>40</v>
      </c>
      <c r="R844" s="215" t="s">
        <v>2</v>
      </c>
      <c r="S844" s="215">
        <f>IF(R844&gt;0,IF(RIGHT(Ruimtestaat[[#This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4" s="215">
        <f>IF(S844&gt;0,VLOOKUP($J844,Ruimtegroepen[],3,FALSE)*VLOOKUP($K844,Vloersoorten[],3,FALSE)*VLOOKUP($R844,Frequenties[],3,FALSE)*VLOOKUP($A844,Locaties[],3,FALSE),0)</f>
        <v>0</v>
      </c>
      <c r="U844" s="215">
        <f>Ruimtestaat[[#This Row],[Uitvoeringen werkdagen]]*Ruimtestaat[[#This Row],[Oppervlak (netto)]]</f>
        <v>14000</v>
      </c>
      <c r="V844" s="259">
        <f>IF(T844&gt;0,Ruimtestaat[[#This Row],[Prest. (m2 /jaar) werkdagen]]/Ruimtestaat[[#This Row],[Norm (m2/uur) werkdagen]],0)</f>
        <v>0</v>
      </c>
      <c r="W844" s="260">
        <f>Ruimtestaat[[#This Row],[uren / jaar werkdagen]]*Tariefsopbouw!$D$38</f>
        <v>0</v>
      </c>
      <c r="X844" s="33"/>
      <c r="Y844" s="33">
        <f>IF(Ruimtestaat[[#This Row],[Frequentie weekend]]&gt;0,VALUE(LEFT(X844,1))*Q844,0)</f>
        <v>0</v>
      </c>
      <c r="Z844" s="33">
        <f>IF($Y844&gt;0,VLOOKUP($J844,Ruimtegroepen[],3,FALSE)*VLOOKUP($K844,Vloersoorten[],3,FALSE)*VLOOKUP($X844,Frequenties[],3,FALSE)*VLOOKUP(#REF!,Locaties[],3,FALSE),0)</f>
        <v>0</v>
      </c>
      <c r="AA844" s="33"/>
      <c r="AB844" s="33"/>
      <c r="AC844" s="33">
        <f>Ruimtestaat[[#This Row],[uren / jaar weekend]]*Tariefsopbouw!$D$40</f>
        <v>0</v>
      </c>
      <c r="AD844" s="88">
        <f>Ruimtestaat[[#This Row],[Prest. (m2 /jaar) weekend]]+Ruimtestaat[[#This Row],[Prest. (m2 /jaar) werkdagen]]</f>
        <v>14000</v>
      </c>
      <c r="AE844" s="88">
        <f>Ruimtestaat[[#This Row],[uren / jaar weekend]]+Ruimtestaat[[#This Row],[uren / jaar werkdagen]]</f>
        <v>0</v>
      </c>
      <c r="AF844" s="89">
        <f>Ruimtestaat[[#This Row],[kosten / jaar weekend]]+Ruimtestaat[[#This Row],[kosten / jaar werkdagen]]</f>
        <v>0</v>
      </c>
    </row>
    <row r="845" spans="1:32" ht="15" customHeight="1">
      <c r="A845" s="280">
        <v>6</v>
      </c>
      <c r="B845" s="21" t="str">
        <f>VLOOKUP(Ruimtestaat[[#This Row],[Code]],Locaties[#All],2,FALSE)</f>
        <v>SGC Tubbergen</v>
      </c>
      <c r="C845" s="281" t="str">
        <f>VLOOKUP(Ruimtestaat[[#This Row],[Code]],Locaties[#All],4,FALSE)</f>
        <v>Huyerenseweg 1</v>
      </c>
      <c r="D845" s="281" t="str">
        <f>VLOOKUP(Ruimtestaat[[#This Row],[Code]],Locaties[#All],5,FALSE)</f>
        <v>7651 LR</v>
      </c>
      <c r="E845" s="281" t="str">
        <f>VLOOKUP(Ruimtestaat[[#This Row],[Code]],Locaties[#All],6,FALSE)</f>
        <v>Tubbergen</v>
      </c>
      <c r="F845" s="282"/>
      <c r="G845" s="201" t="s">
        <v>1005</v>
      </c>
      <c r="H845" s="280"/>
      <c r="I845" s="244" t="s">
        <v>469</v>
      </c>
      <c r="J845" s="200">
        <v>6</v>
      </c>
      <c r="K845" s="243" t="s">
        <v>1040</v>
      </c>
      <c r="L845" s="284" t="s">
        <v>999</v>
      </c>
      <c r="M845" s="213">
        <v>45.6</v>
      </c>
      <c r="N845" s="202"/>
      <c r="O845" s="243" t="str">
        <f>VLOOKUP(Ruimtestaat[[#This Row],[Ruimte code]],Ruimtegroepen[#All],4,FALSE)</f>
        <v>V  (Verkeersruimte)</v>
      </c>
      <c r="P845" s="214"/>
      <c r="Q845" s="215">
        <v>40</v>
      </c>
      <c r="R845" s="215" t="s">
        <v>2</v>
      </c>
      <c r="S845" s="215">
        <f>IF(R845&gt;0,IF(RIGHT(Ruimtestaat[[#This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5" s="215">
        <f>IF(S845&gt;0,VLOOKUP($J845,Ruimtegroepen[],3,FALSE)*VLOOKUP($K845,Vloersoorten[],3,FALSE)*VLOOKUP($R845,Frequenties[],3,FALSE)*VLOOKUP($A845,Locaties[],3,FALSE),0)</f>
        <v>0</v>
      </c>
      <c r="U845" s="215">
        <f>Ruimtestaat[[#This Row],[Uitvoeringen werkdagen]]*Ruimtestaat[[#This Row],[Oppervlak (netto)]]</f>
        <v>9120</v>
      </c>
      <c r="V845" s="259">
        <f>IF(T845&gt;0,Ruimtestaat[[#This Row],[Prest. (m2 /jaar) werkdagen]]/Ruimtestaat[[#This Row],[Norm (m2/uur) werkdagen]],0)</f>
        <v>0</v>
      </c>
      <c r="W845" s="260">
        <f>Ruimtestaat[[#This Row],[uren / jaar werkdagen]]*Tariefsopbouw!$D$38</f>
        <v>0</v>
      </c>
      <c r="X845" s="33"/>
      <c r="Y845" s="33">
        <f>IF(Ruimtestaat[[#This Row],[Frequentie weekend]]&gt;0,VALUE(LEFT(X845,1))*Q845,0)</f>
        <v>0</v>
      </c>
      <c r="Z845" s="33">
        <f>IF($Y845&gt;0,VLOOKUP($J845,Ruimtegroepen[],3,FALSE)*VLOOKUP($K845,Vloersoorten[],3,FALSE)*VLOOKUP($X845,Frequenties[],3,FALSE)*VLOOKUP(#REF!,Locaties[],3,FALSE),0)</f>
        <v>0</v>
      </c>
      <c r="AA845" s="33"/>
      <c r="AB845" s="33"/>
      <c r="AC845" s="33">
        <f>Ruimtestaat[[#This Row],[uren / jaar weekend]]*Tariefsopbouw!$D$40</f>
        <v>0</v>
      </c>
      <c r="AD845" s="88">
        <f>Ruimtestaat[[#This Row],[Prest. (m2 /jaar) weekend]]+Ruimtestaat[[#This Row],[Prest. (m2 /jaar) werkdagen]]</f>
        <v>9120</v>
      </c>
      <c r="AE845" s="88">
        <f>Ruimtestaat[[#This Row],[uren / jaar weekend]]+Ruimtestaat[[#This Row],[uren / jaar werkdagen]]</f>
        <v>0</v>
      </c>
      <c r="AF845" s="89">
        <f>Ruimtestaat[[#This Row],[kosten / jaar weekend]]+Ruimtestaat[[#This Row],[kosten / jaar werkdagen]]</f>
        <v>0</v>
      </c>
    </row>
    <row r="846" spans="1:32" ht="15" customHeight="1">
      <c r="A846" s="280">
        <v>6</v>
      </c>
      <c r="B846" s="21" t="str">
        <f>VLOOKUP(Ruimtestaat[[#This Row],[Code]],Locaties[#All],2,FALSE)</f>
        <v>SGC Tubbergen</v>
      </c>
      <c r="C846" s="281" t="str">
        <f>VLOOKUP(Ruimtestaat[[#This Row],[Code]],Locaties[#All],4,FALSE)</f>
        <v>Huyerenseweg 1</v>
      </c>
      <c r="D846" s="281" t="str">
        <f>VLOOKUP(Ruimtestaat[[#This Row],[Code]],Locaties[#All],5,FALSE)</f>
        <v>7651 LR</v>
      </c>
      <c r="E846" s="281" t="str">
        <f>VLOOKUP(Ruimtestaat[[#This Row],[Code]],Locaties[#All],6,FALSE)</f>
        <v>Tubbergen</v>
      </c>
      <c r="F846" s="282"/>
      <c r="G846" s="201" t="s">
        <v>1006</v>
      </c>
      <c r="H846" s="280"/>
      <c r="I846" s="244" t="s">
        <v>1039</v>
      </c>
      <c r="J846" s="200">
        <v>8</v>
      </c>
      <c r="K846" s="243" t="s">
        <v>1040</v>
      </c>
      <c r="L846" s="284" t="s">
        <v>999</v>
      </c>
      <c r="M846" s="213">
        <v>11</v>
      </c>
      <c r="N846" s="213"/>
      <c r="O846" s="243" t="str">
        <f>VLOOKUP(Ruimtestaat[[#This Row],[Ruimte code]],Ruimtegroepen[#All],4,FALSE)</f>
        <v>L  (Lesruimte)</v>
      </c>
      <c r="P846" s="214"/>
      <c r="Q846" s="215">
        <v>40</v>
      </c>
      <c r="R846" s="215" t="s">
        <v>2</v>
      </c>
      <c r="S846" s="215">
        <f>IF(R846&gt;0,IF(RIGHT(Ruimtestaat[[#This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6" s="215">
        <f>IF(S846&gt;0,VLOOKUP($J846,Ruimtegroepen[],3,FALSE)*VLOOKUP($K846,Vloersoorten[],3,FALSE)*VLOOKUP($R846,Frequenties[],3,FALSE)*VLOOKUP($A846,Locaties[],3,FALSE),0)</f>
        <v>0</v>
      </c>
      <c r="U846" s="215">
        <f>Ruimtestaat[[#This Row],[Uitvoeringen werkdagen]]*Ruimtestaat[[#This Row],[Oppervlak (netto)]]</f>
        <v>2200</v>
      </c>
      <c r="V846" s="259">
        <f>IF(T846&gt;0,Ruimtestaat[[#This Row],[Prest. (m2 /jaar) werkdagen]]/Ruimtestaat[[#This Row],[Norm (m2/uur) werkdagen]],0)</f>
        <v>0</v>
      </c>
      <c r="W846" s="260">
        <f>Ruimtestaat[[#This Row],[uren / jaar werkdagen]]*Tariefsopbouw!$D$38</f>
        <v>0</v>
      </c>
      <c r="X846" s="33"/>
      <c r="Y846" s="33">
        <f>IF(Ruimtestaat[[#This Row],[Frequentie weekend]]&gt;0,VALUE(LEFT(X846,1))*Q846,0)</f>
        <v>0</v>
      </c>
      <c r="Z846" s="33">
        <f>IF($Y846&gt;0,VLOOKUP($J846,Ruimtegroepen[],3,FALSE)*VLOOKUP($K846,Vloersoorten[],3,FALSE)*VLOOKUP($X846,Frequenties[],3,FALSE)*VLOOKUP(#REF!,Locaties[],3,FALSE),0)</f>
        <v>0</v>
      </c>
      <c r="AA846" s="33"/>
      <c r="AB846" s="33"/>
      <c r="AC846" s="33">
        <f>Ruimtestaat[[#This Row],[uren / jaar weekend]]*Tariefsopbouw!$D$40</f>
        <v>0</v>
      </c>
      <c r="AD846" s="88">
        <f>Ruimtestaat[[#This Row],[Prest. (m2 /jaar) weekend]]+Ruimtestaat[[#This Row],[Prest. (m2 /jaar) werkdagen]]</f>
        <v>2200</v>
      </c>
      <c r="AE846" s="88">
        <f>Ruimtestaat[[#This Row],[uren / jaar weekend]]+Ruimtestaat[[#This Row],[uren / jaar werkdagen]]</f>
        <v>0</v>
      </c>
      <c r="AF846" s="89">
        <f>Ruimtestaat[[#This Row],[kosten / jaar weekend]]+Ruimtestaat[[#This Row],[kosten / jaar werkdagen]]</f>
        <v>0</v>
      </c>
    </row>
    <row r="847" spans="1:32" ht="15" customHeight="1">
      <c r="A847" s="280">
        <v>6</v>
      </c>
      <c r="B847" s="21" t="str">
        <f>VLOOKUP(Ruimtestaat[[#This Row],[Code]],Locaties[#All],2,FALSE)</f>
        <v>SGC Tubbergen</v>
      </c>
      <c r="C847" s="281" t="str">
        <f>VLOOKUP(Ruimtestaat[[#This Row],[Code]],Locaties[#All],4,FALSE)</f>
        <v>Huyerenseweg 1</v>
      </c>
      <c r="D847" s="281" t="str">
        <f>VLOOKUP(Ruimtestaat[[#This Row],[Code]],Locaties[#All],5,FALSE)</f>
        <v>7651 LR</v>
      </c>
      <c r="E847" s="281" t="str">
        <f>VLOOKUP(Ruimtestaat[[#This Row],[Code]],Locaties[#All],6,FALSE)</f>
        <v>Tubbergen</v>
      </c>
      <c r="F847" s="282"/>
      <c r="G847" s="201" t="s">
        <v>1007</v>
      </c>
      <c r="H847" s="280"/>
      <c r="I847" s="244" t="s">
        <v>1039</v>
      </c>
      <c r="J847" s="200">
        <v>8</v>
      </c>
      <c r="K847" s="243" t="s">
        <v>1040</v>
      </c>
      <c r="L847" s="284" t="s">
        <v>999</v>
      </c>
      <c r="M847" s="213">
        <v>15</v>
      </c>
      <c r="N847" s="202"/>
      <c r="O847" s="243" t="str">
        <f>VLOOKUP(Ruimtestaat[[#This Row],[Ruimte code]],Ruimtegroepen[#All],4,FALSE)</f>
        <v>L  (Lesruimte)</v>
      </c>
      <c r="P847" s="214"/>
      <c r="Q847" s="215">
        <v>40</v>
      </c>
      <c r="R847" s="215" t="s">
        <v>2</v>
      </c>
      <c r="S847" s="215">
        <f>IF(R847&gt;0,IF(RIGHT(Ruimtestaat[[#This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7" s="215">
        <f>IF(S847&gt;0,VLOOKUP($J847,Ruimtegroepen[],3,FALSE)*VLOOKUP($K847,Vloersoorten[],3,FALSE)*VLOOKUP($R847,Frequenties[],3,FALSE)*VLOOKUP($A847,Locaties[],3,FALSE),0)</f>
        <v>0</v>
      </c>
      <c r="U847" s="215">
        <f>Ruimtestaat[[#This Row],[Uitvoeringen werkdagen]]*Ruimtestaat[[#This Row],[Oppervlak (netto)]]</f>
        <v>3000</v>
      </c>
      <c r="V847" s="259">
        <f>IF(T847&gt;0,Ruimtestaat[[#This Row],[Prest. (m2 /jaar) werkdagen]]/Ruimtestaat[[#This Row],[Norm (m2/uur) werkdagen]],0)</f>
        <v>0</v>
      </c>
      <c r="W847" s="260">
        <f>Ruimtestaat[[#This Row],[uren / jaar werkdagen]]*Tariefsopbouw!$D$38</f>
        <v>0</v>
      </c>
      <c r="X847" s="33"/>
      <c r="Y847" s="33">
        <f>IF(Ruimtestaat[[#This Row],[Frequentie weekend]]&gt;0,VALUE(LEFT(X847,1))*Q847,0)</f>
        <v>0</v>
      </c>
      <c r="Z847" s="33">
        <f>IF($Y847&gt;0,VLOOKUP($J847,Ruimtegroepen[],3,FALSE)*VLOOKUP($K847,Vloersoorten[],3,FALSE)*VLOOKUP($X847,Frequenties[],3,FALSE)*VLOOKUP(#REF!,Locaties[],3,FALSE),0)</f>
        <v>0</v>
      </c>
      <c r="AA847" s="33"/>
      <c r="AB847" s="33"/>
      <c r="AC847" s="33">
        <f>Ruimtestaat[[#This Row],[uren / jaar weekend]]*Tariefsopbouw!$D$40</f>
        <v>0</v>
      </c>
      <c r="AD847" s="88">
        <f>Ruimtestaat[[#This Row],[Prest. (m2 /jaar) weekend]]+Ruimtestaat[[#This Row],[Prest. (m2 /jaar) werkdagen]]</f>
        <v>3000</v>
      </c>
      <c r="AE847" s="88">
        <f>Ruimtestaat[[#This Row],[uren / jaar weekend]]+Ruimtestaat[[#This Row],[uren / jaar werkdagen]]</f>
        <v>0</v>
      </c>
      <c r="AF847" s="89">
        <f>Ruimtestaat[[#This Row],[kosten / jaar weekend]]+Ruimtestaat[[#This Row],[kosten / jaar werkdagen]]</f>
        <v>0</v>
      </c>
    </row>
    <row r="848" spans="1:32" ht="15" customHeight="1">
      <c r="A848" s="280">
        <v>6</v>
      </c>
      <c r="B848" s="21" t="str">
        <f>VLOOKUP(Ruimtestaat[[#This Row],[Code]],Locaties[#All],2,FALSE)</f>
        <v>SGC Tubbergen</v>
      </c>
      <c r="C848" s="281" t="str">
        <f>VLOOKUP(Ruimtestaat[[#This Row],[Code]],Locaties[#All],4,FALSE)</f>
        <v>Huyerenseweg 1</v>
      </c>
      <c r="D848" s="281" t="str">
        <f>VLOOKUP(Ruimtestaat[[#This Row],[Code]],Locaties[#All],5,FALSE)</f>
        <v>7651 LR</v>
      </c>
      <c r="E848" s="281" t="str">
        <f>VLOOKUP(Ruimtestaat[[#This Row],[Code]],Locaties[#All],6,FALSE)</f>
        <v>Tubbergen</v>
      </c>
      <c r="F848" s="282"/>
      <c r="G848" s="201" t="s">
        <v>1008</v>
      </c>
      <c r="H848" s="280"/>
      <c r="I848" s="244" t="s">
        <v>1039</v>
      </c>
      <c r="J848" s="281">
        <v>8</v>
      </c>
      <c r="K848" s="243" t="s">
        <v>1040</v>
      </c>
      <c r="L848" s="284" t="s">
        <v>999</v>
      </c>
      <c r="M848" s="213">
        <v>25.5</v>
      </c>
      <c r="N848" s="202"/>
      <c r="O848" s="243" t="str">
        <f>VLOOKUP(Ruimtestaat[[#This Row],[Ruimte code]],Ruimtegroepen[#All],4,FALSE)</f>
        <v>L  (Lesruimte)</v>
      </c>
      <c r="P848" s="214"/>
      <c r="Q848" s="215">
        <v>40</v>
      </c>
      <c r="R848" s="215" t="s">
        <v>2</v>
      </c>
      <c r="S848" s="215">
        <f>IF(R848&gt;0,IF(RIGHT(Ruimtestaat[[#This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8" s="215">
        <f>IF(S848&gt;0,VLOOKUP($J848,Ruimtegroepen[],3,FALSE)*VLOOKUP($K848,Vloersoorten[],3,FALSE)*VLOOKUP($R848,Frequenties[],3,FALSE)*VLOOKUP($A848,Locaties[],3,FALSE),0)</f>
        <v>0</v>
      </c>
      <c r="U848" s="215">
        <f>Ruimtestaat[[#This Row],[Uitvoeringen werkdagen]]*Ruimtestaat[[#This Row],[Oppervlak (netto)]]</f>
        <v>5100</v>
      </c>
      <c r="V848" s="259">
        <f>IF(T848&gt;0,Ruimtestaat[[#This Row],[Prest. (m2 /jaar) werkdagen]]/Ruimtestaat[[#This Row],[Norm (m2/uur) werkdagen]],0)</f>
        <v>0</v>
      </c>
      <c r="W848" s="260">
        <f>Ruimtestaat[[#This Row],[uren / jaar werkdagen]]*Tariefsopbouw!$D$38</f>
        <v>0</v>
      </c>
      <c r="X848" s="33"/>
      <c r="Y848" s="33">
        <f>IF(Ruimtestaat[[#This Row],[Frequentie weekend]]&gt;0,VALUE(LEFT(X848,1))*Q848,0)</f>
        <v>0</v>
      </c>
      <c r="Z848" s="33">
        <f>IF($Y848&gt;0,VLOOKUP($J848,Ruimtegroepen[],3,FALSE)*VLOOKUP($K848,Vloersoorten[],3,FALSE)*VLOOKUP($X848,Frequenties[],3,FALSE)*VLOOKUP(#REF!,Locaties[],3,FALSE),0)</f>
        <v>0</v>
      </c>
      <c r="AA848" s="33"/>
      <c r="AB848" s="33"/>
      <c r="AC848" s="33">
        <f>Ruimtestaat[[#This Row],[uren / jaar weekend]]*Tariefsopbouw!$D$40</f>
        <v>0</v>
      </c>
      <c r="AD848" s="88">
        <f>Ruimtestaat[[#This Row],[Prest. (m2 /jaar) weekend]]+Ruimtestaat[[#This Row],[Prest. (m2 /jaar) werkdagen]]</f>
        <v>5100</v>
      </c>
      <c r="AE848" s="88">
        <f>Ruimtestaat[[#This Row],[uren / jaar weekend]]+Ruimtestaat[[#This Row],[uren / jaar werkdagen]]</f>
        <v>0</v>
      </c>
      <c r="AF848" s="89">
        <f>Ruimtestaat[[#This Row],[kosten / jaar weekend]]+Ruimtestaat[[#This Row],[kosten / jaar werkdagen]]</f>
        <v>0</v>
      </c>
    </row>
    <row r="849" spans="1:32" ht="15" customHeight="1">
      <c r="A849" s="280">
        <v>6</v>
      </c>
      <c r="B849" s="21" t="str">
        <f>VLOOKUP(Ruimtestaat[[#This Row],[Code]],Locaties[#All],2,FALSE)</f>
        <v>SGC Tubbergen</v>
      </c>
      <c r="C849" s="281" t="str">
        <f>VLOOKUP(Ruimtestaat[[#This Row],[Code]],Locaties[#All],4,FALSE)</f>
        <v>Huyerenseweg 1</v>
      </c>
      <c r="D849" s="281" t="str">
        <f>VLOOKUP(Ruimtestaat[[#This Row],[Code]],Locaties[#All],5,FALSE)</f>
        <v>7651 LR</v>
      </c>
      <c r="E849" s="281" t="str">
        <f>VLOOKUP(Ruimtestaat[[#This Row],[Code]],Locaties[#All],6,FALSE)</f>
        <v>Tubbergen</v>
      </c>
      <c r="F849" s="282"/>
      <c r="G849" s="201" t="s">
        <v>1009</v>
      </c>
      <c r="H849" s="280"/>
      <c r="I849" s="244" t="s">
        <v>1039</v>
      </c>
      <c r="J849" s="200">
        <v>8</v>
      </c>
      <c r="K849" s="243" t="s">
        <v>1040</v>
      </c>
      <c r="L849" s="284" t="s">
        <v>999</v>
      </c>
      <c r="M849" s="213">
        <v>19</v>
      </c>
      <c r="N849" s="202"/>
      <c r="O849" s="243" t="str">
        <f>VLOOKUP(Ruimtestaat[[#This Row],[Ruimte code]],Ruimtegroepen[#All],4,FALSE)</f>
        <v>L  (Lesruimte)</v>
      </c>
      <c r="P849" s="214"/>
      <c r="Q849" s="215">
        <v>40</v>
      </c>
      <c r="R849" s="215" t="s">
        <v>2</v>
      </c>
      <c r="S849" s="215">
        <f>IF(R849&gt;0,IF(RIGHT(Ruimtestaat[[#This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49" s="215">
        <f>IF(S849&gt;0,VLOOKUP($J849,Ruimtegroepen[],3,FALSE)*VLOOKUP($K849,Vloersoorten[],3,FALSE)*VLOOKUP($R849,Frequenties[],3,FALSE)*VLOOKUP($A849,Locaties[],3,FALSE),0)</f>
        <v>0</v>
      </c>
      <c r="U849" s="215">
        <f>Ruimtestaat[[#This Row],[Uitvoeringen werkdagen]]*Ruimtestaat[[#This Row],[Oppervlak (netto)]]</f>
        <v>3800</v>
      </c>
      <c r="V849" s="259">
        <f>IF(T849&gt;0,Ruimtestaat[[#This Row],[Prest. (m2 /jaar) werkdagen]]/Ruimtestaat[[#This Row],[Norm (m2/uur) werkdagen]],0)</f>
        <v>0</v>
      </c>
      <c r="W849" s="260">
        <f>Ruimtestaat[[#This Row],[uren / jaar werkdagen]]*Tariefsopbouw!$D$38</f>
        <v>0</v>
      </c>
      <c r="X849" s="33"/>
      <c r="Y849" s="33">
        <f>IF(Ruimtestaat[[#This Row],[Frequentie weekend]]&gt;0,VALUE(LEFT(X849,1))*Q849,0)</f>
        <v>0</v>
      </c>
      <c r="Z849" s="33">
        <f>IF($Y849&gt;0,VLOOKUP($J849,Ruimtegroepen[],3,FALSE)*VLOOKUP($K849,Vloersoorten[],3,FALSE)*VLOOKUP($X849,Frequenties[],3,FALSE)*VLOOKUP(#REF!,Locaties[],3,FALSE),0)</f>
        <v>0</v>
      </c>
      <c r="AA849" s="33"/>
      <c r="AB849" s="33"/>
      <c r="AC849" s="33">
        <f>Ruimtestaat[[#This Row],[uren / jaar weekend]]*Tariefsopbouw!$D$40</f>
        <v>0</v>
      </c>
      <c r="AD849" s="88">
        <f>Ruimtestaat[[#This Row],[Prest. (m2 /jaar) weekend]]+Ruimtestaat[[#This Row],[Prest. (m2 /jaar) werkdagen]]</f>
        <v>3800</v>
      </c>
      <c r="AE849" s="88">
        <f>Ruimtestaat[[#This Row],[uren / jaar weekend]]+Ruimtestaat[[#This Row],[uren / jaar werkdagen]]</f>
        <v>0</v>
      </c>
      <c r="AF849" s="89">
        <f>Ruimtestaat[[#This Row],[kosten / jaar weekend]]+Ruimtestaat[[#This Row],[kosten / jaar werkdagen]]</f>
        <v>0</v>
      </c>
    </row>
    <row r="850" spans="1:32" ht="15" customHeight="1">
      <c r="A850" s="280">
        <v>6</v>
      </c>
      <c r="B850" s="21" t="str">
        <f>VLOOKUP(Ruimtestaat[[#This Row],[Code]],Locaties[#All],2,FALSE)</f>
        <v>SGC Tubbergen</v>
      </c>
      <c r="C850" s="281" t="str">
        <f>VLOOKUP(Ruimtestaat[[#This Row],[Code]],Locaties[#All],4,FALSE)</f>
        <v>Huyerenseweg 1</v>
      </c>
      <c r="D850" s="281" t="str">
        <f>VLOOKUP(Ruimtestaat[[#This Row],[Code]],Locaties[#All],5,FALSE)</f>
        <v>7651 LR</v>
      </c>
      <c r="E850" s="281" t="str">
        <f>VLOOKUP(Ruimtestaat[[#This Row],[Code]],Locaties[#All],6,FALSE)</f>
        <v>Tubbergen</v>
      </c>
      <c r="F850" s="282"/>
      <c r="G850" s="201" t="s">
        <v>1010</v>
      </c>
      <c r="H850" s="280"/>
      <c r="I850" s="244" t="s">
        <v>1039</v>
      </c>
      <c r="J850" s="200">
        <v>8</v>
      </c>
      <c r="K850" s="243" t="s">
        <v>1040</v>
      </c>
      <c r="L850" s="284" t="s">
        <v>999</v>
      </c>
      <c r="M850" s="213">
        <v>19</v>
      </c>
      <c r="N850" s="202"/>
      <c r="O850" s="243" t="str">
        <f>VLOOKUP(Ruimtestaat[[#This Row],[Ruimte code]],Ruimtegroepen[#All],4,FALSE)</f>
        <v>L  (Lesruimte)</v>
      </c>
      <c r="P850" s="214"/>
      <c r="Q850" s="215">
        <v>40</v>
      </c>
      <c r="R850" s="215" t="s">
        <v>2</v>
      </c>
      <c r="S850" s="215">
        <f>IF(R850&gt;0,IF(RIGHT(Ruimtestaat[[#This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0" s="215">
        <f>IF(S850&gt;0,VLOOKUP($J850,Ruimtegroepen[],3,FALSE)*VLOOKUP($K850,Vloersoorten[],3,FALSE)*VLOOKUP($R850,Frequenties[],3,FALSE)*VLOOKUP($A850,Locaties[],3,FALSE),0)</f>
        <v>0</v>
      </c>
      <c r="U850" s="215">
        <f>Ruimtestaat[[#This Row],[Uitvoeringen werkdagen]]*Ruimtestaat[[#This Row],[Oppervlak (netto)]]</f>
        <v>3800</v>
      </c>
      <c r="V850" s="259">
        <f>IF(T850&gt;0,Ruimtestaat[[#This Row],[Prest. (m2 /jaar) werkdagen]]/Ruimtestaat[[#This Row],[Norm (m2/uur) werkdagen]],0)</f>
        <v>0</v>
      </c>
      <c r="W850" s="260">
        <f>Ruimtestaat[[#This Row],[uren / jaar werkdagen]]*Tariefsopbouw!$D$38</f>
        <v>0</v>
      </c>
      <c r="X850" s="33"/>
      <c r="Y850" s="33">
        <f>IF(Ruimtestaat[[#This Row],[Frequentie weekend]]&gt;0,VALUE(LEFT(X850,1))*Q850,0)</f>
        <v>0</v>
      </c>
      <c r="Z850" s="33">
        <f>IF($Y850&gt;0,VLOOKUP($J850,Ruimtegroepen[],3,FALSE)*VLOOKUP($K850,Vloersoorten[],3,FALSE)*VLOOKUP($X850,Frequenties[],3,FALSE)*VLOOKUP(#REF!,Locaties[],3,FALSE),0)</f>
        <v>0</v>
      </c>
      <c r="AA850" s="33"/>
      <c r="AB850" s="33"/>
      <c r="AC850" s="33">
        <f>Ruimtestaat[[#This Row],[uren / jaar weekend]]*Tariefsopbouw!$D$40</f>
        <v>0</v>
      </c>
      <c r="AD850" s="88">
        <f>Ruimtestaat[[#This Row],[Prest. (m2 /jaar) weekend]]+Ruimtestaat[[#This Row],[Prest. (m2 /jaar) werkdagen]]</f>
        <v>3800</v>
      </c>
      <c r="AE850" s="88">
        <f>Ruimtestaat[[#This Row],[uren / jaar weekend]]+Ruimtestaat[[#This Row],[uren / jaar werkdagen]]</f>
        <v>0</v>
      </c>
      <c r="AF850" s="89">
        <f>Ruimtestaat[[#This Row],[kosten / jaar weekend]]+Ruimtestaat[[#This Row],[kosten / jaar werkdagen]]</f>
        <v>0</v>
      </c>
    </row>
    <row r="851" spans="1:32" ht="15" customHeight="1">
      <c r="A851" s="280">
        <v>6</v>
      </c>
      <c r="B851" s="21" t="str">
        <f>VLOOKUP(Ruimtestaat[[#This Row],[Code]],Locaties[#All],2,FALSE)</f>
        <v>SGC Tubbergen</v>
      </c>
      <c r="C851" s="281" t="str">
        <f>VLOOKUP(Ruimtestaat[[#This Row],[Code]],Locaties[#All],4,FALSE)</f>
        <v>Huyerenseweg 1</v>
      </c>
      <c r="D851" s="281" t="str">
        <f>VLOOKUP(Ruimtestaat[[#This Row],[Code]],Locaties[#All],5,FALSE)</f>
        <v>7651 LR</v>
      </c>
      <c r="E851" s="281" t="str">
        <f>VLOOKUP(Ruimtestaat[[#This Row],[Code]],Locaties[#All],6,FALSE)</f>
        <v>Tubbergen</v>
      </c>
      <c r="F851" s="282"/>
      <c r="G851" s="201" t="s">
        <v>756</v>
      </c>
      <c r="H851" s="280" t="s">
        <v>981</v>
      </c>
      <c r="I851" s="244" t="s">
        <v>396</v>
      </c>
      <c r="J851" s="215">
        <v>16</v>
      </c>
      <c r="K851" s="243" t="s">
        <v>1040</v>
      </c>
      <c r="L851" s="284" t="s">
        <v>999</v>
      </c>
      <c r="M851" s="213">
        <v>61</v>
      </c>
      <c r="N851" s="202"/>
      <c r="O851" s="243" t="str">
        <f>VLOOKUP(Ruimtestaat[[#This Row],[Ruimte code]],Ruimtegroepen[#All],4,FALSE)</f>
        <v>L  (Lesruimte)</v>
      </c>
      <c r="P851" s="214"/>
      <c r="Q851" s="215">
        <v>40</v>
      </c>
      <c r="R851" s="215" t="s">
        <v>2</v>
      </c>
      <c r="S851" s="215">
        <f>IF(R851&gt;0,IF(RIGHT(Ruimtestaat[[#This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1" s="215">
        <f>IF(S851&gt;0,VLOOKUP($J851,Ruimtegroepen[],3,FALSE)*VLOOKUP($K851,Vloersoorten[],3,FALSE)*VLOOKUP($R851,Frequenties[],3,FALSE)*VLOOKUP($A851,Locaties[],3,FALSE),0)</f>
        <v>0</v>
      </c>
      <c r="U851" s="215">
        <f>Ruimtestaat[[#This Row],[Uitvoeringen werkdagen]]*Ruimtestaat[[#This Row],[Oppervlak (netto)]]</f>
        <v>12200</v>
      </c>
      <c r="V851" s="259">
        <f>IF(T851&gt;0,Ruimtestaat[[#This Row],[Prest. (m2 /jaar) werkdagen]]/Ruimtestaat[[#This Row],[Norm (m2/uur) werkdagen]],0)</f>
        <v>0</v>
      </c>
      <c r="W851" s="260">
        <f>Ruimtestaat[[#This Row],[uren / jaar werkdagen]]*Tariefsopbouw!$D$38</f>
        <v>0</v>
      </c>
      <c r="X851" s="33"/>
      <c r="Y851" s="33">
        <f>IF(Ruimtestaat[[#This Row],[Frequentie weekend]]&gt;0,VALUE(LEFT(X851,1))*Q851,0)</f>
        <v>0</v>
      </c>
      <c r="Z851" s="33">
        <f>IF($Y851&gt;0,VLOOKUP($J851,Ruimtegroepen[],3,FALSE)*VLOOKUP($K851,Vloersoorten[],3,FALSE)*VLOOKUP($X851,Frequenties[],3,FALSE)*VLOOKUP(#REF!,Locaties[],3,FALSE),0)</f>
        <v>0</v>
      </c>
      <c r="AA851" s="33"/>
      <c r="AB851" s="33"/>
      <c r="AC851" s="33">
        <f>Ruimtestaat[[#This Row],[uren / jaar weekend]]*Tariefsopbouw!$D$40</f>
        <v>0</v>
      </c>
      <c r="AD851" s="88">
        <f>Ruimtestaat[[#This Row],[Prest. (m2 /jaar) weekend]]+Ruimtestaat[[#This Row],[Prest. (m2 /jaar) werkdagen]]</f>
        <v>12200</v>
      </c>
      <c r="AE851" s="88">
        <f>Ruimtestaat[[#This Row],[uren / jaar weekend]]+Ruimtestaat[[#This Row],[uren / jaar werkdagen]]</f>
        <v>0</v>
      </c>
      <c r="AF851" s="89">
        <f>Ruimtestaat[[#This Row],[kosten / jaar weekend]]+Ruimtestaat[[#This Row],[kosten / jaar werkdagen]]</f>
        <v>0</v>
      </c>
    </row>
    <row r="852" spans="1:32" ht="15" customHeight="1">
      <c r="A852" s="280">
        <v>6</v>
      </c>
      <c r="B852" s="21" t="str">
        <f>VLOOKUP(Ruimtestaat[[#This Row],[Code]],Locaties[#All],2,FALSE)</f>
        <v>SGC Tubbergen</v>
      </c>
      <c r="C852" s="281" t="str">
        <f>VLOOKUP(Ruimtestaat[[#This Row],[Code]],Locaties[#All],4,FALSE)</f>
        <v>Huyerenseweg 1</v>
      </c>
      <c r="D852" s="281" t="str">
        <f>VLOOKUP(Ruimtestaat[[#This Row],[Code]],Locaties[#All],5,FALSE)</f>
        <v>7651 LR</v>
      </c>
      <c r="E852" s="281" t="str">
        <f>VLOOKUP(Ruimtestaat[[#This Row],[Code]],Locaties[#All],6,FALSE)</f>
        <v>Tubbergen</v>
      </c>
      <c r="F852" s="282"/>
      <c r="G852" s="201" t="s">
        <v>1011</v>
      </c>
      <c r="H852" s="280" t="s">
        <v>982</v>
      </c>
      <c r="I852" s="244" t="s">
        <v>396</v>
      </c>
      <c r="J852" s="215">
        <v>16</v>
      </c>
      <c r="K852" s="243" t="s">
        <v>1040</v>
      </c>
      <c r="L852" s="284" t="s">
        <v>999</v>
      </c>
      <c r="M852" s="213">
        <v>51</v>
      </c>
      <c r="N852" s="202"/>
      <c r="O852" s="243" t="str">
        <f>VLOOKUP(Ruimtestaat[[#This Row],[Ruimte code]],Ruimtegroepen[#All],4,FALSE)</f>
        <v>L  (Lesruimte)</v>
      </c>
      <c r="P852" s="214"/>
      <c r="Q852" s="215">
        <v>40</v>
      </c>
      <c r="R852" s="215" t="s">
        <v>2</v>
      </c>
      <c r="S852" s="215">
        <f>IF(R852&gt;0,IF(RIGHT(Ruimtestaat[[#This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2" s="215">
        <f>IF(S852&gt;0,VLOOKUP($J852,Ruimtegroepen[],3,FALSE)*VLOOKUP($K852,Vloersoorten[],3,FALSE)*VLOOKUP($R852,Frequenties[],3,FALSE)*VLOOKUP($A852,Locaties[],3,FALSE),0)</f>
        <v>0</v>
      </c>
      <c r="U852" s="215">
        <f>Ruimtestaat[[#This Row],[Uitvoeringen werkdagen]]*Ruimtestaat[[#This Row],[Oppervlak (netto)]]</f>
        <v>10200</v>
      </c>
      <c r="V852" s="259">
        <f>IF(T852&gt;0,Ruimtestaat[[#This Row],[Prest. (m2 /jaar) werkdagen]]/Ruimtestaat[[#This Row],[Norm (m2/uur) werkdagen]],0)</f>
        <v>0</v>
      </c>
      <c r="W852" s="260">
        <f>Ruimtestaat[[#This Row],[uren / jaar werkdagen]]*Tariefsopbouw!$D$38</f>
        <v>0</v>
      </c>
      <c r="X852" s="33"/>
      <c r="Y852" s="33">
        <f>IF(Ruimtestaat[[#This Row],[Frequentie weekend]]&gt;0,VALUE(LEFT(X852,1))*Q852,0)</f>
        <v>0</v>
      </c>
      <c r="Z852" s="33">
        <f>IF($Y852&gt;0,VLOOKUP($J852,Ruimtegroepen[],3,FALSE)*VLOOKUP($K852,Vloersoorten[],3,FALSE)*VLOOKUP($X852,Frequenties[],3,FALSE)*VLOOKUP(#REF!,Locaties[],3,FALSE),0)</f>
        <v>0</v>
      </c>
      <c r="AA852" s="33"/>
      <c r="AB852" s="33"/>
      <c r="AC852" s="33">
        <f>Ruimtestaat[[#This Row],[uren / jaar weekend]]*Tariefsopbouw!$D$40</f>
        <v>0</v>
      </c>
      <c r="AD852" s="88">
        <f>Ruimtestaat[[#This Row],[Prest. (m2 /jaar) weekend]]+Ruimtestaat[[#This Row],[Prest. (m2 /jaar) werkdagen]]</f>
        <v>10200</v>
      </c>
      <c r="AE852" s="88">
        <f>Ruimtestaat[[#This Row],[uren / jaar weekend]]+Ruimtestaat[[#This Row],[uren / jaar werkdagen]]</f>
        <v>0</v>
      </c>
      <c r="AF852" s="89">
        <f>Ruimtestaat[[#This Row],[kosten / jaar weekend]]+Ruimtestaat[[#This Row],[kosten / jaar werkdagen]]</f>
        <v>0</v>
      </c>
    </row>
    <row r="853" spans="1:32" ht="15" customHeight="1">
      <c r="A853" s="280">
        <v>6</v>
      </c>
      <c r="B853" s="21" t="str">
        <f>VLOOKUP(Ruimtestaat[[#This Row],[Code]],Locaties[#All],2,FALSE)</f>
        <v>SGC Tubbergen</v>
      </c>
      <c r="C853" s="281" t="str">
        <f>VLOOKUP(Ruimtestaat[[#This Row],[Code]],Locaties[#All],4,FALSE)</f>
        <v>Huyerenseweg 1</v>
      </c>
      <c r="D853" s="281" t="str">
        <f>VLOOKUP(Ruimtestaat[[#This Row],[Code]],Locaties[#All],5,FALSE)</f>
        <v>7651 LR</v>
      </c>
      <c r="E853" s="281" t="str">
        <f>VLOOKUP(Ruimtestaat[[#This Row],[Code]],Locaties[#All],6,FALSE)</f>
        <v>Tubbergen</v>
      </c>
      <c r="F853" s="282"/>
      <c r="G853" s="201" t="s">
        <v>764</v>
      </c>
      <c r="H853" s="280" t="s">
        <v>983</v>
      </c>
      <c r="I853" s="244" t="s">
        <v>396</v>
      </c>
      <c r="J853" s="215">
        <v>16</v>
      </c>
      <c r="K853" s="243" t="s">
        <v>1040</v>
      </c>
      <c r="L853" s="284" t="s">
        <v>999</v>
      </c>
      <c r="M853" s="213">
        <v>66</v>
      </c>
      <c r="N853" s="202"/>
      <c r="O853" s="243" t="str">
        <f>VLOOKUP(Ruimtestaat[[#This Row],[Ruimte code]],Ruimtegroepen[#All],4,FALSE)</f>
        <v>L  (Lesruimte)</v>
      </c>
      <c r="P853" s="214"/>
      <c r="Q853" s="215">
        <v>40</v>
      </c>
      <c r="R853" s="215" t="s">
        <v>2</v>
      </c>
      <c r="S853" s="215">
        <f>IF(R853&gt;0,IF(RIGHT(Ruimtestaat[[#This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3" s="215">
        <f>IF(S853&gt;0,VLOOKUP($J853,Ruimtegroepen[],3,FALSE)*VLOOKUP($K853,Vloersoorten[],3,FALSE)*VLOOKUP($R853,Frequenties[],3,FALSE)*VLOOKUP($A853,Locaties[],3,FALSE),0)</f>
        <v>0</v>
      </c>
      <c r="U853" s="215">
        <f>Ruimtestaat[[#This Row],[Uitvoeringen werkdagen]]*Ruimtestaat[[#This Row],[Oppervlak (netto)]]</f>
        <v>13200</v>
      </c>
      <c r="V853" s="259">
        <f>IF(T853&gt;0,Ruimtestaat[[#This Row],[Prest. (m2 /jaar) werkdagen]]/Ruimtestaat[[#This Row],[Norm (m2/uur) werkdagen]],0)</f>
        <v>0</v>
      </c>
      <c r="W853" s="260">
        <f>Ruimtestaat[[#This Row],[uren / jaar werkdagen]]*Tariefsopbouw!$D$38</f>
        <v>0</v>
      </c>
      <c r="X853" s="33"/>
      <c r="Y853" s="33">
        <f>IF(Ruimtestaat[[#This Row],[Frequentie weekend]]&gt;0,VALUE(LEFT(X853,1))*Q853,0)</f>
        <v>0</v>
      </c>
      <c r="Z853" s="33">
        <f>IF($Y853&gt;0,VLOOKUP($J853,Ruimtegroepen[],3,FALSE)*VLOOKUP($K853,Vloersoorten[],3,FALSE)*VLOOKUP($X853,Frequenties[],3,FALSE)*VLOOKUP(#REF!,Locaties[],3,FALSE),0)</f>
        <v>0</v>
      </c>
      <c r="AA853" s="33"/>
      <c r="AB853" s="33"/>
      <c r="AC853" s="33">
        <f>Ruimtestaat[[#This Row],[uren / jaar weekend]]*Tariefsopbouw!$D$40</f>
        <v>0</v>
      </c>
      <c r="AD853" s="88">
        <f>Ruimtestaat[[#This Row],[Prest. (m2 /jaar) weekend]]+Ruimtestaat[[#This Row],[Prest. (m2 /jaar) werkdagen]]</f>
        <v>13200</v>
      </c>
      <c r="AE853" s="88">
        <f>Ruimtestaat[[#This Row],[uren / jaar weekend]]+Ruimtestaat[[#This Row],[uren / jaar werkdagen]]</f>
        <v>0</v>
      </c>
      <c r="AF853" s="89">
        <f>Ruimtestaat[[#This Row],[kosten / jaar weekend]]+Ruimtestaat[[#This Row],[kosten / jaar werkdagen]]</f>
        <v>0</v>
      </c>
    </row>
    <row r="854" spans="1:32" ht="15" customHeight="1">
      <c r="A854" s="280">
        <v>6</v>
      </c>
      <c r="B854" s="21" t="str">
        <f>VLOOKUP(Ruimtestaat[[#This Row],[Code]],Locaties[#All],2,FALSE)</f>
        <v>SGC Tubbergen</v>
      </c>
      <c r="C854" s="281" t="str">
        <f>VLOOKUP(Ruimtestaat[[#This Row],[Code]],Locaties[#All],4,FALSE)</f>
        <v>Huyerenseweg 1</v>
      </c>
      <c r="D854" s="281" t="str">
        <f>VLOOKUP(Ruimtestaat[[#This Row],[Code]],Locaties[#All],5,FALSE)</f>
        <v>7651 LR</v>
      </c>
      <c r="E854" s="281" t="str">
        <f>VLOOKUP(Ruimtestaat[[#This Row],[Code]],Locaties[#All],6,FALSE)</f>
        <v>Tubbergen</v>
      </c>
      <c r="F854" s="282"/>
      <c r="G854" s="201" t="s">
        <v>1012</v>
      </c>
      <c r="H854" s="280"/>
      <c r="I854" s="244" t="s">
        <v>457</v>
      </c>
      <c r="J854" s="200">
        <v>10</v>
      </c>
      <c r="K854" s="243" t="s">
        <v>1043</v>
      </c>
      <c r="L854" s="284" t="s">
        <v>997</v>
      </c>
      <c r="M854" s="213">
        <v>10.7</v>
      </c>
      <c r="N854" s="202"/>
      <c r="O854" s="243" t="str">
        <f>VLOOKUP(Ruimtestaat[[#This Row],[Ruimte code]],Ruimtegroepen[#All],4,FALSE)</f>
        <v>V  (Verkeersruimte)</v>
      </c>
      <c r="P854" s="214"/>
      <c r="Q854" s="215">
        <v>40</v>
      </c>
      <c r="R854" s="215" t="s">
        <v>2</v>
      </c>
      <c r="S854" s="215">
        <f>IF(R854&gt;0,IF(RIGHT(Ruimtestaat[[#This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4" s="215">
        <f>IF(S854&gt;0,VLOOKUP($J854,Ruimtegroepen[],3,FALSE)*VLOOKUP($K854,Vloersoorten[],3,FALSE)*VLOOKUP($R854,Frequenties[],3,FALSE)*VLOOKUP($A854,Locaties[],3,FALSE),0)</f>
        <v>0</v>
      </c>
      <c r="U854" s="215">
        <f>Ruimtestaat[[#This Row],[Uitvoeringen werkdagen]]*Ruimtestaat[[#This Row],[Oppervlak (netto)]]</f>
        <v>2140</v>
      </c>
      <c r="V854" s="259">
        <f>IF(T854&gt;0,Ruimtestaat[[#This Row],[Prest. (m2 /jaar) werkdagen]]/Ruimtestaat[[#This Row],[Norm (m2/uur) werkdagen]],0)</f>
        <v>0</v>
      </c>
      <c r="W854" s="260">
        <f>Ruimtestaat[[#This Row],[uren / jaar werkdagen]]*Tariefsopbouw!$D$38</f>
        <v>0</v>
      </c>
      <c r="X854" s="33"/>
      <c r="Y854" s="33">
        <f>IF(Ruimtestaat[[#This Row],[Frequentie weekend]]&gt;0,VALUE(LEFT(X854,1))*Q854,0)</f>
        <v>0</v>
      </c>
      <c r="Z854" s="33">
        <f>IF($Y854&gt;0,VLOOKUP($J854,Ruimtegroepen[],3,FALSE)*VLOOKUP($K854,Vloersoorten[],3,FALSE)*VLOOKUP($X854,Frequenties[],3,FALSE)*VLOOKUP(#REF!,Locaties[],3,FALSE),0)</f>
        <v>0</v>
      </c>
      <c r="AA854" s="33"/>
      <c r="AB854" s="33"/>
      <c r="AC854" s="33">
        <f>Ruimtestaat[[#This Row],[uren / jaar weekend]]*Tariefsopbouw!$D$40</f>
        <v>0</v>
      </c>
      <c r="AD854" s="88">
        <f>Ruimtestaat[[#This Row],[Prest. (m2 /jaar) weekend]]+Ruimtestaat[[#This Row],[Prest. (m2 /jaar) werkdagen]]</f>
        <v>2140</v>
      </c>
      <c r="AE854" s="88">
        <f>Ruimtestaat[[#This Row],[uren / jaar weekend]]+Ruimtestaat[[#This Row],[uren / jaar werkdagen]]</f>
        <v>0</v>
      </c>
      <c r="AF854" s="89">
        <f>Ruimtestaat[[#This Row],[kosten / jaar weekend]]+Ruimtestaat[[#This Row],[kosten / jaar werkdagen]]</f>
        <v>0</v>
      </c>
    </row>
    <row r="855" spans="1:32" ht="15" customHeight="1">
      <c r="A855" s="280">
        <v>6</v>
      </c>
      <c r="B855" s="21" t="str">
        <f>VLOOKUP(Ruimtestaat[[#This Row],[Code]],Locaties[#All],2,FALSE)</f>
        <v>SGC Tubbergen</v>
      </c>
      <c r="C855" s="281" t="str">
        <f>VLOOKUP(Ruimtestaat[[#This Row],[Code]],Locaties[#All],4,FALSE)</f>
        <v>Huyerenseweg 1</v>
      </c>
      <c r="D855" s="281" t="str">
        <f>VLOOKUP(Ruimtestaat[[#This Row],[Code]],Locaties[#All],5,FALSE)</f>
        <v>7651 LR</v>
      </c>
      <c r="E855" s="281" t="str">
        <f>VLOOKUP(Ruimtestaat[[#This Row],[Code]],Locaties[#All],6,FALSE)</f>
        <v>Tubbergen</v>
      </c>
      <c r="F855" s="282"/>
      <c r="G855" s="201" t="s">
        <v>1013</v>
      </c>
      <c r="H855" s="280"/>
      <c r="I855" s="244" t="s">
        <v>1044</v>
      </c>
      <c r="J855" s="200">
        <v>21</v>
      </c>
      <c r="K855" s="243" t="s">
        <v>1040</v>
      </c>
      <c r="L855" s="284" t="s">
        <v>999</v>
      </c>
      <c r="M855" s="213"/>
      <c r="N855" s="213">
        <v>2.5</v>
      </c>
      <c r="O855" s="243" t="str">
        <f>VLOOKUP(Ruimtestaat[[#This Row],[Ruimte code]],Ruimtegroepen[#All],4,FALSE)</f>
        <v>Niet in onderhoud</v>
      </c>
      <c r="P855" s="214"/>
      <c r="Q855" s="215"/>
      <c r="R855" s="215"/>
      <c r="S855" s="215">
        <f>IF(R855&gt;0,IF(RIGHT(Ruimtestaat[[#This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0</v>
      </c>
      <c r="T855" s="215">
        <f>IF(S855&gt;0,VLOOKUP($J855,Ruimtegroepen[],3,FALSE)*VLOOKUP($K855,Vloersoorten[],3,FALSE)*VLOOKUP($R855,Frequenties[],3,FALSE)*VLOOKUP($A855,Locaties[],3,FALSE),0)</f>
        <v>0</v>
      </c>
      <c r="U855" s="215">
        <f>Ruimtestaat[[#This Row],[Uitvoeringen werkdagen]]*Ruimtestaat[[#This Row],[Oppervlak (netto)]]</f>
        <v>0</v>
      </c>
      <c r="V855" s="259">
        <f>IF(T855&gt;0,Ruimtestaat[[#This Row],[Prest. (m2 /jaar) werkdagen]]/Ruimtestaat[[#This Row],[Norm (m2/uur) werkdagen]],0)</f>
        <v>0</v>
      </c>
      <c r="W855" s="260">
        <f>Ruimtestaat[[#This Row],[uren / jaar werkdagen]]*Tariefsopbouw!$D$38</f>
        <v>0</v>
      </c>
      <c r="X855" s="33"/>
      <c r="Y855" s="33">
        <f>IF(Ruimtestaat[[#This Row],[Frequentie weekend]]&gt;0,VALUE(LEFT(X855,1))*Q855,0)</f>
        <v>0</v>
      </c>
      <c r="Z855" s="33">
        <f>IF($Y855&gt;0,VLOOKUP($J855,Ruimtegroepen[],3,FALSE)*VLOOKUP($K855,Vloersoorten[],3,FALSE)*VLOOKUP($X855,Frequenties[],3,FALSE)*VLOOKUP(#REF!,Locaties[],3,FALSE),0)</f>
        <v>0</v>
      </c>
      <c r="AA855" s="33"/>
      <c r="AB855" s="33"/>
      <c r="AC855" s="33">
        <f>Ruimtestaat[[#This Row],[uren / jaar weekend]]*Tariefsopbouw!$D$40</f>
        <v>0</v>
      </c>
      <c r="AD855" s="88">
        <f>Ruimtestaat[[#This Row],[Prest. (m2 /jaar) weekend]]+Ruimtestaat[[#This Row],[Prest. (m2 /jaar) werkdagen]]</f>
        <v>0</v>
      </c>
      <c r="AE855" s="88">
        <f>Ruimtestaat[[#This Row],[uren / jaar weekend]]+Ruimtestaat[[#This Row],[uren / jaar werkdagen]]</f>
        <v>0</v>
      </c>
      <c r="AF855" s="89">
        <f>Ruimtestaat[[#This Row],[kosten / jaar weekend]]+Ruimtestaat[[#This Row],[kosten / jaar werkdagen]]</f>
        <v>0</v>
      </c>
    </row>
    <row r="856" spans="1:32" ht="15" customHeight="1">
      <c r="A856" s="280">
        <v>6</v>
      </c>
      <c r="B856" s="21" t="str">
        <f>VLOOKUP(Ruimtestaat[[#This Row],[Code]],Locaties[#All],2,FALSE)</f>
        <v>SGC Tubbergen</v>
      </c>
      <c r="C856" s="281" t="str">
        <f>VLOOKUP(Ruimtestaat[[#This Row],[Code]],Locaties[#All],4,FALSE)</f>
        <v>Huyerenseweg 1</v>
      </c>
      <c r="D856" s="281" t="str">
        <f>VLOOKUP(Ruimtestaat[[#This Row],[Code]],Locaties[#All],5,FALSE)</f>
        <v>7651 LR</v>
      </c>
      <c r="E856" s="281" t="str">
        <f>VLOOKUP(Ruimtestaat[[#This Row],[Code]],Locaties[#All],6,FALSE)</f>
        <v>Tubbergen</v>
      </c>
      <c r="F856" s="282"/>
      <c r="G856" s="201" t="s">
        <v>775</v>
      </c>
      <c r="H856" s="280"/>
      <c r="I856" s="244" t="s">
        <v>469</v>
      </c>
      <c r="J856" s="200">
        <v>6</v>
      </c>
      <c r="K856" s="243" t="s">
        <v>1041</v>
      </c>
      <c r="L856" s="284" t="s">
        <v>998</v>
      </c>
      <c r="M856" s="213">
        <v>128</v>
      </c>
      <c r="N856" s="202"/>
      <c r="O856" s="243" t="str">
        <f>VLOOKUP(Ruimtestaat[[#This Row],[Ruimte code]],Ruimtegroepen[#All],4,FALSE)</f>
        <v>V  (Verkeersruimte)</v>
      </c>
      <c r="P856" s="214"/>
      <c r="Q856" s="215">
        <v>40</v>
      </c>
      <c r="R856" s="215" t="s">
        <v>2</v>
      </c>
      <c r="S856" s="215">
        <f>IF(R856&gt;0,IF(RIGHT(Ruimtestaat[[#This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6" s="215">
        <f>IF(S856&gt;0,VLOOKUP($J856,Ruimtegroepen[],3,FALSE)*VLOOKUP($K856,Vloersoorten[],3,FALSE)*VLOOKUP($R856,Frequenties[],3,FALSE)*VLOOKUP($A856,Locaties[],3,FALSE),0)</f>
        <v>0</v>
      </c>
      <c r="U856" s="215">
        <f>Ruimtestaat[[#This Row],[Uitvoeringen werkdagen]]*Ruimtestaat[[#This Row],[Oppervlak (netto)]]</f>
        <v>25600</v>
      </c>
      <c r="V856" s="259">
        <f>IF(T856&gt;0,Ruimtestaat[[#This Row],[Prest. (m2 /jaar) werkdagen]]/Ruimtestaat[[#This Row],[Norm (m2/uur) werkdagen]],0)</f>
        <v>0</v>
      </c>
      <c r="W856" s="260">
        <f>Ruimtestaat[[#This Row],[uren / jaar werkdagen]]*Tariefsopbouw!$D$38</f>
        <v>0</v>
      </c>
      <c r="X856" s="33"/>
      <c r="Y856" s="33">
        <f>IF(Ruimtestaat[[#This Row],[Frequentie weekend]]&gt;0,VALUE(LEFT(X856,1))*Q856,0)</f>
        <v>0</v>
      </c>
      <c r="Z856" s="33">
        <f>IF($Y856&gt;0,VLOOKUP($J856,Ruimtegroepen[],3,FALSE)*VLOOKUP($K856,Vloersoorten[],3,FALSE)*VLOOKUP($X856,Frequenties[],3,FALSE)*VLOOKUP(#REF!,Locaties[],3,FALSE),0)</f>
        <v>0</v>
      </c>
      <c r="AA856" s="33"/>
      <c r="AB856" s="33"/>
      <c r="AC856" s="33">
        <f>Ruimtestaat[[#This Row],[uren / jaar weekend]]*Tariefsopbouw!$D$40</f>
        <v>0</v>
      </c>
      <c r="AD856" s="88">
        <f>Ruimtestaat[[#This Row],[Prest. (m2 /jaar) weekend]]+Ruimtestaat[[#This Row],[Prest. (m2 /jaar) werkdagen]]</f>
        <v>25600</v>
      </c>
      <c r="AE856" s="88">
        <f>Ruimtestaat[[#This Row],[uren / jaar weekend]]+Ruimtestaat[[#This Row],[uren / jaar werkdagen]]</f>
        <v>0</v>
      </c>
      <c r="AF856" s="89">
        <f>Ruimtestaat[[#This Row],[kosten / jaar weekend]]+Ruimtestaat[[#This Row],[kosten / jaar werkdagen]]</f>
        <v>0</v>
      </c>
    </row>
    <row r="857" spans="1:32" ht="15" customHeight="1">
      <c r="A857" s="280">
        <v>6</v>
      </c>
      <c r="B857" s="21" t="str">
        <f>VLOOKUP(Ruimtestaat[[#This Row],[Code]],Locaties[#All],2,FALSE)</f>
        <v>SGC Tubbergen</v>
      </c>
      <c r="C857" s="281" t="str">
        <f>VLOOKUP(Ruimtestaat[[#This Row],[Code]],Locaties[#All],4,FALSE)</f>
        <v>Huyerenseweg 1</v>
      </c>
      <c r="D857" s="281" t="str">
        <f>VLOOKUP(Ruimtestaat[[#This Row],[Code]],Locaties[#All],5,FALSE)</f>
        <v>7651 LR</v>
      </c>
      <c r="E857" s="281" t="str">
        <f>VLOOKUP(Ruimtestaat[[#This Row],[Code]],Locaties[#All],6,FALSE)</f>
        <v>Tubbergen</v>
      </c>
      <c r="F857" s="282"/>
      <c r="G857" s="201" t="s">
        <v>1014</v>
      </c>
      <c r="H857" s="280"/>
      <c r="I857" s="244" t="s">
        <v>272</v>
      </c>
      <c r="J857" s="200">
        <v>10</v>
      </c>
      <c r="K857" s="243" t="s">
        <v>1042</v>
      </c>
      <c r="L857" s="284" t="s">
        <v>1000</v>
      </c>
      <c r="M857" s="213">
        <v>2</v>
      </c>
      <c r="N857" s="202"/>
      <c r="O857" s="243" t="str">
        <f>VLOOKUP(Ruimtestaat[[#This Row],[Ruimte code]],Ruimtegroepen[#All],4,FALSE)</f>
        <v>V  (Verkeersruimte)</v>
      </c>
      <c r="P857" s="214"/>
      <c r="Q857" s="215">
        <v>40</v>
      </c>
      <c r="R857" s="215" t="s">
        <v>2</v>
      </c>
      <c r="S857" s="215">
        <f>IF(R857&gt;0,IF(RIGHT(Ruimtestaat[[#This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7" s="215">
        <f>IF(S857&gt;0,VLOOKUP($J857,Ruimtegroepen[],3,FALSE)*VLOOKUP($K857,Vloersoorten[],3,FALSE)*VLOOKUP($R857,Frequenties[],3,FALSE)*VLOOKUP($A857,Locaties[],3,FALSE),0)</f>
        <v>0</v>
      </c>
      <c r="U857" s="215">
        <f>Ruimtestaat[[#This Row],[Uitvoeringen werkdagen]]*Ruimtestaat[[#This Row],[Oppervlak (netto)]]</f>
        <v>400</v>
      </c>
      <c r="V857" s="259">
        <f>IF(T857&gt;0,Ruimtestaat[[#This Row],[Prest. (m2 /jaar) werkdagen]]/Ruimtestaat[[#This Row],[Norm (m2/uur) werkdagen]],0)</f>
        <v>0</v>
      </c>
      <c r="W857" s="260">
        <f>Ruimtestaat[[#This Row],[uren / jaar werkdagen]]*Tariefsopbouw!$D$38</f>
        <v>0</v>
      </c>
      <c r="X857" s="33"/>
      <c r="Y857" s="33">
        <f>IF(Ruimtestaat[[#This Row],[Frequentie weekend]]&gt;0,VALUE(LEFT(X857,1))*Q857,0)</f>
        <v>0</v>
      </c>
      <c r="Z857" s="33">
        <f>IF($Y857&gt;0,VLOOKUP($J857,Ruimtegroepen[],3,FALSE)*VLOOKUP($K857,Vloersoorten[],3,FALSE)*VLOOKUP($X857,Frequenties[],3,FALSE)*VLOOKUP(#REF!,Locaties[],3,FALSE),0)</f>
        <v>0</v>
      </c>
      <c r="AA857" s="33"/>
      <c r="AB857" s="33"/>
      <c r="AC857" s="33">
        <f>Ruimtestaat[[#This Row],[uren / jaar weekend]]*Tariefsopbouw!$D$40</f>
        <v>0</v>
      </c>
      <c r="AD857" s="88">
        <f>Ruimtestaat[[#This Row],[Prest. (m2 /jaar) weekend]]+Ruimtestaat[[#This Row],[Prest. (m2 /jaar) werkdagen]]</f>
        <v>400</v>
      </c>
      <c r="AE857" s="88">
        <f>Ruimtestaat[[#This Row],[uren / jaar weekend]]+Ruimtestaat[[#This Row],[uren / jaar werkdagen]]</f>
        <v>0</v>
      </c>
      <c r="AF857" s="89">
        <f>Ruimtestaat[[#This Row],[kosten / jaar weekend]]+Ruimtestaat[[#This Row],[kosten / jaar werkdagen]]</f>
        <v>0</v>
      </c>
    </row>
    <row r="858" spans="1:32" ht="15" customHeight="1">
      <c r="A858" s="280">
        <v>6</v>
      </c>
      <c r="B858" s="21" t="str">
        <f>VLOOKUP(Ruimtestaat[[#This Row],[Code]],Locaties[#All],2,FALSE)</f>
        <v>SGC Tubbergen</v>
      </c>
      <c r="C858" s="281" t="str">
        <f>VLOOKUP(Ruimtestaat[[#This Row],[Code]],Locaties[#All],4,FALSE)</f>
        <v>Huyerenseweg 1</v>
      </c>
      <c r="D858" s="281" t="str">
        <f>VLOOKUP(Ruimtestaat[[#This Row],[Code]],Locaties[#All],5,FALSE)</f>
        <v>7651 LR</v>
      </c>
      <c r="E858" s="281" t="str">
        <f>VLOOKUP(Ruimtestaat[[#This Row],[Code]],Locaties[#All],6,FALSE)</f>
        <v>Tubbergen</v>
      </c>
      <c r="F858" s="282"/>
      <c r="G858" s="201" t="s">
        <v>1015</v>
      </c>
      <c r="H858" s="280"/>
      <c r="I858" s="244" t="s">
        <v>721</v>
      </c>
      <c r="J858" s="200">
        <v>5</v>
      </c>
      <c r="K858" s="243" t="s">
        <v>1043</v>
      </c>
      <c r="L858" s="284" t="s">
        <v>997</v>
      </c>
      <c r="M858" s="213">
        <v>9.5</v>
      </c>
      <c r="N858" s="202"/>
      <c r="O858" s="243" t="str">
        <f>VLOOKUP(Ruimtestaat[[#This Row],[Ruimte code]],Ruimtegroepen[#All],4,FALSE)</f>
        <v>S  (Sanitair)</v>
      </c>
      <c r="P858" s="214"/>
      <c r="Q858" s="215">
        <v>40</v>
      </c>
      <c r="R858" s="215" t="s">
        <v>2</v>
      </c>
      <c r="S858" s="215">
        <f>IF(R858&gt;0,IF(RIGHT(Ruimtestaat[[#This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8" s="215">
        <f>IF(S858&gt;0,VLOOKUP($J858,Ruimtegroepen[],3,FALSE)*VLOOKUP($K858,Vloersoorten[],3,FALSE)*VLOOKUP($R858,Frequenties[],3,FALSE)*VLOOKUP($A858,Locaties[],3,FALSE),0)</f>
        <v>0</v>
      </c>
      <c r="U858" s="215">
        <f>Ruimtestaat[[#This Row],[Uitvoeringen werkdagen]]*Ruimtestaat[[#This Row],[Oppervlak (netto)]]</f>
        <v>1900</v>
      </c>
      <c r="V858" s="259">
        <f>IF(T858&gt;0,Ruimtestaat[[#This Row],[Prest. (m2 /jaar) werkdagen]]/Ruimtestaat[[#This Row],[Norm (m2/uur) werkdagen]],0)</f>
        <v>0</v>
      </c>
      <c r="W858" s="260">
        <f>Ruimtestaat[[#This Row],[uren / jaar werkdagen]]*Tariefsopbouw!$D$38</f>
        <v>0</v>
      </c>
      <c r="X858" s="33"/>
      <c r="Y858" s="33">
        <f>IF(Ruimtestaat[[#This Row],[Frequentie weekend]]&gt;0,VALUE(LEFT(X858,1))*Q858,0)</f>
        <v>0</v>
      </c>
      <c r="Z858" s="33">
        <f>IF($Y858&gt;0,VLOOKUP($J858,Ruimtegroepen[],3,FALSE)*VLOOKUP($K858,Vloersoorten[],3,FALSE)*VLOOKUP($X858,Frequenties[],3,FALSE)*VLOOKUP(#REF!,Locaties[],3,FALSE),0)</f>
        <v>0</v>
      </c>
      <c r="AA858" s="33"/>
      <c r="AB858" s="33"/>
      <c r="AC858" s="33">
        <f>Ruimtestaat[[#This Row],[uren / jaar weekend]]*Tariefsopbouw!$D$40</f>
        <v>0</v>
      </c>
      <c r="AD858" s="88">
        <f>Ruimtestaat[[#This Row],[Prest. (m2 /jaar) weekend]]+Ruimtestaat[[#This Row],[Prest. (m2 /jaar) werkdagen]]</f>
        <v>1900</v>
      </c>
      <c r="AE858" s="88">
        <f>Ruimtestaat[[#This Row],[uren / jaar weekend]]+Ruimtestaat[[#This Row],[uren / jaar werkdagen]]</f>
        <v>0</v>
      </c>
      <c r="AF858" s="89">
        <f>Ruimtestaat[[#This Row],[kosten / jaar weekend]]+Ruimtestaat[[#This Row],[kosten / jaar werkdagen]]</f>
        <v>0</v>
      </c>
    </row>
    <row r="859" spans="1:32" ht="15" customHeight="1">
      <c r="A859" s="280">
        <v>6</v>
      </c>
      <c r="B859" s="21" t="str">
        <f>VLOOKUP(Ruimtestaat[[#This Row],[Code]],Locaties[#All],2,FALSE)</f>
        <v>SGC Tubbergen</v>
      </c>
      <c r="C859" s="281" t="str">
        <f>VLOOKUP(Ruimtestaat[[#This Row],[Code]],Locaties[#All],4,FALSE)</f>
        <v>Huyerenseweg 1</v>
      </c>
      <c r="D859" s="281" t="str">
        <f>VLOOKUP(Ruimtestaat[[#This Row],[Code]],Locaties[#All],5,FALSE)</f>
        <v>7651 LR</v>
      </c>
      <c r="E859" s="281" t="str">
        <f>VLOOKUP(Ruimtestaat[[#This Row],[Code]],Locaties[#All],6,FALSE)</f>
        <v>Tubbergen</v>
      </c>
      <c r="F859" s="282"/>
      <c r="G859" s="201" t="s">
        <v>1016</v>
      </c>
      <c r="H859" s="280"/>
      <c r="I859" s="244" t="s">
        <v>721</v>
      </c>
      <c r="J859" s="281">
        <v>5</v>
      </c>
      <c r="K859" s="243" t="s">
        <v>1043</v>
      </c>
      <c r="L859" s="284" t="s">
        <v>997</v>
      </c>
      <c r="M859" s="213">
        <v>9.5</v>
      </c>
      <c r="N859" s="202"/>
      <c r="O859" s="243" t="str">
        <f>VLOOKUP(Ruimtestaat[[#This Row],[Ruimte code]],Ruimtegroepen[#All],4,FALSE)</f>
        <v>S  (Sanitair)</v>
      </c>
      <c r="P859" s="214"/>
      <c r="Q859" s="215">
        <v>40</v>
      </c>
      <c r="R859" s="215" t="s">
        <v>2</v>
      </c>
      <c r="S859" s="215">
        <f>IF(R859&gt;0,IF(RIGHT(Ruimtestaat[[#This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59" s="215">
        <f>IF(S859&gt;0,VLOOKUP($J859,Ruimtegroepen[],3,FALSE)*VLOOKUP($K859,Vloersoorten[],3,FALSE)*VLOOKUP($R859,Frequenties[],3,FALSE)*VLOOKUP($A859,Locaties[],3,FALSE),0)</f>
        <v>0</v>
      </c>
      <c r="U859" s="215">
        <f>Ruimtestaat[[#This Row],[Uitvoeringen werkdagen]]*Ruimtestaat[[#This Row],[Oppervlak (netto)]]</f>
        <v>1900</v>
      </c>
      <c r="V859" s="259">
        <f>IF(T859&gt;0,Ruimtestaat[[#This Row],[Prest. (m2 /jaar) werkdagen]]/Ruimtestaat[[#This Row],[Norm (m2/uur) werkdagen]],0)</f>
        <v>0</v>
      </c>
      <c r="W859" s="260">
        <f>Ruimtestaat[[#This Row],[uren / jaar werkdagen]]*Tariefsopbouw!$D$38</f>
        <v>0</v>
      </c>
      <c r="X859" s="33"/>
      <c r="Y859" s="33">
        <f>IF(Ruimtestaat[[#This Row],[Frequentie weekend]]&gt;0,VALUE(LEFT(X859,1))*Q859,0)</f>
        <v>0</v>
      </c>
      <c r="Z859" s="33">
        <f>IF($Y859&gt;0,VLOOKUP($J859,Ruimtegroepen[],3,FALSE)*VLOOKUP($K859,Vloersoorten[],3,FALSE)*VLOOKUP($X859,Frequenties[],3,FALSE)*VLOOKUP(#REF!,Locaties[],3,FALSE),0)</f>
        <v>0</v>
      </c>
      <c r="AA859" s="33"/>
      <c r="AB859" s="33"/>
      <c r="AC859" s="33">
        <f>Ruimtestaat[[#This Row],[uren / jaar weekend]]*Tariefsopbouw!$D$40</f>
        <v>0</v>
      </c>
      <c r="AD859" s="88">
        <f>Ruimtestaat[[#This Row],[Prest. (m2 /jaar) weekend]]+Ruimtestaat[[#This Row],[Prest. (m2 /jaar) werkdagen]]</f>
        <v>1900</v>
      </c>
      <c r="AE859" s="88">
        <f>Ruimtestaat[[#This Row],[uren / jaar weekend]]+Ruimtestaat[[#This Row],[uren / jaar werkdagen]]</f>
        <v>0</v>
      </c>
      <c r="AF859" s="89">
        <f>Ruimtestaat[[#This Row],[kosten / jaar weekend]]+Ruimtestaat[[#This Row],[kosten / jaar werkdagen]]</f>
        <v>0</v>
      </c>
    </row>
    <row r="860" spans="1:32" ht="15" customHeight="1">
      <c r="A860" s="280">
        <v>6</v>
      </c>
      <c r="B860" s="21" t="str">
        <f>VLOOKUP(Ruimtestaat[[#This Row],[Code]],Locaties[#All],2,FALSE)</f>
        <v>SGC Tubbergen</v>
      </c>
      <c r="C860" s="281" t="str">
        <f>VLOOKUP(Ruimtestaat[[#This Row],[Code]],Locaties[#All],4,FALSE)</f>
        <v>Huyerenseweg 1</v>
      </c>
      <c r="D860" s="281" t="str">
        <f>VLOOKUP(Ruimtestaat[[#This Row],[Code]],Locaties[#All],5,FALSE)</f>
        <v>7651 LR</v>
      </c>
      <c r="E860" s="281" t="str">
        <f>VLOOKUP(Ruimtestaat[[#This Row],[Code]],Locaties[#All],6,FALSE)</f>
        <v>Tubbergen</v>
      </c>
      <c r="F860" s="282"/>
      <c r="G860" s="201" t="s">
        <v>1017</v>
      </c>
      <c r="H860" s="280"/>
      <c r="I860" s="244" t="s">
        <v>721</v>
      </c>
      <c r="J860" s="243">
        <v>5</v>
      </c>
      <c r="K860" s="243" t="s">
        <v>1043</v>
      </c>
      <c r="L860" s="284" t="s">
        <v>997</v>
      </c>
      <c r="M860" s="213">
        <v>1.8</v>
      </c>
      <c r="N860" s="202"/>
      <c r="O860" s="243" t="str">
        <f>VLOOKUP(Ruimtestaat[[#This Row],[Ruimte code]],Ruimtegroepen[#All],4,FALSE)</f>
        <v>S  (Sanitair)</v>
      </c>
      <c r="P860" s="214"/>
      <c r="Q860" s="215">
        <v>40</v>
      </c>
      <c r="R860" s="215" t="s">
        <v>2</v>
      </c>
      <c r="S860" s="215">
        <f>IF(R860&gt;0,IF(RIGHT(Ruimtestaat[[#This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0" s="215">
        <f>IF(S860&gt;0,VLOOKUP($J860,Ruimtegroepen[],3,FALSE)*VLOOKUP($K860,Vloersoorten[],3,FALSE)*VLOOKUP($R860,Frequenties[],3,FALSE)*VLOOKUP($A860,Locaties[],3,FALSE),0)</f>
        <v>0</v>
      </c>
      <c r="U860" s="215">
        <f>Ruimtestaat[[#This Row],[Uitvoeringen werkdagen]]*Ruimtestaat[[#This Row],[Oppervlak (netto)]]</f>
        <v>360</v>
      </c>
      <c r="V860" s="259">
        <f>IF(T860&gt;0,Ruimtestaat[[#This Row],[Prest. (m2 /jaar) werkdagen]]/Ruimtestaat[[#This Row],[Norm (m2/uur) werkdagen]],0)</f>
        <v>0</v>
      </c>
      <c r="W860" s="260">
        <f>Ruimtestaat[[#This Row],[uren / jaar werkdagen]]*Tariefsopbouw!$D$38</f>
        <v>0</v>
      </c>
      <c r="X860" s="33"/>
      <c r="Y860" s="33">
        <f>IF(Ruimtestaat[[#This Row],[Frequentie weekend]]&gt;0,VALUE(LEFT(X860,1))*Q860,0)</f>
        <v>0</v>
      </c>
      <c r="Z860" s="33">
        <f>IF($Y860&gt;0,VLOOKUP($J860,Ruimtegroepen[],3,FALSE)*VLOOKUP($K860,Vloersoorten[],3,FALSE)*VLOOKUP($X860,Frequenties[],3,FALSE)*VLOOKUP(#REF!,Locaties[],3,FALSE),0)</f>
        <v>0</v>
      </c>
      <c r="AA860" s="33"/>
      <c r="AB860" s="33"/>
      <c r="AC860" s="33">
        <f>Ruimtestaat[[#This Row],[uren / jaar weekend]]*Tariefsopbouw!$D$40</f>
        <v>0</v>
      </c>
      <c r="AD860" s="88">
        <f>Ruimtestaat[[#This Row],[Prest. (m2 /jaar) weekend]]+Ruimtestaat[[#This Row],[Prest. (m2 /jaar) werkdagen]]</f>
        <v>360</v>
      </c>
      <c r="AE860" s="88">
        <f>Ruimtestaat[[#This Row],[uren / jaar weekend]]+Ruimtestaat[[#This Row],[uren / jaar werkdagen]]</f>
        <v>0</v>
      </c>
      <c r="AF860" s="89">
        <f>Ruimtestaat[[#This Row],[kosten / jaar weekend]]+Ruimtestaat[[#This Row],[kosten / jaar werkdagen]]</f>
        <v>0</v>
      </c>
    </row>
    <row r="861" spans="1:32" ht="15" customHeight="1">
      <c r="A861" s="280">
        <v>6</v>
      </c>
      <c r="B861" s="21" t="str">
        <f>VLOOKUP(Ruimtestaat[[#This Row],[Code]],Locaties[#All],2,FALSE)</f>
        <v>SGC Tubbergen</v>
      </c>
      <c r="C861" s="281" t="str">
        <f>VLOOKUP(Ruimtestaat[[#This Row],[Code]],Locaties[#All],4,FALSE)</f>
        <v>Huyerenseweg 1</v>
      </c>
      <c r="D861" s="281" t="str">
        <f>VLOOKUP(Ruimtestaat[[#This Row],[Code]],Locaties[#All],5,FALSE)</f>
        <v>7651 LR</v>
      </c>
      <c r="E861" s="281" t="str">
        <f>VLOOKUP(Ruimtestaat[[#This Row],[Code]],Locaties[#All],6,FALSE)</f>
        <v>Tubbergen</v>
      </c>
      <c r="F861" s="282"/>
      <c r="G861" s="201" t="s">
        <v>1018</v>
      </c>
      <c r="H861" s="280"/>
      <c r="I861" s="244" t="s">
        <v>457</v>
      </c>
      <c r="J861" s="200">
        <v>10</v>
      </c>
      <c r="K861" s="243" t="s">
        <v>1043</v>
      </c>
      <c r="L861" s="284" t="s">
        <v>997</v>
      </c>
      <c r="M861" s="213">
        <v>21.8</v>
      </c>
      <c r="N861" s="202"/>
      <c r="O861" s="243" t="str">
        <f>VLOOKUP(Ruimtestaat[[#This Row],[Ruimte code]],Ruimtegroepen[#All],4,FALSE)</f>
        <v>V  (Verkeersruimte)</v>
      </c>
      <c r="P861" s="214"/>
      <c r="Q861" s="215">
        <v>40</v>
      </c>
      <c r="R861" s="215" t="s">
        <v>2</v>
      </c>
      <c r="S861" s="215">
        <f>IF(R861&gt;0,IF(RIGHT(Ruimtestaat[[#This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1" s="215">
        <f>IF(S861&gt;0,VLOOKUP($J861,Ruimtegroepen[],3,FALSE)*VLOOKUP($K861,Vloersoorten[],3,FALSE)*VLOOKUP($R861,Frequenties[],3,FALSE)*VLOOKUP($A861,Locaties[],3,FALSE),0)</f>
        <v>0</v>
      </c>
      <c r="U861" s="215">
        <f>Ruimtestaat[[#This Row],[Uitvoeringen werkdagen]]*Ruimtestaat[[#This Row],[Oppervlak (netto)]]</f>
        <v>4360</v>
      </c>
      <c r="V861" s="259">
        <f>IF(T861&gt;0,Ruimtestaat[[#This Row],[Prest. (m2 /jaar) werkdagen]]/Ruimtestaat[[#This Row],[Norm (m2/uur) werkdagen]],0)</f>
        <v>0</v>
      </c>
      <c r="W861" s="260">
        <f>Ruimtestaat[[#This Row],[uren / jaar werkdagen]]*Tariefsopbouw!$D$38</f>
        <v>0</v>
      </c>
      <c r="X861" s="33"/>
      <c r="Y861" s="33">
        <f>IF(Ruimtestaat[[#This Row],[Frequentie weekend]]&gt;0,VALUE(LEFT(X861,1))*Q861,0)</f>
        <v>0</v>
      </c>
      <c r="Z861" s="33">
        <f>IF($Y861&gt;0,VLOOKUP($J861,Ruimtegroepen[],3,FALSE)*VLOOKUP($K861,Vloersoorten[],3,FALSE)*VLOOKUP($X861,Frequenties[],3,FALSE)*VLOOKUP(#REF!,Locaties[],3,FALSE),0)</f>
        <v>0</v>
      </c>
      <c r="AA861" s="33"/>
      <c r="AB861" s="33"/>
      <c r="AC861" s="33">
        <f>Ruimtestaat[[#This Row],[uren / jaar weekend]]*Tariefsopbouw!$D$40</f>
        <v>0</v>
      </c>
      <c r="AD861" s="88">
        <f>Ruimtestaat[[#This Row],[Prest. (m2 /jaar) weekend]]+Ruimtestaat[[#This Row],[Prest. (m2 /jaar) werkdagen]]</f>
        <v>4360</v>
      </c>
      <c r="AE861" s="88">
        <f>Ruimtestaat[[#This Row],[uren / jaar weekend]]+Ruimtestaat[[#This Row],[uren / jaar werkdagen]]</f>
        <v>0</v>
      </c>
      <c r="AF861" s="89">
        <f>Ruimtestaat[[#This Row],[kosten / jaar weekend]]+Ruimtestaat[[#This Row],[kosten / jaar werkdagen]]</f>
        <v>0</v>
      </c>
    </row>
    <row r="862" spans="1:32" ht="15" customHeight="1">
      <c r="A862" s="280">
        <v>6</v>
      </c>
      <c r="B862" s="21" t="str">
        <f>VLOOKUP(Ruimtestaat[[#This Row],[Code]],Locaties[#All],2,FALSE)</f>
        <v>SGC Tubbergen</v>
      </c>
      <c r="C862" s="281" t="str">
        <f>VLOOKUP(Ruimtestaat[[#This Row],[Code]],Locaties[#All],4,FALSE)</f>
        <v>Huyerenseweg 1</v>
      </c>
      <c r="D862" s="281" t="str">
        <f>VLOOKUP(Ruimtestaat[[#This Row],[Code]],Locaties[#All],5,FALSE)</f>
        <v>7651 LR</v>
      </c>
      <c r="E862" s="281" t="str">
        <f>VLOOKUP(Ruimtestaat[[#This Row],[Code]],Locaties[#All],6,FALSE)</f>
        <v>Tubbergen</v>
      </c>
      <c r="F862" s="282"/>
      <c r="G862" s="201" t="s">
        <v>1019</v>
      </c>
      <c r="H862" s="280"/>
      <c r="I862" s="244" t="s">
        <v>469</v>
      </c>
      <c r="J862" s="200">
        <v>6</v>
      </c>
      <c r="K862" s="243" t="s">
        <v>1041</v>
      </c>
      <c r="L862" s="284" t="s">
        <v>998</v>
      </c>
      <c r="M862" s="213">
        <v>35</v>
      </c>
      <c r="N862" s="202"/>
      <c r="O862" s="243" t="str">
        <f>VLOOKUP(Ruimtestaat[[#This Row],[Ruimte code]],Ruimtegroepen[#All],4,FALSE)</f>
        <v>V  (Verkeersruimte)</v>
      </c>
      <c r="P862" s="214"/>
      <c r="Q862" s="215">
        <v>40</v>
      </c>
      <c r="R862" s="215" t="s">
        <v>2</v>
      </c>
      <c r="S862" s="215">
        <f>IF(R862&gt;0,IF(RIGHT(Ruimtestaat[[#This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2" s="215">
        <f>IF(S862&gt;0,VLOOKUP($J862,Ruimtegroepen[],3,FALSE)*VLOOKUP($K862,Vloersoorten[],3,FALSE)*VLOOKUP($R862,Frequenties[],3,FALSE)*VLOOKUP($A862,Locaties[],3,FALSE),0)</f>
        <v>0</v>
      </c>
      <c r="U862" s="215">
        <f>Ruimtestaat[[#This Row],[Uitvoeringen werkdagen]]*Ruimtestaat[[#This Row],[Oppervlak (netto)]]</f>
        <v>7000</v>
      </c>
      <c r="V862" s="259">
        <f>IF(T862&gt;0,Ruimtestaat[[#This Row],[Prest. (m2 /jaar) werkdagen]]/Ruimtestaat[[#This Row],[Norm (m2/uur) werkdagen]],0)</f>
        <v>0</v>
      </c>
      <c r="W862" s="260">
        <f>Ruimtestaat[[#This Row],[uren / jaar werkdagen]]*Tariefsopbouw!$D$38</f>
        <v>0</v>
      </c>
      <c r="X862" s="33"/>
      <c r="Y862" s="33">
        <f>IF(Ruimtestaat[[#This Row],[Frequentie weekend]]&gt;0,VALUE(LEFT(X862,1))*Q862,0)</f>
        <v>0</v>
      </c>
      <c r="Z862" s="33">
        <f>IF($Y862&gt;0,VLOOKUP($J862,Ruimtegroepen[],3,FALSE)*VLOOKUP($K862,Vloersoorten[],3,FALSE)*VLOOKUP($X862,Frequenties[],3,FALSE)*VLOOKUP(#REF!,Locaties[],3,FALSE),0)</f>
        <v>0</v>
      </c>
      <c r="AA862" s="33"/>
      <c r="AB862" s="33"/>
      <c r="AC862" s="33">
        <f>Ruimtestaat[[#This Row],[uren / jaar weekend]]*Tariefsopbouw!$D$40</f>
        <v>0</v>
      </c>
      <c r="AD862" s="88">
        <f>Ruimtestaat[[#This Row],[Prest. (m2 /jaar) weekend]]+Ruimtestaat[[#This Row],[Prest. (m2 /jaar) werkdagen]]</f>
        <v>7000</v>
      </c>
      <c r="AE862" s="88">
        <f>Ruimtestaat[[#This Row],[uren / jaar weekend]]+Ruimtestaat[[#This Row],[uren / jaar werkdagen]]</f>
        <v>0</v>
      </c>
      <c r="AF862" s="89">
        <f>Ruimtestaat[[#This Row],[kosten / jaar weekend]]+Ruimtestaat[[#This Row],[kosten / jaar werkdagen]]</f>
        <v>0</v>
      </c>
    </row>
    <row r="863" spans="1:32" ht="15" customHeight="1">
      <c r="A863" s="280">
        <v>6</v>
      </c>
      <c r="B863" s="21" t="str">
        <f>VLOOKUP(Ruimtestaat[[#This Row],[Code]],Locaties[#All],2,FALSE)</f>
        <v>SGC Tubbergen</v>
      </c>
      <c r="C863" s="281" t="str">
        <f>VLOOKUP(Ruimtestaat[[#This Row],[Code]],Locaties[#All],4,FALSE)</f>
        <v>Huyerenseweg 1</v>
      </c>
      <c r="D863" s="281" t="str">
        <f>VLOOKUP(Ruimtestaat[[#This Row],[Code]],Locaties[#All],5,FALSE)</f>
        <v>7651 LR</v>
      </c>
      <c r="E863" s="281" t="str">
        <f>VLOOKUP(Ruimtestaat[[#This Row],[Code]],Locaties[#All],6,FALSE)</f>
        <v>Tubbergen</v>
      </c>
      <c r="F863" s="282"/>
      <c r="G863" s="201" t="s">
        <v>1020</v>
      </c>
      <c r="H863" s="280"/>
      <c r="I863" s="244" t="s">
        <v>1039</v>
      </c>
      <c r="J863" s="200">
        <v>8</v>
      </c>
      <c r="K863" s="243" t="s">
        <v>1040</v>
      </c>
      <c r="L863" s="284" t="s">
        <v>999</v>
      </c>
      <c r="M863" s="213">
        <v>69.5</v>
      </c>
      <c r="N863" s="202"/>
      <c r="O863" s="243" t="str">
        <f>VLOOKUP(Ruimtestaat[[#This Row],[Ruimte code]],Ruimtegroepen[#All],4,FALSE)</f>
        <v>L  (Lesruimte)</v>
      </c>
      <c r="P863" s="214"/>
      <c r="Q863" s="215">
        <v>40</v>
      </c>
      <c r="R863" s="215" t="s">
        <v>2</v>
      </c>
      <c r="S863" s="215">
        <f>IF(R863&gt;0,IF(RIGHT(Ruimtestaat[[#This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3" s="215">
        <f>IF(S863&gt;0,VLOOKUP($J863,Ruimtegroepen[],3,FALSE)*VLOOKUP($K863,Vloersoorten[],3,FALSE)*VLOOKUP($R863,Frequenties[],3,FALSE)*VLOOKUP($A863,Locaties[],3,FALSE),0)</f>
        <v>0</v>
      </c>
      <c r="U863" s="215">
        <f>Ruimtestaat[[#This Row],[Uitvoeringen werkdagen]]*Ruimtestaat[[#This Row],[Oppervlak (netto)]]</f>
        <v>13900</v>
      </c>
      <c r="V863" s="259">
        <f>IF(T863&gt;0,Ruimtestaat[[#This Row],[Prest. (m2 /jaar) werkdagen]]/Ruimtestaat[[#This Row],[Norm (m2/uur) werkdagen]],0)</f>
        <v>0</v>
      </c>
      <c r="W863" s="260">
        <f>Ruimtestaat[[#This Row],[uren / jaar werkdagen]]*Tariefsopbouw!$D$38</f>
        <v>0</v>
      </c>
      <c r="X863" s="33"/>
      <c r="Y863" s="33">
        <f>IF(Ruimtestaat[[#This Row],[Frequentie weekend]]&gt;0,VALUE(LEFT(X863,1))*Q863,0)</f>
        <v>0</v>
      </c>
      <c r="Z863" s="33">
        <f>IF($Y863&gt;0,VLOOKUP($J863,Ruimtegroepen[],3,FALSE)*VLOOKUP($K863,Vloersoorten[],3,FALSE)*VLOOKUP($X863,Frequenties[],3,FALSE)*VLOOKUP(#REF!,Locaties[],3,FALSE),0)</f>
        <v>0</v>
      </c>
      <c r="AA863" s="33"/>
      <c r="AB863" s="33"/>
      <c r="AC863" s="33">
        <f>Ruimtestaat[[#This Row],[uren / jaar weekend]]*Tariefsopbouw!$D$40</f>
        <v>0</v>
      </c>
      <c r="AD863" s="88">
        <f>Ruimtestaat[[#This Row],[Prest. (m2 /jaar) weekend]]+Ruimtestaat[[#This Row],[Prest. (m2 /jaar) werkdagen]]</f>
        <v>13900</v>
      </c>
      <c r="AE863" s="88">
        <f>Ruimtestaat[[#This Row],[uren / jaar weekend]]+Ruimtestaat[[#This Row],[uren / jaar werkdagen]]</f>
        <v>0</v>
      </c>
      <c r="AF863" s="89">
        <f>Ruimtestaat[[#This Row],[kosten / jaar weekend]]+Ruimtestaat[[#This Row],[kosten / jaar werkdagen]]</f>
        <v>0</v>
      </c>
    </row>
    <row r="864" spans="1:32" ht="15" customHeight="1">
      <c r="A864" s="280">
        <v>6</v>
      </c>
      <c r="B864" s="21" t="str">
        <f>VLOOKUP(Ruimtestaat[[#This Row],[Code]],Locaties[#All],2,FALSE)</f>
        <v>SGC Tubbergen</v>
      </c>
      <c r="C864" s="281" t="str">
        <f>VLOOKUP(Ruimtestaat[[#This Row],[Code]],Locaties[#All],4,FALSE)</f>
        <v>Huyerenseweg 1</v>
      </c>
      <c r="D864" s="281" t="str">
        <f>VLOOKUP(Ruimtestaat[[#This Row],[Code]],Locaties[#All],5,FALSE)</f>
        <v>7651 LR</v>
      </c>
      <c r="E864" s="281" t="str">
        <f>VLOOKUP(Ruimtestaat[[#This Row],[Code]],Locaties[#All],6,FALSE)</f>
        <v>Tubbergen</v>
      </c>
      <c r="F864" s="282"/>
      <c r="G864" s="201" t="s">
        <v>1021</v>
      </c>
      <c r="H864" s="280" t="s">
        <v>984</v>
      </c>
      <c r="I864" s="244" t="s">
        <v>487</v>
      </c>
      <c r="J864" s="200">
        <v>2</v>
      </c>
      <c r="K864" s="243" t="s">
        <v>1040</v>
      </c>
      <c r="L864" s="284" t="s">
        <v>999</v>
      </c>
      <c r="M864" s="213">
        <v>18</v>
      </c>
      <c r="N864" s="202"/>
      <c r="O864" s="243" t="str">
        <f>VLOOKUP(Ruimtestaat[[#This Row],[Ruimte code]],Ruimtegroepen[#All],4,FALSE)</f>
        <v>B  (Bureauruimte)</v>
      </c>
      <c r="P864" s="214"/>
      <c r="Q864" s="215">
        <v>40</v>
      </c>
      <c r="R864" s="215" t="s">
        <v>17</v>
      </c>
      <c r="S864" s="215">
        <f>IF(R864&gt;0,IF(RIGHT(Ruimtestaat[[#This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4" s="215">
        <f>IF(S864&gt;0,VLOOKUP($J864,Ruimtegroepen[],3,FALSE)*VLOOKUP($K864,Vloersoorten[],3,FALSE)*VLOOKUP($R864,Frequenties[],3,FALSE)*VLOOKUP($A864,Locaties[],3,FALSE),0)</f>
        <v>0</v>
      </c>
      <c r="U864" s="215">
        <f>Ruimtestaat[[#This Row],[Uitvoeringen werkdagen]]*Ruimtestaat[[#This Row],[Oppervlak (netto)]]</f>
        <v>1440</v>
      </c>
      <c r="V864" s="259">
        <f>IF(T864&gt;0,Ruimtestaat[[#This Row],[Prest. (m2 /jaar) werkdagen]]/Ruimtestaat[[#This Row],[Norm (m2/uur) werkdagen]],0)</f>
        <v>0</v>
      </c>
      <c r="W864" s="260">
        <f>Ruimtestaat[[#This Row],[uren / jaar werkdagen]]*Tariefsopbouw!$D$38</f>
        <v>0</v>
      </c>
      <c r="X864" s="33"/>
      <c r="Y864" s="33">
        <f>IF(Ruimtestaat[[#This Row],[Frequentie weekend]]&gt;0,VALUE(LEFT(X864,1))*Q864,0)</f>
        <v>0</v>
      </c>
      <c r="Z864" s="33">
        <f>IF($Y864&gt;0,VLOOKUP($J864,Ruimtegroepen[],3,FALSE)*VLOOKUP($K864,Vloersoorten[],3,FALSE)*VLOOKUP($X864,Frequenties[],3,FALSE)*VLOOKUP(#REF!,Locaties[],3,FALSE),0)</f>
        <v>0</v>
      </c>
      <c r="AA864" s="33"/>
      <c r="AB864" s="33"/>
      <c r="AC864" s="33">
        <f>Ruimtestaat[[#This Row],[uren / jaar weekend]]*Tariefsopbouw!$D$40</f>
        <v>0</v>
      </c>
      <c r="AD864" s="88">
        <f>Ruimtestaat[[#This Row],[Prest. (m2 /jaar) weekend]]+Ruimtestaat[[#This Row],[Prest. (m2 /jaar) werkdagen]]</f>
        <v>1440</v>
      </c>
      <c r="AE864" s="88">
        <f>Ruimtestaat[[#This Row],[uren / jaar weekend]]+Ruimtestaat[[#This Row],[uren / jaar werkdagen]]</f>
        <v>0</v>
      </c>
      <c r="AF864" s="89">
        <f>Ruimtestaat[[#This Row],[kosten / jaar weekend]]+Ruimtestaat[[#This Row],[kosten / jaar werkdagen]]</f>
        <v>0</v>
      </c>
    </row>
    <row r="865" spans="1:32" ht="15" customHeight="1">
      <c r="A865" s="280">
        <v>6</v>
      </c>
      <c r="B865" s="21" t="str">
        <f>VLOOKUP(Ruimtestaat[[#This Row],[Code]],Locaties[#All],2,FALSE)</f>
        <v>SGC Tubbergen</v>
      </c>
      <c r="C865" s="281" t="str">
        <f>VLOOKUP(Ruimtestaat[[#This Row],[Code]],Locaties[#All],4,FALSE)</f>
        <v>Huyerenseweg 1</v>
      </c>
      <c r="D865" s="281" t="str">
        <f>VLOOKUP(Ruimtestaat[[#This Row],[Code]],Locaties[#All],5,FALSE)</f>
        <v>7651 LR</v>
      </c>
      <c r="E865" s="281" t="str">
        <f>VLOOKUP(Ruimtestaat[[#This Row],[Code]],Locaties[#All],6,FALSE)</f>
        <v>Tubbergen</v>
      </c>
      <c r="F865" s="282"/>
      <c r="G865" s="201" t="s">
        <v>1022</v>
      </c>
      <c r="H865" s="280" t="s">
        <v>985</v>
      </c>
      <c r="I865" s="244" t="s">
        <v>487</v>
      </c>
      <c r="J865" s="200">
        <v>2</v>
      </c>
      <c r="K865" s="243" t="s">
        <v>1040</v>
      </c>
      <c r="L865" s="284" t="s">
        <v>999</v>
      </c>
      <c r="M865" s="213">
        <v>14</v>
      </c>
      <c r="N865" s="202"/>
      <c r="O865" s="243" t="str">
        <f>VLOOKUP(Ruimtestaat[[#This Row],[Ruimte code]],Ruimtegroepen[#All],4,FALSE)</f>
        <v>B  (Bureauruimte)</v>
      </c>
      <c r="P865" s="214"/>
      <c r="Q865" s="215">
        <v>40</v>
      </c>
      <c r="R865" s="215" t="s">
        <v>17</v>
      </c>
      <c r="S865" s="215">
        <f>IF(R865&gt;0,IF(RIGHT(Ruimtestaat[[#This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5" s="215">
        <f>IF(S865&gt;0,VLOOKUP($J865,Ruimtegroepen[],3,FALSE)*VLOOKUP($K865,Vloersoorten[],3,FALSE)*VLOOKUP($R865,Frequenties[],3,FALSE)*VLOOKUP($A865,Locaties[],3,FALSE),0)</f>
        <v>0</v>
      </c>
      <c r="U865" s="215">
        <f>Ruimtestaat[[#This Row],[Uitvoeringen werkdagen]]*Ruimtestaat[[#This Row],[Oppervlak (netto)]]</f>
        <v>1120</v>
      </c>
      <c r="V865" s="259">
        <f>IF(T865&gt;0,Ruimtestaat[[#This Row],[Prest. (m2 /jaar) werkdagen]]/Ruimtestaat[[#This Row],[Norm (m2/uur) werkdagen]],0)</f>
        <v>0</v>
      </c>
      <c r="W865" s="260">
        <f>Ruimtestaat[[#This Row],[uren / jaar werkdagen]]*Tariefsopbouw!$D$38</f>
        <v>0</v>
      </c>
      <c r="X865" s="33"/>
      <c r="Y865" s="33">
        <f>IF(Ruimtestaat[[#This Row],[Frequentie weekend]]&gt;0,VALUE(LEFT(X865,1))*Q865,0)</f>
        <v>0</v>
      </c>
      <c r="Z865" s="33">
        <f>IF($Y865&gt;0,VLOOKUP($J865,Ruimtegroepen[],3,FALSE)*VLOOKUP($K865,Vloersoorten[],3,FALSE)*VLOOKUP($X865,Frequenties[],3,FALSE)*VLOOKUP(#REF!,Locaties[],3,FALSE),0)</f>
        <v>0</v>
      </c>
      <c r="AA865" s="33"/>
      <c r="AB865" s="33"/>
      <c r="AC865" s="33">
        <f>Ruimtestaat[[#This Row],[uren / jaar weekend]]*Tariefsopbouw!$D$40</f>
        <v>0</v>
      </c>
      <c r="AD865" s="88">
        <f>Ruimtestaat[[#This Row],[Prest. (m2 /jaar) weekend]]+Ruimtestaat[[#This Row],[Prest. (m2 /jaar) werkdagen]]</f>
        <v>1120</v>
      </c>
      <c r="AE865" s="88">
        <f>Ruimtestaat[[#This Row],[uren / jaar weekend]]+Ruimtestaat[[#This Row],[uren / jaar werkdagen]]</f>
        <v>0</v>
      </c>
      <c r="AF865" s="89">
        <f>Ruimtestaat[[#This Row],[kosten / jaar weekend]]+Ruimtestaat[[#This Row],[kosten / jaar werkdagen]]</f>
        <v>0</v>
      </c>
    </row>
    <row r="866" spans="1:32" ht="15" customHeight="1">
      <c r="A866" s="280">
        <v>6</v>
      </c>
      <c r="B866" s="21" t="str">
        <f>VLOOKUP(Ruimtestaat[[#This Row],[Code]],Locaties[#All],2,FALSE)</f>
        <v>SGC Tubbergen</v>
      </c>
      <c r="C866" s="281" t="str">
        <f>VLOOKUP(Ruimtestaat[[#This Row],[Code]],Locaties[#All],4,FALSE)</f>
        <v>Huyerenseweg 1</v>
      </c>
      <c r="D866" s="281" t="str">
        <f>VLOOKUP(Ruimtestaat[[#This Row],[Code]],Locaties[#All],5,FALSE)</f>
        <v>7651 LR</v>
      </c>
      <c r="E866" s="281" t="str">
        <f>VLOOKUP(Ruimtestaat[[#This Row],[Code]],Locaties[#All],6,FALSE)</f>
        <v>Tubbergen</v>
      </c>
      <c r="F866" s="282"/>
      <c r="G866" s="201" t="s">
        <v>1023</v>
      </c>
      <c r="H866" s="280" t="s">
        <v>986</v>
      </c>
      <c r="I866" s="244" t="s">
        <v>487</v>
      </c>
      <c r="J866" s="200">
        <v>2</v>
      </c>
      <c r="K866" s="243" t="s">
        <v>1040</v>
      </c>
      <c r="L866" s="284" t="s">
        <v>999</v>
      </c>
      <c r="M866" s="213">
        <v>10</v>
      </c>
      <c r="N866" s="202"/>
      <c r="O866" s="243" t="str">
        <f>VLOOKUP(Ruimtestaat[[#This Row],[Ruimte code]],Ruimtegroepen[#All],4,FALSE)</f>
        <v>B  (Bureauruimte)</v>
      </c>
      <c r="P866" s="214"/>
      <c r="Q866" s="215">
        <v>40</v>
      </c>
      <c r="R866" s="215" t="s">
        <v>17</v>
      </c>
      <c r="S866" s="215">
        <f>IF(R866&gt;0,IF(RIGHT(Ruimtestaat[[#This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6" s="215">
        <f>IF(S866&gt;0,VLOOKUP($J866,Ruimtegroepen[],3,FALSE)*VLOOKUP($K866,Vloersoorten[],3,FALSE)*VLOOKUP($R866,Frequenties[],3,FALSE)*VLOOKUP($A866,Locaties[],3,FALSE),0)</f>
        <v>0</v>
      </c>
      <c r="U866" s="215">
        <f>Ruimtestaat[[#This Row],[Uitvoeringen werkdagen]]*Ruimtestaat[[#This Row],[Oppervlak (netto)]]</f>
        <v>800</v>
      </c>
      <c r="V866" s="259">
        <f>IF(T866&gt;0,Ruimtestaat[[#This Row],[Prest. (m2 /jaar) werkdagen]]/Ruimtestaat[[#This Row],[Norm (m2/uur) werkdagen]],0)</f>
        <v>0</v>
      </c>
      <c r="W866" s="260">
        <f>Ruimtestaat[[#This Row],[uren / jaar werkdagen]]*Tariefsopbouw!$D$38</f>
        <v>0</v>
      </c>
      <c r="X866" s="33"/>
      <c r="Y866" s="33">
        <f>IF(Ruimtestaat[[#This Row],[Frequentie weekend]]&gt;0,VALUE(LEFT(X866,1))*Q866,0)</f>
        <v>0</v>
      </c>
      <c r="Z866" s="33">
        <f>IF($Y866&gt;0,VLOOKUP($J866,Ruimtegroepen[],3,FALSE)*VLOOKUP($K866,Vloersoorten[],3,FALSE)*VLOOKUP($X866,Frequenties[],3,FALSE)*VLOOKUP(#REF!,Locaties[],3,FALSE),0)</f>
        <v>0</v>
      </c>
      <c r="AA866" s="33"/>
      <c r="AB866" s="33"/>
      <c r="AC866" s="33">
        <f>Ruimtestaat[[#This Row],[uren / jaar weekend]]*Tariefsopbouw!$D$40</f>
        <v>0</v>
      </c>
      <c r="AD866" s="88">
        <f>Ruimtestaat[[#This Row],[Prest. (m2 /jaar) weekend]]+Ruimtestaat[[#This Row],[Prest. (m2 /jaar) werkdagen]]</f>
        <v>800</v>
      </c>
      <c r="AE866" s="88">
        <f>Ruimtestaat[[#This Row],[uren / jaar weekend]]+Ruimtestaat[[#This Row],[uren / jaar werkdagen]]</f>
        <v>0</v>
      </c>
      <c r="AF866" s="89">
        <f>Ruimtestaat[[#This Row],[kosten / jaar weekend]]+Ruimtestaat[[#This Row],[kosten / jaar werkdagen]]</f>
        <v>0</v>
      </c>
    </row>
    <row r="867" spans="1:32" ht="15" customHeight="1">
      <c r="A867" s="280">
        <v>6</v>
      </c>
      <c r="B867" s="21" t="str">
        <f>VLOOKUP(Ruimtestaat[[#This Row],[Code]],Locaties[#All],2,FALSE)</f>
        <v>SGC Tubbergen</v>
      </c>
      <c r="C867" s="281" t="str">
        <f>VLOOKUP(Ruimtestaat[[#This Row],[Code]],Locaties[#All],4,FALSE)</f>
        <v>Huyerenseweg 1</v>
      </c>
      <c r="D867" s="281" t="str">
        <f>VLOOKUP(Ruimtestaat[[#This Row],[Code]],Locaties[#All],5,FALSE)</f>
        <v>7651 LR</v>
      </c>
      <c r="E867" s="281" t="str">
        <f>VLOOKUP(Ruimtestaat[[#This Row],[Code]],Locaties[#All],6,FALSE)</f>
        <v>Tubbergen</v>
      </c>
      <c r="F867" s="282"/>
      <c r="G867" s="201" t="s">
        <v>1024</v>
      </c>
      <c r="H867" s="280"/>
      <c r="I867" s="244" t="s">
        <v>487</v>
      </c>
      <c r="J867" s="200">
        <v>2</v>
      </c>
      <c r="K867" s="243" t="s">
        <v>1040</v>
      </c>
      <c r="L867" s="284" t="s">
        <v>999</v>
      </c>
      <c r="M867" s="213">
        <v>26</v>
      </c>
      <c r="N867" s="202"/>
      <c r="O867" s="243" t="str">
        <f>VLOOKUP(Ruimtestaat[[#This Row],[Ruimte code]],Ruimtegroepen[#All],4,FALSE)</f>
        <v>B  (Bureauruimte)</v>
      </c>
      <c r="P867" s="214"/>
      <c r="Q867" s="215">
        <v>40</v>
      </c>
      <c r="R867" s="215" t="s">
        <v>17</v>
      </c>
      <c r="S867" s="215">
        <f>IF(R867&gt;0,IF(RIGHT(Ruimtestaat[[#This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67" s="215">
        <f>IF(S867&gt;0,VLOOKUP($J867,Ruimtegroepen[],3,FALSE)*VLOOKUP($K867,Vloersoorten[],3,FALSE)*VLOOKUP($R867,Frequenties[],3,FALSE)*VLOOKUP($A867,Locaties[],3,FALSE),0)</f>
        <v>0</v>
      </c>
      <c r="U867" s="215">
        <f>Ruimtestaat[[#This Row],[Uitvoeringen werkdagen]]*Ruimtestaat[[#This Row],[Oppervlak (netto)]]</f>
        <v>2080</v>
      </c>
      <c r="V867" s="259">
        <f>IF(T867&gt;0,Ruimtestaat[[#This Row],[Prest. (m2 /jaar) werkdagen]]/Ruimtestaat[[#This Row],[Norm (m2/uur) werkdagen]],0)</f>
        <v>0</v>
      </c>
      <c r="W867" s="260">
        <f>Ruimtestaat[[#This Row],[uren / jaar werkdagen]]*Tariefsopbouw!$D$38</f>
        <v>0</v>
      </c>
      <c r="X867" s="33"/>
      <c r="Y867" s="33">
        <f>IF(Ruimtestaat[[#This Row],[Frequentie weekend]]&gt;0,VALUE(LEFT(X867,1))*Q867,0)</f>
        <v>0</v>
      </c>
      <c r="Z867" s="33">
        <f>IF($Y867&gt;0,VLOOKUP($J867,Ruimtegroepen[],3,FALSE)*VLOOKUP($K867,Vloersoorten[],3,FALSE)*VLOOKUP($X867,Frequenties[],3,FALSE)*VLOOKUP(#REF!,Locaties[],3,FALSE),0)</f>
        <v>0</v>
      </c>
      <c r="AA867" s="33"/>
      <c r="AB867" s="33"/>
      <c r="AC867" s="33">
        <f>Ruimtestaat[[#This Row],[uren / jaar weekend]]*Tariefsopbouw!$D$40</f>
        <v>0</v>
      </c>
      <c r="AD867" s="88">
        <f>Ruimtestaat[[#This Row],[Prest. (m2 /jaar) weekend]]+Ruimtestaat[[#This Row],[Prest. (m2 /jaar) werkdagen]]</f>
        <v>2080</v>
      </c>
      <c r="AE867" s="88">
        <f>Ruimtestaat[[#This Row],[uren / jaar weekend]]+Ruimtestaat[[#This Row],[uren / jaar werkdagen]]</f>
        <v>0</v>
      </c>
      <c r="AF867" s="89">
        <f>Ruimtestaat[[#This Row],[kosten / jaar weekend]]+Ruimtestaat[[#This Row],[kosten / jaar werkdagen]]</f>
        <v>0</v>
      </c>
    </row>
    <row r="868" spans="1:32" ht="15" customHeight="1">
      <c r="A868" s="280">
        <v>6</v>
      </c>
      <c r="B868" s="21" t="str">
        <f>VLOOKUP(Ruimtestaat[[#This Row],[Code]],Locaties[#All],2,FALSE)</f>
        <v>SGC Tubbergen</v>
      </c>
      <c r="C868" s="281" t="str">
        <f>VLOOKUP(Ruimtestaat[[#This Row],[Code]],Locaties[#All],4,FALSE)</f>
        <v>Huyerenseweg 1</v>
      </c>
      <c r="D868" s="281" t="str">
        <f>VLOOKUP(Ruimtestaat[[#This Row],[Code]],Locaties[#All],5,FALSE)</f>
        <v>7651 LR</v>
      </c>
      <c r="E868" s="281" t="str">
        <f>VLOOKUP(Ruimtestaat[[#This Row],[Code]],Locaties[#All],6,FALSE)</f>
        <v>Tubbergen</v>
      </c>
      <c r="F868" s="282"/>
      <c r="G868" s="201" t="s">
        <v>793</v>
      </c>
      <c r="H868" s="280" t="s">
        <v>987</v>
      </c>
      <c r="I868" s="244" t="s">
        <v>735</v>
      </c>
      <c r="J868" s="281">
        <v>8</v>
      </c>
      <c r="K868" s="243" t="s">
        <v>1040</v>
      </c>
      <c r="L868" s="284" t="s">
        <v>999</v>
      </c>
      <c r="M868" s="213">
        <v>65</v>
      </c>
      <c r="N868" s="202"/>
      <c r="O868" s="243" t="str">
        <f>VLOOKUP(Ruimtestaat[[#This Row],[Ruimte code]],Ruimtegroepen[#All],4,FALSE)</f>
        <v>L  (Lesruimte)</v>
      </c>
      <c r="P868" s="214"/>
      <c r="Q868" s="215">
        <v>40</v>
      </c>
      <c r="R868" s="215" t="s">
        <v>2</v>
      </c>
      <c r="S868" s="215">
        <f>IF(R868&gt;0,IF(RIGHT(Ruimtestaat[[#This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8" s="215">
        <f>IF(S868&gt;0,VLOOKUP($J868,Ruimtegroepen[],3,FALSE)*VLOOKUP($K868,Vloersoorten[],3,FALSE)*VLOOKUP($R868,Frequenties[],3,FALSE)*VLOOKUP($A868,Locaties[],3,FALSE),0)</f>
        <v>0</v>
      </c>
      <c r="U868" s="215">
        <f>Ruimtestaat[[#This Row],[Uitvoeringen werkdagen]]*Ruimtestaat[[#This Row],[Oppervlak (netto)]]</f>
        <v>13000</v>
      </c>
      <c r="V868" s="259">
        <f>IF(T868&gt;0,Ruimtestaat[[#This Row],[Prest. (m2 /jaar) werkdagen]]/Ruimtestaat[[#This Row],[Norm (m2/uur) werkdagen]],0)</f>
        <v>0</v>
      </c>
      <c r="W868" s="260">
        <f>Ruimtestaat[[#This Row],[uren / jaar werkdagen]]*Tariefsopbouw!$D$38</f>
        <v>0</v>
      </c>
      <c r="X868" s="33"/>
      <c r="Y868" s="33">
        <f>IF(Ruimtestaat[[#This Row],[Frequentie weekend]]&gt;0,VALUE(LEFT(X868,1))*Q868,0)</f>
        <v>0</v>
      </c>
      <c r="Z868" s="33">
        <f>IF($Y868&gt;0,VLOOKUP($J868,Ruimtegroepen[],3,FALSE)*VLOOKUP($K868,Vloersoorten[],3,FALSE)*VLOOKUP($X868,Frequenties[],3,FALSE)*VLOOKUP(#REF!,Locaties[],3,FALSE),0)</f>
        <v>0</v>
      </c>
      <c r="AA868" s="33"/>
      <c r="AB868" s="33"/>
      <c r="AC868" s="33">
        <f>Ruimtestaat[[#This Row],[uren / jaar weekend]]*Tariefsopbouw!$D$40</f>
        <v>0</v>
      </c>
      <c r="AD868" s="88">
        <f>Ruimtestaat[[#This Row],[Prest. (m2 /jaar) weekend]]+Ruimtestaat[[#This Row],[Prest. (m2 /jaar) werkdagen]]</f>
        <v>13000</v>
      </c>
      <c r="AE868" s="88">
        <f>Ruimtestaat[[#This Row],[uren / jaar weekend]]+Ruimtestaat[[#This Row],[uren / jaar werkdagen]]</f>
        <v>0</v>
      </c>
      <c r="AF868" s="89">
        <f>Ruimtestaat[[#This Row],[kosten / jaar weekend]]+Ruimtestaat[[#This Row],[kosten / jaar werkdagen]]</f>
        <v>0</v>
      </c>
    </row>
    <row r="869" spans="1:32" ht="15" customHeight="1">
      <c r="A869" s="280">
        <v>6</v>
      </c>
      <c r="B869" s="21" t="str">
        <f>VLOOKUP(Ruimtestaat[[#This Row],[Code]],Locaties[#All],2,FALSE)</f>
        <v>SGC Tubbergen</v>
      </c>
      <c r="C869" s="281" t="str">
        <f>VLOOKUP(Ruimtestaat[[#This Row],[Code]],Locaties[#All],4,FALSE)</f>
        <v>Huyerenseweg 1</v>
      </c>
      <c r="D869" s="281" t="str">
        <f>VLOOKUP(Ruimtestaat[[#This Row],[Code]],Locaties[#All],5,FALSE)</f>
        <v>7651 LR</v>
      </c>
      <c r="E869" s="281" t="str">
        <f>VLOOKUP(Ruimtestaat[[#This Row],[Code]],Locaties[#All],6,FALSE)</f>
        <v>Tubbergen</v>
      </c>
      <c r="F869" s="282"/>
      <c r="G869" s="201" t="s">
        <v>796</v>
      </c>
      <c r="H869" s="280" t="s">
        <v>988</v>
      </c>
      <c r="I869" s="244" t="s">
        <v>396</v>
      </c>
      <c r="J869" s="215">
        <v>16</v>
      </c>
      <c r="K869" s="243" t="s">
        <v>1040</v>
      </c>
      <c r="L869" s="284" t="s">
        <v>999</v>
      </c>
      <c r="M869" s="213">
        <v>63</v>
      </c>
      <c r="N869" s="202"/>
      <c r="O869" s="243" t="str">
        <f>VLOOKUP(Ruimtestaat[[#This Row],[Ruimte code]],Ruimtegroepen[#All],4,FALSE)</f>
        <v>L  (Lesruimte)</v>
      </c>
      <c r="P869" s="214"/>
      <c r="Q869" s="215">
        <v>40</v>
      </c>
      <c r="R869" s="215" t="s">
        <v>2</v>
      </c>
      <c r="S869" s="215">
        <f>IF(R869&gt;0,IF(RIGHT(Ruimtestaat[[#This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69" s="215">
        <f>IF(S869&gt;0,VLOOKUP($J869,Ruimtegroepen[],3,FALSE)*VLOOKUP($K869,Vloersoorten[],3,FALSE)*VLOOKUP($R869,Frequenties[],3,FALSE)*VLOOKUP($A869,Locaties[],3,FALSE),0)</f>
        <v>0</v>
      </c>
      <c r="U869" s="215">
        <f>Ruimtestaat[[#This Row],[Uitvoeringen werkdagen]]*Ruimtestaat[[#This Row],[Oppervlak (netto)]]</f>
        <v>12600</v>
      </c>
      <c r="V869" s="259">
        <f>IF(T869&gt;0,Ruimtestaat[[#This Row],[Prest. (m2 /jaar) werkdagen]]/Ruimtestaat[[#This Row],[Norm (m2/uur) werkdagen]],0)</f>
        <v>0</v>
      </c>
      <c r="W869" s="260">
        <f>Ruimtestaat[[#This Row],[uren / jaar werkdagen]]*Tariefsopbouw!$D$38</f>
        <v>0</v>
      </c>
      <c r="X869" s="33"/>
      <c r="Y869" s="33">
        <f>IF(Ruimtestaat[[#This Row],[Frequentie weekend]]&gt;0,VALUE(LEFT(X869,1))*Q869,0)</f>
        <v>0</v>
      </c>
      <c r="Z869" s="33">
        <f>IF($Y869&gt;0,VLOOKUP($J869,Ruimtegroepen[],3,FALSE)*VLOOKUP($K869,Vloersoorten[],3,FALSE)*VLOOKUP($X869,Frequenties[],3,FALSE)*VLOOKUP(#REF!,Locaties[],3,FALSE),0)</f>
        <v>0</v>
      </c>
      <c r="AA869" s="33"/>
      <c r="AB869" s="33"/>
      <c r="AC869" s="33">
        <f>Ruimtestaat[[#This Row],[uren / jaar weekend]]*Tariefsopbouw!$D$40</f>
        <v>0</v>
      </c>
      <c r="AD869" s="88">
        <f>Ruimtestaat[[#This Row],[Prest. (m2 /jaar) weekend]]+Ruimtestaat[[#This Row],[Prest. (m2 /jaar) werkdagen]]</f>
        <v>12600</v>
      </c>
      <c r="AE869" s="88">
        <f>Ruimtestaat[[#This Row],[uren / jaar weekend]]+Ruimtestaat[[#This Row],[uren / jaar werkdagen]]</f>
        <v>0</v>
      </c>
      <c r="AF869" s="89">
        <f>Ruimtestaat[[#This Row],[kosten / jaar weekend]]+Ruimtestaat[[#This Row],[kosten / jaar werkdagen]]</f>
        <v>0</v>
      </c>
    </row>
    <row r="870" spans="1:32" ht="15" customHeight="1">
      <c r="A870" s="280">
        <v>6</v>
      </c>
      <c r="B870" s="21" t="str">
        <f>VLOOKUP(Ruimtestaat[[#This Row],[Code]],Locaties[#All],2,FALSE)</f>
        <v>SGC Tubbergen</v>
      </c>
      <c r="C870" s="281" t="str">
        <f>VLOOKUP(Ruimtestaat[[#This Row],[Code]],Locaties[#All],4,FALSE)</f>
        <v>Huyerenseweg 1</v>
      </c>
      <c r="D870" s="281" t="str">
        <f>VLOOKUP(Ruimtestaat[[#This Row],[Code]],Locaties[#All],5,FALSE)</f>
        <v>7651 LR</v>
      </c>
      <c r="E870" s="281" t="str">
        <f>VLOOKUP(Ruimtestaat[[#This Row],[Code]],Locaties[#All],6,FALSE)</f>
        <v>Tubbergen</v>
      </c>
      <c r="F870" s="282"/>
      <c r="G870" s="201" t="s">
        <v>1025</v>
      </c>
      <c r="H870" s="280"/>
      <c r="I870" s="244" t="s">
        <v>469</v>
      </c>
      <c r="J870" s="215">
        <v>6</v>
      </c>
      <c r="K870" s="243" t="s">
        <v>1040</v>
      </c>
      <c r="L870" s="284" t="s">
        <v>999</v>
      </c>
      <c r="M870" s="213">
        <v>24.5</v>
      </c>
      <c r="N870" s="202"/>
      <c r="O870" s="243" t="str">
        <f>VLOOKUP(Ruimtestaat[[#This Row],[Ruimte code]],Ruimtegroepen[#All],4,FALSE)</f>
        <v>V  (Verkeersruimte)</v>
      </c>
      <c r="P870" s="214"/>
      <c r="Q870" s="215">
        <v>40</v>
      </c>
      <c r="R870" s="215" t="s">
        <v>2</v>
      </c>
      <c r="S870" s="215">
        <f>IF(R870&gt;0,IF(RIGHT(Ruimtestaat[[#This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0" s="215">
        <f>IF(S870&gt;0,VLOOKUP($J870,Ruimtegroepen[],3,FALSE)*VLOOKUP($K870,Vloersoorten[],3,FALSE)*VLOOKUP($R870,Frequenties[],3,FALSE)*VLOOKUP($A870,Locaties[],3,FALSE),0)</f>
        <v>0</v>
      </c>
      <c r="U870" s="215">
        <f>Ruimtestaat[[#This Row],[Uitvoeringen werkdagen]]*Ruimtestaat[[#This Row],[Oppervlak (netto)]]</f>
        <v>4900</v>
      </c>
      <c r="V870" s="259">
        <f>IF(T870&gt;0,Ruimtestaat[[#This Row],[Prest. (m2 /jaar) werkdagen]]/Ruimtestaat[[#This Row],[Norm (m2/uur) werkdagen]],0)</f>
        <v>0</v>
      </c>
      <c r="W870" s="260">
        <f>Ruimtestaat[[#This Row],[uren / jaar werkdagen]]*Tariefsopbouw!$D$38</f>
        <v>0</v>
      </c>
      <c r="X870" s="33"/>
      <c r="Y870" s="33">
        <f>IF(Ruimtestaat[[#This Row],[Frequentie weekend]]&gt;0,VALUE(LEFT(X870,1))*Q870,0)</f>
        <v>0</v>
      </c>
      <c r="Z870" s="33">
        <f>IF($Y870&gt;0,VLOOKUP($J870,Ruimtegroepen[],3,FALSE)*VLOOKUP($K870,Vloersoorten[],3,FALSE)*VLOOKUP($X870,Frequenties[],3,FALSE)*VLOOKUP(#REF!,Locaties[],3,FALSE),0)</f>
        <v>0</v>
      </c>
      <c r="AA870" s="33"/>
      <c r="AB870" s="33"/>
      <c r="AC870" s="33">
        <f>Ruimtestaat[[#This Row],[uren / jaar weekend]]*Tariefsopbouw!$D$40</f>
        <v>0</v>
      </c>
      <c r="AD870" s="88">
        <f>Ruimtestaat[[#This Row],[Prest. (m2 /jaar) weekend]]+Ruimtestaat[[#This Row],[Prest. (m2 /jaar) werkdagen]]</f>
        <v>4900</v>
      </c>
      <c r="AE870" s="88">
        <f>Ruimtestaat[[#This Row],[uren / jaar weekend]]+Ruimtestaat[[#This Row],[uren / jaar werkdagen]]</f>
        <v>0</v>
      </c>
      <c r="AF870" s="89">
        <f>Ruimtestaat[[#This Row],[kosten / jaar weekend]]+Ruimtestaat[[#This Row],[kosten / jaar werkdagen]]</f>
        <v>0</v>
      </c>
    </row>
    <row r="871" spans="1:32" ht="15" customHeight="1">
      <c r="A871" s="280">
        <v>6</v>
      </c>
      <c r="B871" s="21" t="str">
        <f>VLOOKUP(Ruimtestaat[[#This Row],[Code]],Locaties[#All],2,FALSE)</f>
        <v>SGC Tubbergen</v>
      </c>
      <c r="C871" s="281" t="str">
        <f>VLOOKUP(Ruimtestaat[[#This Row],[Code]],Locaties[#All],4,FALSE)</f>
        <v>Huyerenseweg 1</v>
      </c>
      <c r="D871" s="281" t="str">
        <f>VLOOKUP(Ruimtestaat[[#This Row],[Code]],Locaties[#All],5,FALSE)</f>
        <v>7651 LR</v>
      </c>
      <c r="E871" s="281" t="str">
        <f>VLOOKUP(Ruimtestaat[[#This Row],[Code]],Locaties[#All],6,FALSE)</f>
        <v>Tubbergen</v>
      </c>
      <c r="F871" s="282"/>
      <c r="G871" s="201" t="s">
        <v>1026</v>
      </c>
      <c r="H871" s="280" t="s">
        <v>989</v>
      </c>
      <c r="I871" s="244" t="s">
        <v>396</v>
      </c>
      <c r="J871" s="215">
        <v>16</v>
      </c>
      <c r="K871" s="243" t="s">
        <v>1041</v>
      </c>
      <c r="L871" s="291" t="s">
        <v>998</v>
      </c>
      <c r="M871" s="213">
        <v>107</v>
      </c>
      <c r="N871" s="202"/>
      <c r="O871" s="243" t="str">
        <f>VLOOKUP(Ruimtestaat[[#This Row],[Ruimte code]],Ruimtegroepen[#All],4,FALSE)</f>
        <v>L  (Lesruimte)</v>
      </c>
      <c r="P871" s="214"/>
      <c r="Q871" s="215">
        <v>40</v>
      </c>
      <c r="R871" s="215" t="s">
        <v>2</v>
      </c>
      <c r="S871" s="215">
        <f>IF(R871&gt;0,IF(RIGHT(Ruimtestaat[[#This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1" s="215">
        <f>IF(S871&gt;0,VLOOKUP($J871,Ruimtegroepen[],3,FALSE)*VLOOKUP($K871,Vloersoorten[],3,FALSE)*VLOOKUP($R871,Frequenties[],3,FALSE)*VLOOKUP($A871,Locaties[],3,FALSE),0)</f>
        <v>0</v>
      </c>
      <c r="U871" s="215">
        <f>Ruimtestaat[[#This Row],[Uitvoeringen werkdagen]]*Ruimtestaat[[#This Row],[Oppervlak (netto)]]</f>
        <v>21400</v>
      </c>
      <c r="V871" s="259">
        <f>IF(T871&gt;0,Ruimtestaat[[#This Row],[Prest. (m2 /jaar) werkdagen]]/Ruimtestaat[[#This Row],[Norm (m2/uur) werkdagen]],0)</f>
        <v>0</v>
      </c>
      <c r="W871" s="260">
        <f>Ruimtestaat[[#This Row],[uren / jaar werkdagen]]*Tariefsopbouw!$D$38</f>
        <v>0</v>
      </c>
      <c r="X871" s="33"/>
      <c r="Y871" s="33">
        <f>IF(Ruimtestaat[[#This Row],[Frequentie weekend]]&gt;0,VALUE(LEFT(X871,1))*Q871,0)</f>
        <v>0</v>
      </c>
      <c r="Z871" s="33">
        <f>IF($Y871&gt;0,VLOOKUP($J871,Ruimtegroepen[],3,FALSE)*VLOOKUP($K871,Vloersoorten[],3,FALSE)*VLOOKUP($X871,Frequenties[],3,FALSE)*VLOOKUP(#REF!,Locaties[],3,FALSE),0)</f>
        <v>0</v>
      </c>
      <c r="AA871" s="33"/>
      <c r="AB871" s="33"/>
      <c r="AC871" s="33">
        <f>Ruimtestaat[[#This Row],[uren / jaar weekend]]*Tariefsopbouw!$D$40</f>
        <v>0</v>
      </c>
      <c r="AD871" s="88">
        <f>Ruimtestaat[[#This Row],[Prest. (m2 /jaar) weekend]]+Ruimtestaat[[#This Row],[Prest. (m2 /jaar) werkdagen]]</f>
        <v>21400</v>
      </c>
      <c r="AE871" s="88">
        <f>Ruimtestaat[[#This Row],[uren / jaar weekend]]+Ruimtestaat[[#This Row],[uren / jaar werkdagen]]</f>
        <v>0</v>
      </c>
      <c r="AF871" s="89">
        <f>Ruimtestaat[[#This Row],[kosten / jaar weekend]]+Ruimtestaat[[#This Row],[kosten / jaar werkdagen]]</f>
        <v>0</v>
      </c>
    </row>
    <row r="872" spans="1:32" ht="15" customHeight="1">
      <c r="A872" s="280">
        <v>6</v>
      </c>
      <c r="B872" s="21" t="str">
        <f>VLOOKUP(Ruimtestaat[[#This Row],[Code]],Locaties[#All],2,FALSE)</f>
        <v>SGC Tubbergen</v>
      </c>
      <c r="C872" s="281" t="str">
        <f>VLOOKUP(Ruimtestaat[[#This Row],[Code]],Locaties[#All],4,FALSE)</f>
        <v>Huyerenseweg 1</v>
      </c>
      <c r="D872" s="281" t="str">
        <f>VLOOKUP(Ruimtestaat[[#This Row],[Code]],Locaties[#All],5,FALSE)</f>
        <v>7651 LR</v>
      </c>
      <c r="E872" s="281" t="str">
        <f>VLOOKUP(Ruimtestaat[[#This Row],[Code]],Locaties[#All],6,FALSE)</f>
        <v>Tubbergen</v>
      </c>
      <c r="F872" s="282"/>
      <c r="G872" s="201" t="s">
        <v>805</v>
      </c>
      <c r="H872" s="280" t="s">
        <v>990</v>
      </c>
      <c r="I872" s="244" t="s">
        <v>396</v>
      </c>
      <c r="J872" s="215">
        <v>16</v>
      </c>
      <c r="K872" s="243" t="s">
        <v>1040</v>
      </c>
      <c r="L872" s="284" t="s">
        <v>999</v>
      </c>
      <c r="M872" s="213">
        <v>55</v>
      </c>
      <c r="N872" s="213"/>
      <c r="O872" s="243" t="str">
        <f>VLOOKUP(Ruimtestaat[[#This Row],[Ruimte code]],Ruimtegroepen[#All],4,FALSE)</f>
        <v>L  (Lesruimte)</v>
      </c>
      <c r="P872" s="214"/>
      <c r="Q872" s="215">
        <v>40</v>
      </c>
      <c r="R872" s="215" t="s">
        <v>2</v>
      </c>
      <c r="S872" s="215">
        <f>IF(R872&gt;0,IF(RIGHT(Ruimtestaat[[#This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2" s="215">
        <f>IF(S872&gt;0,VLOOKUP($J872,Ruimtegroepen[],3,FALSE)*VLOOKUP($K872,Vloersoorten[],3,FALSE)*VLOOKUP($R872,Frequenties[],3,FALSE)*VLOOKUP($A872,Locaties[],3,FALSE),0)</f>
        <v>0</v>
      </c>
      <c r="U872" s="215">
        <f>Ruimtestaat[[#This Row],[Uitvoeringen werkdagen]]*Ruimtestaat[[#This Row],[Oppervlak (netto)]]</f>
        <v>11000</v>
      </c>
      <c r="V872" s="259">
        <f>IF(T872&gt;0,Ruimtestaat[[#This Row],[Prest. (m2 /jaar) werkdagen]]/Ruimtestaat[[#This Row],[Norm (m2/uur) werkdagen]],0)</f>
        <v>0</v>
      </c>
      <c r="W872" s="260">
        <f>Ruimtestaat[[#This Row],[uren / jaar werkdagen]]*Tariefsopbouw!$D$38</f>
        <v>0</v>
      </c>
      <c r="X872" s="33"/>
      <c r="Y872" s="33">
        <f>IF(Ruimtestaat[[#This Row],[Frequentie weekend]]&gt;0,VALUE(LEFT(X872,1))*Q872,0)</f>
        <v>0</v>
      </c>
      <c r="Z872" s="33">
        <f>IF($Y872&gt;0,VLOOKUP($J872,Ruimtegroepen[],3,FALSE)*VLOOKUP($K872,Vloersoorten[],3,FALSE)*VLOOKUP($X872,Frequenties[],3,FALSE)*VLOOKUP(#REF!,Locaties[],3,FALSE),0)</f>
        <v>0</v>
      </c>
      <c r="AA872" s="33"/>
      <c r="AB872" s="33"/>
      <c r="AC872" s="33">
        <f>Ruimtestaat[[#This Row],[uren / jaar weekend]]*Tariefsopbouw!$D$40</f>
        <v>0</v>
      </c>
      <c r="AD872" s="88">
        <f>Ruimtestaat[[#This Row],[Prest. (m2 /jaar) weekend]]+Ruimtestaat[[#This Row],[Prest. (m2 /jaar) werkdagen]]</f>
        <v>11000</v>
      </c>
      <c r="AE872" s="88">
        <f>Ruimtestaat[[#This Row],[uren / jaar weekend]]+Ruimtestaat[[#This Row],[uren / jaar werkdagen]]</f>
        <v>0</v>
      </c>
      <c r="AF872" s="89">
        <f>Ruimtestaat[[#This Row],[kosten / jaar weekend]]+Ruimtestaat[[#This Row],[kosten / jaar werkdagen]]</f>
        <v>0</v>
      </c>
    </row>
    <row r="873" spans="1:32" ht="15" customHeight="1">
      <c r="A873" s="280">
        <v>6</v>
      </c>
      <c r="B873" s="21" t="str">
        <f>VLOOKUP(Ruimtestaat[[#This Row],[Code]],Locaties[#All],2,FALSE)</f>
        <v>SGC Tubbergen</v>
      </c>
      <c r="C873" s="281" t="str">
        <f>VLOOKUP(Ruimtestaat[[#This Row],[Code]],Locaties[#All],4,FALSE)</f>
        <v>Huyerenseweg 1</v>
      </c>
      <c r="D873" s="281" t="str">
        <f>VLOOKUP(Ruimtestaat[[#This Row],[Code]],Locaties[#All],5,FALSE)</f>
        <v>7651 LR</v>
      </c>
      <c r="E873" s="281" t="str">
        <f>VLOOKUP(Ruimtestaat[[#This Row],[Code]],Locaties[#All],6,FALSE)</f>
        <v>Tubbergen</v>
      </c>
      <c r="F873" s="282"/>
      <c r="G873" s="201" t="s">
        <v>1027</v>
      </c>
      <c r="H873" s="280"/>
      <c r="I873" s="244" t="s">
        <v>1039</v>
      </c>
      <c r="J873" s="200">
        <v>8</v>
      </c>
      <c r="K873" s="243" t="s">
        <v>1040</v>
      </c>
      <c r="L873" s="284" t="s">
        <v>999</v>
      </c>
      <c r="M873" s="213">
        <v>58.5</v>
      </c>
      <c r="N873" s="202"/>
      <c r="O873" s="243" t="str">
        <f>VLOOKUP(Ruimtestaat[[#This Row],[Ruimte code]],Ruimtegroepen[#All],4,FALSE)</f>
        <v>L  (Lesruimte)</v>
      </c>
      <c r="P873" s="214"/>
      <c r="Q873" s="215">
        <v>40</v>
      </c>
      <c r="R873" s="215" t="s">
        <v>2</v>
      </c>
      <c r="S873" s="215">
        <f>IF(R873&gt;0,IF(RIGHT(Ruimtestaat[[#This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3" s="215">
        <f>IF(S873&gt;0,VLOOKUP($J873,Ruimtegroepen[],3,FALSE)*VLOOKUP($K873,Vloersoorten[],3,FALSE)*VLOOKUP($R873,Frequenties[],3,FALSE)*VLOOKUP($A873,Locaties[],3,FALSE),0)</f>
        <v>0</v>
      </c>
      <c r="U873" s="215">
        <f>Ruimtestaat[[#This Row],[Uitvoeringen werkdagen]]*Ruimtestaat[[#This Row],[Oppervlak (netto)]]</f>
        <v>11700</v>
      </c>
      <c r="V873" s="259">
        <f>IF(T873&gt;0,Ruimtestaat[[#This Row],[Prest. (m2 /jaar) werkdagen]]/Ruimtestaat[[#This Row],[Norm (m2/uur) werkdagen]],0)</f>
        <v>0</v>
      </c>
      <c r="W873" s="260">
        <f>Ruimtestaat[[#This Row],[uren / jaar werkdagen]]*Tariefsopbouw!$D$38</f>
        <v>0</v>
      </c>
      <c r="X873" s="33"/>
      <c r="Y873" s="33">
        <f>IF(Ruimtestaat[[#This Row],[Frequentie weekend]]&gt;0,VALUE(LEFT(X873,1))*Q873,0)</f>
        <v>0</v>
      </c>
      <c r="Z873" s="33">
        <f>IF($Y873&gt;0,VLOOKUP($J873,Ruimtegroepen[],3,FALSE)*VLOOKUP($K873,Vloersoorten[],3,FALSE)*VLOOKUP($X873,Frequenties[],3,FALSE)*VLOOKUP(#REF!,Locaties[],3,FALSE),0)</f>
        <v>0</v>
      </c>
      <c r="AA873" s="33"/>
      <c r="AB873" s="33"/>
      <c r="AC873" s="33">
        <f>Ruimtestaat[[#This Row],[uren / jaar weekend]]*Tariefsopbouw!$D$40</f>
        <v>0</v>
      </c>
      <c r="AD873" s="88">
        <f>Ruimtestaat[[#This Row],[Prest. (m2 /jaar) weekend]]+Ruimtestaat[[#This Row],[Prest. (m2 /jaar) werkdagen]]</f>
        <v>11700</v>
      </c>
      <c r="AE873" s="88">
        <f>Ruimtestaat[[#This Row],[uren / jaar weekend]]+Ruimtestaat[[#This Row],[uren / jaar werkdagen]]</f>
        <v>0</v>
      </c>
      <c r="AF873" s="89">
        <f>Ruimtestaat[[#This Row],[kosten / jaar weekend]]+Ruimtestaat[[#This Row],[kosten / jaar werkdagen]]</f>
        <v>0</v>
      </c>
    </row>
    <row r="874" spans="1:32" ht="15" customHeight="1">
      <c r="A874" s="280">
        <v>6</v>
      </c>
      <c r="B874" s="21" t="str">
        <f>VLOOKUP(Ruimtestaat[[#This Row],[Code]],Locaties[#All],2,FALSE)</f>
        <v>SGC Tubbergen</v>
      </c>
      <c r="C874" s="281" t="str">
        <f>VLOOKUP(Ruimtestaat[[#This Row],[Code]],Locaties[#All],4,FALSE)</f>
        <v>Huyerenseweg 1</v>
      </c>
      <c r="D874" s="281" t="str">
        <f>VLOOKUP(Ruimtestaat[[#This Row],[Code]],Locaties[#All],5,FALSE)</f>
        <v>7651 LR</v>
      </c>
      <c r="E874" s="281" t="str">
        <f>VLOOKUP(Ruimtestaat[[#This Row],[Code]],Locaties[#All],6,FALSE)</f>
        <v>Tubbergen</v>
      </c>
      <c r="F874" s="282"/>
      <c r="G874" s="201" t="s">
        <v>1028</v>
      </c>
      <c r="H874" s="280"/>
      <c r="I874" s="244" t="s">
        <v>469</v>
      </c>
      <c r="J874" s="200">
        <v>6</v>
      </c>
      <c r="K874" s="243" t="s">
        <v>1041</v>
      </c>
      <c r="L874" s="284" t="s">
        <v>998</v>
      </c>
      <c r="M874" s="213">
        <v>35</v>
      </c>
      <c r="N874" s="213"/>
      <c r="O874" s="243" t="str">
        <f>VLOOKUP(Ruimtestaat[[#This Row],[Ruimte code]],Ruimtegroepen[#All],4,FALSE)</f>
        <v>V  (Verkeersruimte)</v>
      </c>
      <c r="P874" s="214"/>
      <c r="Q874" s="215">
        <v>40</v>
      </c>
      <c r="R874" s="215" t="s">
        <v>2</v>
      </c>
      <c r="S874" s="215">
        <f>IF(R874&gt;0,IF(RIGHT(Ruimtestaat[[#This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4" s="215">
        <f>IF(S874&gt;0,VLOOKUP($J874,Ruimtegroepen[],3,FALSE)*VLOOKUP($K874,Vloersoorten[],3,FALSE)*VLOOKUP($R874,Frequenties[],3,FALSE)*VLOOKUP($A874,Locaties[],3,FALSE),0)</f>
        <v>0</v>
      </c>
      <c r="U874" s="215">
        <f>Ruimtestaat[[#This Row],[Uitvoeringen werkdagen]]*Ruimtestaat[[#This Row],[Oppervlak (netto)]]</f>
        <v>7000</v>
      </c>
      <c r="V874" s="259">
        <f>IF(T874&gt;0,Ruimtestaat[[#This Row],[Prest. (m2 /jaar) werkdagen]]/Ruimtestaat[[#This Row],[Norm (m2/uur) werkdagen]],0)</f>
        <v>0</v>
      </c>
      <c r="W874" s="260">
        <f>Ruimtestaat[[#This Row],[uren / jaar werkdagen]]*Tariefsopbouw!$D$38</f>
        <v>0</v>
      </c>
      <c r="X874" s="33"/>
      <c r="Y874" s="33">
        <f>IF(Ruimtestaat[[#This Row],[Frequentie weekend]]&gt;0,VALUE(LEFT(X874,1))*Q874,0)</f>
        <v>0</v>
      </c>
      <c r="Z874" s="33">
        <f>IF($Y874&gt;0,VLOOKUP($J874,Ruimtegroepen[],3,FALSE)*VLOOKUP($K874,Vloersoorten[],3,FALSE)*VLOOKUP($X874,Frequenties[],3,FALSE)*VLOOKUP(#REF!,Locaties[],3,FALSE),0)</f>
        <v>0</v>
      </c>
      <c r="AA874" s="33"/>
      <c r="AB874" s="33"/>
      <c r="AC874" s="33">
        <f>Ruimtestaat[[#This Row],[uren / jaar weekend]]*Tariefsopbouw!$D$40</f>
        <v>0</v>
      </c>
      <c r="AD874" s="88">
        <f>Ruimtestaat[[#This Row],[Prest. (m2 /jaar) weekend]]+Ruimtestaat[[#This Row],[Prest. (m2 /jaar) werkdagen]]</f>
        <v>7000</v>
      </c>
      <c r="AE874" s="88">
        <f>Ruimtestaat[[#This Row],[uren / jaar weekend]]+Ruimtestaat[[#This Row],[uren / jaar werkdagen]]</f>
        <v>0</v>
      </c>
      <c r="AF874" s="89">
        <f>Ruimtestaat[[#This Row],[kosten / jaar weekend]]+Ruimtestaat[[#This Row],[kosten / jaar werkdagen]]</f>
        <v>0</v>
      </c>
    </row>
    <row r="875" spans="1:32" ht="15" customHeight="1">
      <c r="A875" s="280">
        <v>6</v>
      </c>
      <c r="B875" s="21" t="str">
        <f>VLOOKUP(Ruimtestaat[[#This Row],[Code]],Locaties[#All],2,FALSE)</f>
        <v>SGC Tubbergen</v>
      </c>
      <c r="C875" s="281" t="str">
        <f>VLOOKUP(Ruimtestaat[[#This Row],[Code]],Locaties[#All],4,FALSE)</f>
        <v>Huyerenseweg 1</v>
      </c>
      <c r="D875" s="281" t="str">
        <f>VLOOKUP(Ruimtestaat[[#This Row],[Code]],Locaties[#All],5,FALSE)</f>
        <v>7651 LR</v>
      </c>
      <c r="E875" s="281" t="str">
        <f>VLOOKUP(Ruimtestaat[[#This Row],[Code]],Locaties[#All],6,FALSE)</f>
        <v>Tubbergen</v>
      </c>
      <c r="F875" s="282"/>
      <c r="G875" s="201" t="s">
        <v>1029</v>
      </c>
      <c r="H875" s="280" t="s">
        <v>991</v>
      </c>
      <c r="I875" s="244" t="s">
        <v>396</v>
      </c>
      <c r="J875" s="215">
        <v>16</v>
      </c>
      <c r="K875" s="243" t="s">
        <v>1040</v>
      </c>
      <c r="L875" s="284" t="s">
        <v>999</v>
      </c>
      <c r="M875" s="213">
        <v>64</v>
      </c>
      <c r="N875" s="202"/>
      <c r="O875" s="243" t="str">
        <f>VLOOKUP(Ruimtestaat[[#This Row],[Ruimte code]],Ruimtegroepen[#All],4,FALSE)</f>
        <v>L  (Lesruimte)</v>
      </c>
      <c r="P875" s="214"/>
      <c r="Q875" s="215">
        <v>40</v>
      </c>
      <c r="R875" s="215" t="s">
        <v>2</v>
      </c>
      <c r="S875" s="215">
        <f>IF(R875&gt;0,IF(RIGHT(Ruimtestaat[[#This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5" s="215">
        <f>IF(S875&gt;0,VLOOKUP($J875,Ruimtegroepen[],3,FALSE)*VLOOKUP($K875,Vloersoorten[],3,FALSE)*VLOOKUP($R875,Frequenties[],3,FALSE)*VLOOKUP($A875,Locaties[],3,FALSE),0)</f>
        <v>0</v>
      </c>
      <c r="U875" s="215">
        <f>Ruimtestaat[[#This Row],[Uitvoeringen werkdagen]]*Ruimtestaat[[#This Row],[Oppervlak (netto)]]</f>
        <v>12800</v>
      </c>
      <c r="V875" s="259">
        <f>IF(T875&gt;0,Ruimtestaat[[#This Row],[Prest. (m2 /jaar) werkdagen]]/Ruimtestaat[[#This Row],[Norm (m2/uur) werkdagen]],0)</f>
        <v>0</v>
      </c>
      <c r="W875" s="260">
        <f>Ruimtestaat[[#This Row],[uren / jaar werkdagen]]*Tariefsopbouw!$D$38</f>
        <v>0</v>
      </c>
      <c r="X875" s="33"/>
      <c r="Y875" s="33">
        <f>IF(Ruimtestaat[[#This Row],[Frequentie weekend]]&gt;0,VALUE(LEFT(X875,1))*Q875,0)</f>
        <v>0</v>
      </c>
      <c r="Z875" s="33">
        <f>IF($Y875&gt;0,VLOOKUP($J875,Ruimtegroepen[],3,FALSE)*VLOOKUP($K875,Vloersoorten[],3,FALSE)*VLOOKUP($X875,Frequenties[],3,FALSE)*VLOOKUP(#REF!,Locaties[],3,FALSE),0)</f>
        <v>0</v>
      </c>
      <c r="AA875" s="33"/>
      <c r="AB875" s="33"/>
      <c r="AC875" s="33">
        <f>Ruimtestaat[[#This Row],[uren / jaar weekend]]*Tariefsopbouw!$D$40</f>
        <v>0</v>
      </c>
      <c r="AD875" s="88">
        <f>Ruimtestaat[[#This Row],[Prest. (m2 /jaar) weekend]]+Ruimtestaat[[#This Row],[Prest. (m2 /jaar) werkdagen]]</f>
        <v>12800</v>
      </c>
      <c r="AE875" s="88">
        <f>Ruimtestaat[[#This Row],[uren / jaar weekend]]+Ruimtestaat[[#This Row],[uren / jaar werkdagen]]</f>
        <v>0</v>
      </c>
      <c r="AF875" s="89">
        <f>Ruimtestaat[[#This Row],[kosten / jaar weekend]]+Ruimtestaat[[#This Row],[kosten / jaar werkdagen]]</f>
        <v>0</v>
      </c>
    </row>
    <row r="876" spans="1:32" ht="15" customHeight="1">
      <c r="A876" s="280">
        <v>6</v>
      </c>
      <c r="B876" s="21" t="str">
        <f>VLOOKUP(Ruimtestaat[[#This Row],[Code]],Locaties[#All],2,FALSE)</f>
        <v>SGC Tubbergen</v>
      </c>
      <c r="C876" s="281" t="str">
        <f>VLOOKUP(Ruimtestaat[[#This Row],[Code]],Locaties[#All],4,FALSE)</f>
        <v>Huyerenseweg 1</v>
      </c>
      <c r="D876" s="281" t="str">
        <f>VLOOKUP(Ruimtestaat[[#This Row],[Code]],Locaties[#All],5,FALSE)</f>
        <v>7651 LR</v>
      </c>
      <c r="E876" s="281" t="str">
        <f>VLOOKUP(Ruimtestaat[[#This Row],[Code]],Locaties[#All],6,FALSE)</f>
        <v>Tubbergen</v>
      </c>
      <c r="F876" s="282"/>
      <c r="G876" s="201" t="s">
        <v>1030</v>
      </c>
      <c r="H876" s="280" t="s">
        <v>992</v>
      </c>
      <c r="I876" s="244" t="s">
        <v>396</v>
      </c>
      <c r="J876" s="215">
        <v>16</v>
      </c>
      <c r="K876" s="243" t="s">
        <v>1040</v>
      </c>
      <c r="L876" s="284" t="s">
        <v>999</v>
      </c>
      <c r="M876" s="213">
        <v>69</v>
      </c>
      <c r="N876" s="202"/>
      <c r="O876" s="243" t="str">
        <f>VLOOKUP(Ruimtestaat[[#This Row],[Ruimte code]],Ruimtegroepen[#All],4,FALSE)</f>
        <v>L  (Lesruimte)</v>
      </c>
      <c r="P876" s="214"/>
      <c r="Q876" s="215">
        <v>40</v>
      </c>
      <c r="R876" s="215" t="s">
        <v>2</v>
      </c>
      <c r="S876" s="215">
        <f>IF(R876&gt;0,IF(RIGHT(Ruimtestaat[[#This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6" s="215">
        <f>IF(S876&gt;0,VLOOKUP($J876,Ruimtegroepen[],3,FALSE)*VLOOKUP($K876,Vloersoorten[],3,FALSE)*VLOOKUP($R876,Frequenties[],3,FALSE)*VLOOKUP($A876,Locaties[],3,FALSE),0)</f>
        <v>0</v>
      </c>
      <c r="U876" s="215">
        <f>Ruimtestaat[[#This Row],[Uitvoeringen werkdagen]]*Ruimtestaat[[#This Row],[Oppervlak (netto)]]</f>
        <v>13800</v>
      </c>
      <c r="V876" s="259">
        <f>IF(T876&gt;0,Ruimtestaat[[#This Row],[Prest. (m2 /jaar) werkdagen]]/Ruimtestaat[[#This Row],[Norm (m2/uur) werkdagen]],0)</f>
        <v>0</v>
      </c>
      <c r="W876" s="260">
        <f>Ruimtestaat[[#This Row],[uren / jaar werkdagen]]*Tariefsopbouw!$D$38</f>
        <v>0</v>
      </c>
      <c r="X876" s="33"/>
      <c r="Y876" s="33">
        <f>IF(Ruimtestaat[[#This Row],[Frequentie weekend]]&gt;0,VALUE(LEFT(X876,1))*Q876,0)</f>
        <v>0</v>
      </c>
      <c r="Z876" s="33">
        <f>IF($Y876&gt;0,VLOOKUP($J876,Ruimtegroepen[],3,FALSE)*VLOOKUP($K876,Vloersoorten[],3,FALSE)*VLOOKUP($X876,Frequenties[],3,FALSE)*VLOOKUP(#REF!,Locaties[],3,FALSE),0)</f>
        <v>0</v>
      </c>
      <c r="AA876" s="33"/>
      <c r="AB876" s="33"/>
      <c r="AC876" s="33">
        <f>Ruimtestaat[[#This Row],[uren / jaar weekend]]*Tariefsopbouw!$D$40</f>
        <v>0</v>
      </c>
      <c r="AD876" s="88">
        <f>Ruimtestaat[[#This Row],[Prest. (m2 /jaar) weekend]]+Ruimtestaat[[#This Row],[Prest. (m2 /jaar) werkdagen]]</f>
        <v>13800</v>
      </c>
      <c r="AE876" s="88">
        <f>Ruimtestaat[[#This Row],[uren / jaar weekend]]+Ruimtestaat[[#This Row],[uren / jaar werkdagen]]</f>
        <v>0</v>
      </c>
      <c r="AF876" s="89">
        <f>Ruimtestaat[[#This Row],[kosten / jaar weekend]]+Ruimtestaat[[#This Row],[kosten / jaar werkdagen]]</f>
        <v>0</v>
      </c>
    </row>
    <row r="877" spans="1:32" ht="15" customHeight="1">
      <c r="A877" s="280">
        <v>6</v>
      </c>
      <c r="B877" s="21" t="str">
        <f>VLOOKUP(Ruimtestaat[[#This Row],[Code]],Locaties[#All],2,FALSE)</f>
        <v>SGC Tubbergen</v>
      </c>
      <c r="C877" s="281" t="str">
        <f>VLOOKUP(Ruimtestaat[[#This Row],[Code]],Locaties[#All],4,FALSE)</f>
        <v>Huyerenseweg 1</v>
      </c>
      <c r="D877" s="281" t="str">
        <f>VLOOKUP(Ruimtestaat[[#This Row],[Code]],Locaties[#All],5,FALSE)</f>
        <v>7651 LR</v>
      </c>
      <c r="E877" s="281" t="str">
        <f>VLOOKUP(Ruimtestaat[[#This Row],[Code]],Locaties[#All],6,FALSE)</f>
        <v>Tubbergen</v>
      </c>
      <c r="F877" s="282"/>
      <c r="G877" s="201" t="s">
        <v>1031</v>
      </c>
      <c r="H877" s="280" t="s">
        <v>993</v>
      </c>
      <c r="I877" s="244" t="s">
        <v>396</v>
      </c>
      <c r="J877" s="215">
        <v>16</v>
      </c>
      <c r="K877" s="243" t="s">
        <v>1040</v>
      </c>
      <c r="L877" s="284" t="s">
        <v>999</v>
      </c>
      <c r="M877" s="213">
        <v>78</v>
      </c>
      <c r="N877" s="202"/>
      <c r="O877" s="243" t="str">
        <f>VLOOKUP(Ruimtestaat[[#This Row],[Ruimte code]],Ruimtegroepen[#All],4,FALSE)</f>
        <v>L  (Lesruimte)</v>
      </c>
      <c r="P877" s="214"/>
      <c r="Q877" s="215">
        <v>40</v>
      </c>
      <c r="R877" s="215" t="s">
        <v>2</v>
      </c>
      <c r="S877" s="215">
        <f>IF(R877&gt;0,IF(RIGHT(Ruimtestaat[[#This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7" s="215">
        <f>IF(S877&gt;0,VLOOKUP($J877,Ruimtegroepen[],3,FALSE)*VLOOKUP($K877,Vloersoorten[],3,FALSE)*VLOOKUP($R877,Frequenties[],3,FALSE)*VLOOKUP($A877,Locaties[],3,FALSE),0)</f>
        <v>0</v>
      </c>
      <c r="U877" s="215">
        <f>Ruimtestaat[[#This Row],[Uitvoeringen werkdagen]]*Ruimtestaat[[#This Row],[Oppervlak (netto)]]</f>
        <v>15600</v>
      </c>
      <c r="V877" s="259">
        <f>IF(T877&gt;0,Ruimtestaat[[#This Row],[Prest. (m2 /jaar) werkdagen]]/Ruimtestaat[[#This Row],[Norm (m2/uur) werkdagen]],0)</f>
        <v>0</v>
      </c>
      <c r="W877" s="260">
        <f>Ruimtestaat[[#This Row],[uren / jaar werkdagen]]*Tariefsopbouw!$D$38</f>
        <v>0</v>
      </c>
      <c r="X877" s="33"/>
      <c r="Y877" s="33">
        <f>IF(Ruimtestaat[[#This Row],[Frequentie weekend]]&gt;0,VALUE(LEFT(X877,1))*Q877,0)</f>
        <v>0</v>
      </c>
      <c r="Z877" s="33">
        <f>IF($Y877&gt;0,VLOOKUP($J877,Ruimtegroepen[],3,FALSE)*VLOOKUP($K877,Vloersoorten[],3,FALSE)*VLOOKUP($X877,Frequenties[],3,FALSE)*VLOOKUP(#REF!,Locaties[],3,FALSE),0)</f>
        <v>0</v>
      </c>
      <c r="AA877" s="33"/>
      <c r="AB877" s="33"/>
      <c r="AC877" s="33">
        <f>Ruimtestaat[[#This Row],[uren / jaar weekend]]*Tariefsopbouw!$D$40</f>
        <v>0</v>
      </c>
      <c r="AD877" s="88">
        <f>Ruimtestaat[[#This Row],[Prest. (m2 /jaar) weekend]]+Ruimtestaat[[#This Row],[Prest. (m2 /jaar) werkdagen]]</f>
        <v>15600</v>
      </c>
      <c r="AE877" s="88">
        <f>Ruimtestaat[[#This Row],[uren / jaar weekend]]+Ruimtestaat[[#This Row],[uren / jaar werkdagen]]</f>
        <v>0</v>
      </c>
      <c r="AF877" s="89">
        <f>Ruimtestaat[[#This Row],[kosten / jaar weekend]]+Ruimtestaat[[#This Row],[kosten / jaar werkdagen]]</f>
        <v>0</v>
      </c>
    </row>
    <row r="878" spans="1:32" ht="15" customHeight="1">
      <c r="A878" s="280">
        <v>6</v>
      </c>
      <c r="B878" s="21" t="str">
        <f>VLOOKUP(Ruimtestaat[[#This Row],[Code]],Locaties[#All],2,FALSE)</f>
        <v>SGC Tubbergen</v>
      </c>
      <c r="C878" s="281" t="str">
        <f>VLOOKUP(Ruimtestaat[[#This Row],[Code]],Locaties[#All],4,FALSE)</f>
        <v>Huyerenseweg 1</v>
      </c>
      <c r="D878" s="281" t="str">
        <f>VLOOKUP(Ruimtestaat[[#This Row],[Code]],Locaties[#All],5,FALSE)</f>
        <v>7651 LR</v>
      </c>
      <c r="E878" s="281" t="str">
        <f>VLOOKUP(Ruimtestaat[[#This Row],[Code]],Locaties[#All],6,FALSE)</f>
        <v>Tubbergen</v>
      </c>
      <c r="F878" s="282"/>
      <c r="G878" s="201" t="s">
        <v>1032</v>
      </c>
      <c r="H878" s="280" t="s">
        <v>994</v>
      </c>
      <c r="I878" s="244" t="s">
        <v>396</v>
      </c>
      <c r="J878" s="215">
        <v>16</v>
      </c>
      <c r="K878" s="243" t="s">
        <v>1040</v>
      </c>
      <c r="L878" s="284" t="s">
        <v>999</v>
      </c>
      <c r="M878" s="213">
        <v>53</v>
      </c>
      <c r="N878" s="202"/>
      <c r="O878" s="243" t="str">
        <f>VLOOKUP(Ruimtestaat[[#This Row],[Ruimte code]],Ruimtegroepen[#All],4,FALSE)</f>
        <v>L  (Lesruimte)</v>
      </c>
      <c r="P878" s="214"/>
      <c r="Q878" s="215">
        <v>40</v>
      </c>
      <c r="R878" s="215" t="s">
        <v>2</v>
      </c>
      <c r="S878" s="215">
        <f>IF(R878&gt;0,IF(RIGHT(Ruimtestaat[[#This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8" s="215">
        <f>IF(S878&gt;0,VLOOKUP($J878,Ruimtegroepen[],3,FALSE)*VLOOKUP($K878,Vloersoorten[],3,FALSE)*VLOOKUP($R878,Frequenties[],3,FALSE)*VLOOKUP($A878,Locaties[],3,FALSE),0)</f>
        <v>0</v>
      </c>
      <c r="U878" s="215">
        <f>Ruimtestaat[[#This Row],[Uitvoeringen werkdagen]]*Ruimtestaat[[#This Row],[Oppervlak (netto)]]</f>
        <v>10600</v>
      </c>
      <c r="V878" s="259">
        <f>IF(T878&gt;0,Ruimtestaat[[#This Row],[Prest. (m2 /jaar) werkdagen]]/Ruimtestaat[[#This Row],[Norm (m2/uur) werkdagen]],0)</f>
        <v>0</v>
      </c>
      <c r="W878" s="260">
        <f>Ruimtestaat[[#This Row],[uren / jaar werkdagen]]*Tariefsopbouw!$D$38</f>
        <v>0</v>
      </c>
      <c r="X878" s="33"/>
      <c r="Y878" s="33">
        <f>IF(Ruimtestaat[[#This Row],[Frequentie weekend]]&gt;0,VALUE(LEFT(X878,1))*Q878,0)</f>
        <v>0</v>
      </c>
      <c r="Z878" s="33">
        <f>IF($Y878&gt;0,VLOOKUP($J878,Ruimtegroepen[],3,FALSE)*VLOOKUP($K878,Vloersoorten[],3,FALSE)*VLOOKUP($X878,Frequenties[],3,FALSE)*VLOOKUP(#REF!,Locaties[],3,FALSE),0)</f>
        <v>0</v>
      </c>
      <c r="AA878" s="33"/>
      <c r="AB878" s="33"/>
      <c r="AC878" s="33">
        <f>Ruimtestaat[[#This Row],[uren / jaar weekend]]*Tariefsopbouw!$D$40</f>
        <v>0</v>
      </c>
      <c r="AD878" s="88">
        <f>Ruimtestaat[[#This Row],[Prest. (m2 /jaar) weekend]]+Ruimtestaat[[#This Row],[Prest. (m2 /jaar) werkdagen]]</f>
        <v>10600</v>
      </c>
      <c r="AE878" s="88">
        <f>Ruimtestaat[[#This Row],[uren / jaar weekend]]+Ruimtestaat[[#This Row],[uren / jaar werkdagen]]</f>
        <v>0</v>
      </c>
      <c r="AF878" s="89">
        <f>Ruimtestaat[[#This Row],[kosten / jaar weekend]]+Ruimtestaat[[#This Row],[kosten / jaar werkdagen]]</f>
        <v>0</v>
      </c>
    </row>
    <row r="879" spans="1:32" ht="15" customHeight="1">
      <c r="A879" s="280">
        <v>6</v>
      </c>
      <c r="B879" s="21" t="str">
        <f>VLOOKUP(Ruimtestaat[[#This Row],[Code]],Locaties[#All],2,FALSE)</f>
        <v>SGC Tubbergen</v>
      </c>
      <c r="C879" s="281" t="str">
        <f>VLOOKUP(Ruimtestaat[[#This Row],[Code]],Locaties[#All],4,FALSE)</f>
        <v>Huyerenseweg 1</v>
      </c>
      <c r="D879" s="281" t="str">
        <f>VLOOKUP(Ruimtestaat[[#This Row],[Code]],Locaties[#All],5,FALSE)</f>
        <v>7651 LR</v>
      </c>
      <c r="E879" s="281" t="str">
        <f>VLOOKUP(Ruimtestaat[[#This Row],[Code]],Locaties[#All],6,FALSE)</f>
        <v>Tubbergen</v>
      </c>
      <c r="F879" s="282"/>
      <c r="G879" s="201" t="s">
        <v>1033</v>
      </c>
      <c r="H879" s="280" t="s">
        <v>995</v>
      </c>
      <c r="I879" s="244" t="s">
        <v>1039</v>
      </c>
      <c r="J879" s="200">
        <v>8</v>
      </c>
      <c r="K879" s="243" t="s">
        <v>1040</v>
      </c>
      <c r="L879" s="284" t="s">
        <v>999</v>
      </c>
      <c r="M879" s="213">
        <v>37</v>
      </c>
      <c r="N879" s="202"/>
      <c r="O879" s="243" t="str">
        <f>VLOOKUP(Ruimtestaat[[#This Row],[Ruimte code]],Ruimtegroepen[#All],4,FALSE)</f>
        <v>L  (Lesruimte)</v>
      </c>
      <c r="P879" s="214"/>
      <c r="Q879" s="215">
        <v>40</v>
      </c>
      <c r="R879" s="215" t="s">
        <v>2</v>
      </c>
      <c r="S879" s="215">
        <f>IF(R879&gt;0,IF(RIGHT(Ruimtestaat[[#This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79" s="215">
        <f>IF(S879&gt;0,VLOOKUP($J879,Ruimtegroepen[],3,FALSE)*VLOOKUP($K879,Vloersoorten[],3,FALSE)*VLOOKUP($R879,Frequenties[],3,FALSE)*VLOOKUP($A879,Locaties[],3,FALSE),0)</f>
        <v>0</v>
      </c>
      <c r="U879" s="215">
        <f>Ruimtestaat[[#This Row],[Uitvoeringen werkdagen]]*Ruimtestaat[[#This Row],[Oppervlak (netto)]]</f>
        <v>7400</v>
      </c>
      <c r="V879" s="259">
        <f>IF(T879&gt;0,Ruimtestaat[[#This Row],[Prest. (m2 /jaar) werkdagen]]/Ruimtestaat[[#This Row],[Norm (m2/uur) werkdagen]],0)</f>
        <v>0</v>
      </c>
      <c r="W879" s="260">
        <f>Ruimtestaat[[#This Row],[uren / jaar werkdagen]]*Tariefsopbouw!$D$38</f>
        <v>0</v>
      </c>
      <c r="X879" s="33"/>
      <c r="Y879" s="33">
        <f>IF(Ruimtestaat[[#This Row],[Frequentie weekend]]&gt;0,VALUE(LEFT(X879,1))*Q879,0)</f>
        <v>0</v>
      </c>
      <c r="Z879" s="33">
        <f>IF($Y879&gt;0,VLOOKUP($J879,Ruimtegroepen[],3,FALSE)*VLOOKUP($K879,Vloersoorten[],3,FALSE)*VLOOKUP($X879,Frequenties[],3,FALSE)*VLOOKUP(#REF!,Locaties[],3,FALSE),0)</f>
        <v>0</v>
      </c>
      <c r="AA879" s="33"/>
      <c r="AB879" s="33"/>
      <c r="AC879" s="33">
        <f>Ruimtestaat[[#This Row],[uren / jaar weekend]]*Tariefsopbouw!$D$40</f>
        <v>0</v>
      </c>
      <c r="AD879" s="88">
        <f>Ruimtestaat[[#This Row],[Prest. (m2 /jaar) weekend]]+Ruimtestaat[[#This Row],[Prest. (m2 /jaar) werkdagen]]</f>
        <v>7400</v>
      </c>
      <c r="AE879" s="88">
        <f>Ruimtestaat[[#This Row],[uren / jaar weekend]]+Ruimtestaat[[#This Row],[uren / jaar werkdagen]]</f>
        <v>0</v>
      </c>
      <c r="AF879" s="89">
        <f>Ruimtestaat[[#This Row],[kosten / jaar weekend]]+Ruimtestaat[[#This Row],[kosten / jaar werkdagen]]</f>
        <v>0</v>
      </c>
    </row>
    <row r="880" spans="1:32" ht="15" customHeight="1">
      <c r="A880" s="280">
        <v>6</v>
      </c>
      <c r="B880" s="21" t="str">
        <f>VLOOKUP(Ruimtestaat[[#This Row],[Code]],Locaties[#All],2,FALSE)</f>
        <v>SGC Tubbergen</v>
      </c>
      <c r="C880" s="281" t="str">
        <f>VLOOKUP(Ruimtestaat[[#This Row],[Code]],Locaties[#All],4,FALSE)</f>
        <v>Huyerenseweg 1</v>
      </c>
      <c r="D880" s="281" t="str">
        <f>VLOOKUP(Ruimtestaat[[#This Row],[Code]],Locaties[#All],5,FALSE)</f>
        <v>7651 LR</v>
      </c>
      <c r="E880" s="281" t="str">
        <f>VLOOKUP(Ruimtestaat[[#This Row],[Code]],Locaties[#All],6,FALSE)</f>
        <v>Tubbergen</v>
      </c>
      <c r="F880" s="282"/>
      <c r="G880" s="201" t="s">
        <v>1034</v>
      </c>
      <c r="H880" s="280"/>
      <c r="I880" s="244" t="s">
        <v>396</v>
      </c>
      <c r="J880" s="215">
        <v>16</v>
      </c>
      <c r="K880" s="243" t="s">
        <v>1040</v>
      </c>
      <c r="L880" s="284" t="s">
        <v>999</v>
      </c>
      <c r="M880" s="213">
        <v>45.4</v>
      </c>
      <c r="N880" s="202"/>
      <c r="O880" s="243" t="str">
        <f>VLOOKUP(Ruimtestaat[[#This Row],[Ruimte code]],Ruimtegroepen[#All],4,FALSE)</f>
        <v>L  (Lesruimte)</v>
      </c>
      <c r="P880" s="214"/>
      <c r="Q880" s="215">
        <v>40</v>
      </c>
      <c r="R880" s="215" t="s">
        <v>2</v>
      </c>
      <c r="S880" s="215">
        <f>IF(R880&gt;0,IF(RIGHT(Ruimtestaat[[#This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200</v>
      </c>
      <c r="T880" s="215">
        <f>IF(S880&gt;0,VLOOKUP($J880,Ruimtegroepen[],3,FALSE)*VLOOKUP($K880,Vloersoorten[],3,FALSE)*VLOOKUP($R880,Frequenties[],3,FALSE)*VLOOKUP($A880,Locaties[],3,FALSE),0)</f>
        <v>0</v>
      </c>
      <c r="U880" s="215">
        <f>Ruimtestaat[[#This Row],[Uitvoeringen werkdagen]]*Ruimtestaat[[#This Row],[Oppervlak (netto)]]</f>
        <v>9080</v>
      </c>
      <c r="V880" s="259">
        <f>IF(T880&gt;0,Ruimtestaat[[#This Row],[Prest. (m2 /jaar) werkdagen]]/Ruimtestaat[[#This Row],[Norm (m2/uur) werkdagen]],0)</f>
        <v>0</v>
      </c>
      <c r="W880" s="260">
        <f>Ruimtestaat[[#This Row],[uren / jaar werkdagen]]*Tariefsopbouw!$D$38</f>
        <v>0</v>
      </c>
      <c r="X880" s="33"/>
      <c r="Y880" s="33">
        <f>IF(Ruimtestaat[[#This Row],[Frequentie weekend]]&gt;0,VALUE(LEFT(X880,1))*Q880,0)</f>
        <v>0</v>
      </c>
      <c r="Z880" s="33">
        <f>IF($Y880&gt;0,VLOOKUP($J880,Ruimtegroepen[],3,FALSE)*VLOOKUP($K880,Vloersoorten[],3,FALSE)*VLOOKUP($X880,Frequenties[],3,FALSE)*VLOOKUP(#REF!,Locaties[],3,FALSE),0)</f>
        <v>0</v>
      </c>
      <c r="AA880" s="33"/>
      <c r="AB880" s="33"/>
      <c r="AC880" s="33">
        <f>Ruimtestaat[[#This Row],[uren / jaar weekend]]*Tariefsopbouw!$D$40</f>
        <v>0</v>
      </c>
      <c r="AD880" s="88">
        <f>Ruimtestaat[[#This Row],[Prest. (m2 /jaar) weekend]]+Ruimtestaat[[#This Row],[Prest. (m2 /jaar) werkdagen]]</f>
        <v>9080</v>
      </c>
      <c r="AE880" s="88">
        <f>Ruimtestaat[[#This Row],[uren / jaar weekend]]+Ruimtestaat[[#This Row],[uren / jaar werkdagen]]</f>
        <v>0</v>
      </c>
      <c r="AF880" s="89">
        <f>Ruimtestaat[[#This Row],[kosten / jaar weekend]]+Ruimtestaat[[#This Row],[kosten / jaar werkdagen]]</f>
        <v>0</v>
      </c>
    </row>
    <row r="881" spans="1:32" ht="15" customHeight="1">
      <c r="A881" s="280">
        <v>6</v>
      </c>
      <c r="B881" s="21" t="str">
        <f>VLOOKUP(Ruimtestaat[[#This Row],[Code]],Locaties[#All],2,FALSE)</f>
        <v>SGC Tubbergen</v>
      </c>
      <c r="C881" s="281" t="str">
        <f>VLOOKUP(Ruimtestaat[[#This Row],[Code]],Locaties[#All],4,FALSE)</f>
        <v>Huyerenseweg 1</v>
      </c>
      <c r="D881" s="281" t="str">
        <f>VLOOKUP(Ruimtestaat[[#This Row],[Code]],Locaties[#All],5,FALSE)</f>
        <v>7651 LR</v>
      </c>
      <c r="E881" s="281" t="str">
        <f>VLOOKUP(Ruimtestaat[[#This Row],[Code]],Locaties[#All],6,FALSE)</f>
        <v>Tubbergen</v>
      </c>
      <c r="F881" s="282"/>
      <c r="G881" s="201" t="s">
        <v>1035</v>
      </c>
      <c r="H881" s="280" t="s">
        <v>996</v>
      </c>
      <c r="I881" s="244" t="s">
        <v>487</v>
      </c>
      <c r="J881" s="200">
        <v>2</v>
      </c>
      <c r="K881" s="243" t="s">
        <v>1040</v>
      </c>
      <c r="L881" s="284" t="s">
        <v>999</v>
      </c>
      <c r="M881" s="213">
        <v>20</v>
      </c>
      <c r="N881" s="202"/>
      <c r="O881" s="243" t="str">
        <f>VLOOKUP(Ruimtestaat[[#This Row],[Ruimte code]],Ruimtegroepen[#All],4,FALSE)</f>
        <v>B  (Bureauruimte)</v>
      </c>
      <c r="P881" s="214"/>
      <c r="Q881" s="215">
        <v>40</v>
      </c>
      <c r="R881" s="215" t="s">
        <v>17</v>
      </c>
      <c r="S881" s="215">
        <f>IF(R881&gt;0,IF(RIGHT(Ruimtestaat[[#This Row],[Ruimte gebruiks-intentie]],1)="w",VALUE(LEFT(Ruimtestaat[[#This Row],[Ruimte gebruiks-intentie]],(LEN(Ruimtestaat[[#This Row],[Ruimte gebruiks-intentie]])-1))*Ruimtestaat[[#This Row],[Aantal weken/jr]]),IF(RIGHT(Ruimtestaat[[#This Row],[Ruimte gebruiks-intentie]],1)="m",VALUE(LEFT(Ruimtestaat[[#This Row],[Ruimte gebruiks-intentie]],LEN(Ruimtestaat[[#This Row],[Ruimte gebruiks-intentie]])-1)*12),VALUE(LEFT(Ruimtestaat[[#This Row],[Ruimte gebruiks-intentie]],(LEN(Ruimtestaat[[#This Row],[Ruimte gebruiks-intentie]])-1))))),0)</f>
        <v>80</v>
      </c>
      <c r="T881" s="215">
        <f>IF(S881&gt;0,VLOOKUP($J881,Ruimtegroepen[],3,FALSE)*VLOOKUP($K881,Vloersoorten[],3,FALSE)*VLOOKUP($R881,Frequenties[],3,FALSE)*VLOOKUP($A881,Locaties[],3,FALSE),0)</f>
        <v>0</v>
      </c>
      <c r="U881" s="215">
        <f>Ruimtestaat[[#This Row],[Uitvoeringen werkdagen]]*Ruimtestaat[[#This Row],[Oppervlak (netto)]]</f>
        <v>1600</v>
      </c>
      <c r="V881" s="259">
        <f>IF(T881&gt;0,Ruimtestaat[[#This Row],[Prest. (m2 /jaar) werkdagen]]/Ruimtestaat[[#This Row],[Norm (m2/uur) werkdagen]],0)</f>
        <v>0</v>
      </c>
      <c r="W881" s="260">
        <f>Ruimtestaat[[#This Row],[uren / jaar werkdagen]]*Tariefsopbouw!$D$38</f>
        <v>0</v>
      </c>
      <c r="X881" s="33"/>
      <c r="Y881" s="33">
        <f>IF(Ruimtestaat[[#This Row],[Frequentie weekend]]&gt;0,VALUE(LEFT(X881,1))*Q881,0)</f>
        <v>0</v>
      </c>
      <c r="Z881" s="33">
        <f>IF($Y881&gt;0,VLOOKUP($J881,Ruimtegroepen[],3,FALSE)*VLOOKUP($K881,Vloersoorten[],3,FALSE)*VLOOKUP($X881,Frequenties[],3,FALSE)*VLOOKUP(#REF!,Locaties[],3,FALSE),0)</f>
        <v>0</v>
      </c>
      <c r="AA881" s="33"/>
      <c r="AB881" s="33"/>
      <c r="AC881" s="33">
        <f>Ruimtestaat[[#This Row],[uren / jaar weekend]]*Tariefsopbouw!$D$40</f>
        <v>0</v>
      </c>
      <c r="AD881" s="88">
        <f>Ruimtestaat[[#This Row],[Prest. (m2 /jaar) weekend]]+Ruimtestaat[[#This Row],[Prest. (m2 /jaar) werkdagen]]</f>
        <v>1600</v>
      </c>
      <c r="AE881" s="88">
        <f>Ruimtestaat[[#This Row],[uren / jaar weekend]]+Ruimtestaat[[#This Row],[uren / jaar werkdagen]]</f>
        <v>0</v>
      </c>
      <c r="AF881" s="89">
        <f>Ruimtestaat[[#This Row],[kosten / jaar weekend]]+Ruimtestaat[[#This Row],[kosten / jaar werkdagen]]</f>
        <v>0</v>
      </c>
    </row>
  </sheetData>
  <sortState xmlns:xlrd2="http://schemas.microsoft.com/office/spreadsheetml/2017/richdata2" ref="B17:R524">
    <sortCondition ref="B17:B524"/>
    <sortCondition ref="F17:F524"/>
  </sortState>
  <mergeCells count="5">
    <mergeCell ref="A1:P1"/>
    <mergeCell ref="Q1:AF1"/>
    <mergeCell ref="R3:W3"/>
    <mergeCell ref="X3:AC3"/>
    <mergeCell ref="AD3:AF3"/>
  </mergeCells>
  <phoneticPr fontId="10" type="noConversion"/>
  <pageMargins left="0.23622047244094491" right="0.23622047244094491" top="0.74803149606299213" bottom="0.74803149606299213" header="0.31496062992125984" footer="0.31496062992125984"/>
  <pageSetup paperSize="8" scale="53" fitToWidth="2" fitToHeight="0" orientation="landscape" r:id="rId1"/>
  <headerFooter alignWithMargins="0">
    <oddFooter>&amp;L&amp;P&amp;Cparaaf Inschrijver&amp;R&amp;D</oddFooter>
  </headerFooter>
  <colBreaks count="1" manualBreakCount="1">
    <brk id="24" max="880" man="1"/>
  </colBreak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26"/>
  <sheetViews>
    <sheetView showGridLines="0" view="pageBreakPreview" zoomScaleNormal="100" zoomScaleSheetLayoutView="100" workbookViewId="0">
      <selection sqref="A1:G1"/>
    </sheetView>
  </sheetViews>
  <sheetFormatPr defaultColWidth="9.140625" defaultRowHeight="15" customHeight="1"/>
  <cols>
    <col min="1" max="1" width="11.5703125" style="21" customWidth="1"/>
    <col min="2" max="2" width="51.7109375" style="4" customWidth="1"/>
    <col min="3" max="3" width="12.5703125" style="4" customWidth="1"/>
    <col min="4" max="4" width="52.140625" style="21" bestFit="1" customWidth="1"/>
    <col min="5" max="5" width="18.42578125" style="4" customWidth="1"/>
    <col min="6" max="7" width="19" style="4" customWidth="1"/>
    <col min="8" max="9" width="17.7109375" style="4" bestFit="1" customWidth="1"/>
    <col min="10" max="16384" width="9.140625" style="4"/>
  </cols>
  <sheetData>
    <row r="1" spans="1:9" s="9" customFormat="1" ht="26.25" customHeight="1">
      <c r="A1" s="347" t="s">
        <v>41</v>
      </c>
      <c r="B1" s="347"/>
      <c r="C1" s="347"/>
      <c r="D1" s="347"/>
      <c r="E1" s="347"/>
      <c r="F1" s="347"/>
      <c r="G1" s="347"/>
      <c r="H1" s="81"/>
    </row>
    <row r="2" spans="1:9" s="9" customFormat="1" ht="15" customHeight="1">
      <c r="A2" s="358" t="s">
        <v>217</v>
      </c>
      <c r="B2" s="321"/>
      <c r="C2" s="321"/>
      <c r="D2" s="321"/>
      <c r="E2" s="321"/>
      <c r="F2" s="321"/>
      <c r="G2" s="321"/>
    </row>
    <row r="3" spans="1:9" ht="15" customHeight="1">
      <c r="B3" s="21"/>
      <c r="D3" s="4"/>
    </row>
    <row r="4" spans="1:9" ht="15" customHeight="1">
      <c r="A4" s="4" t="s">
        <v>182</v>
      </c>
      <c r="B4" s="21"/>
      <c r="D4" s="4"/>
    </row>
    <row r="5" spans="1:9" ht="15" customHeight="1">
      <c r="A5" s="4" t="s">
        <v>247</v>
      </c>
      <c r="B5" s="21"/>
      <c r="D5" s="4"/>
    </row>
    <row r="6" spans="1:9" ht="15" customHeight="1">
      <c r="A6" s="4" t="s">
        <v>200</v>
      </c>
      <c r="B6" s="38"/>
      <c r="C6" s="38"/>
      <c r="D6" s="34"/>
      <c r="E6" s="34"/>
      <c r="F6" s="39"/>
      <c r="G6" s="39"/>
    </row>
    <row r="7" spans="1:9" ht="15" customHeight="1">
      <c r="A7" s="4"/>
      <c r="B7" s="38"/>
      <c r="C7" s="38"/>
      <c r="D7" s="34"/>
      <c r="E7" s="359" t="s">
        <v>404</v>
      </c>
      <c r="F7" s="359"/>
      <c r="G7" s="359"/>
      <c r="H7" s="359"/>
      <c r="I7" s="359"/>
    </row>
    <row r="8" spans="1:9" s="8" customFormat="1" ht="26.25" customHeight="1">
      <c r="A8" s="51" t="s">
        <v>214</v>
      </c>
      <c r="B8" s="52" t="s">
        <v>146</v>
      </c>
      <c r="C8" s="53" t="s">
        <v>181</v>
      </c>
      <c r="D8" s="51" t="s">
        <v>151</v>
      </c>
      <c r="E8" s="51" t="s">
        <v>433</v>
      </c>
      <c r="F8" s="51" t="s">
        <v>434</v>
      </c>
      <c r="G8" s="51" t="s">
        <v>435</v>
      </c>
      <c r="H8" s="51" t="s">
        <v>436</v>
      </c>
      <c r="I8" s="51" t="s">
        <v>926</v>
      </c>
    </row>
    <row r="9" spans="1:9" ht="15" customHeight="1">
      <c r="A9" s="302">
        <v>1</v>
      </c>
      <c r="B9" s="307" t="s">
        <v>233</v>
      </c>
      <c r="C9" s="56">
        <v>0</v>
      </c>
      <c r="D9" s="303" t="s">
        <v>149</v>
      </c>
      <c r="E9" s="308" t="e">
        <f>(InvulGlas[[#This Row],[Prijs excl. BTW]]*Tariefsopbouw!$I$37)+InvulGlas[[#This Row],[Prijs excl. BTW]]</f>
        <v>#DIV/0!</v>
      </c>
      <c r="F9" s="308" t="e">
        <f>E9*Tariefsopbouw!$K$37+Glasbewassing!E9</f>
        <v>#DIV/0!</v>
      </c>
      <c r="G9" s="308" t="e">
        <f>F9*Tariefsopbouw!$M$37+Glasbewassing!F9</f>
        <v>#DIV/0!</v>
      </c>
      <c r="H9" s="309" t="e">
        <f>G9*Tariefsopbouw!$O$37+Glasbewassing!G9</f>
        <v>#DIV/0!</v>
      </c>
      <c r="I9" s="308" t="e">
        <f>H9*Tariefsopbouw!$Q$37+Glasbewassing!H9</f>
        <v>#DIV/0!</v>
      </c>
    </row>
    <row r="10" spans="1:9" ht="15" customHeight="1">
      <c r="A10" s="302">
        <v>2</v>
      </c>
      <c r="B10" s="307" t="s">
        <v>148</v>
      </c>
      <c r="C10" s="56">
        <v>0</v>
      </c>
      <c r="D10" s="303" t="s">
        <v>149</v>
      </c>
      <c r="E10" s="308" t="e">
        <f>(InvulGlas[[#This Row],[Prijs excl. BTW]]*Tariefsopbouw!$I$37)+InvulGlas[[#This Row],[Prijs excl. BTW]]</f>
        <v>#DIV/0!</v>
      </c>
      <c r="F10" s="308" t="e">
        <f>E10*Tariefsopbouw!$K$37+Glasbewassing!E10</f>
        <v>#DIV/0!</v>
      </c>
      <c r="G10" s="308" t="e">
        <f>F10*Tariefsopbouw!$M$37+Glasbewassing!F10</f>
        <v>#DIV/0!</v>
      </c>
      <c r="H10" s="308" t="e">
        <f>G10*Tariefsopbouw!$O$37+Glasbewassing!G10</f>
        <v>#DIV/0!</v>
      </c>
      <c r="I10" s="308" t="e">
        <f>H10*Tariefsopbouw!$Q$37+Glasbewassing!H10</f>
        <v>#DIV/0!</v>
      </c>
    </row>
    <row r="11" spans="1:9" ht="15" customHeight="1">
      <c r="A11" s="302">
        <v>3</v>
      </c>
      <c r="B11" s="307" t="s">
        <v>150</v>
      </c>
      <c r="C11" s="56">
        <v>0</v>
      </c>
      <c r="D11" s="303" t="s">
        <v>149</v>
      </c>
      <c r="E11" s="308" t="e">
        <f>(InvulGlas[[#This Row],[Prijs excl. BTW]]*Tariefsopbouw!$I$37)+InvulGlas[[#This Row],[Prijs excl. BTW]]</f>
        <v>#DIV/0!</v>
      </c>
      <c r="F11" s="308" t="e">
        <f>E11*Tariefsopbouw!$K$37+Glasbewassing!E11</f>
        <v>#DIV/0!</v>
      </c>
      <c r="G11" s="308" t="e">
        <f>F11*Tariefsopbouw!$M$37+Glasbewassing!F11</f>
        <v>#DIV/0!</v>
      </c>
      <c r="H11" s="308" t="e">
        <f>G11*Tariefsopbouw!$O$37+Glasbewassing!G11</f>
        <v>#DIV/0!</v>
      </c>
      <c r="I11" s="308" t="e">
        <f>H11*Tariefsopbouw!$Q$37+Glasbewassing!H11</f>
        <v>#DIV/0!</v>
      </c>
    </row>
    <row r="12" spans="1:9" ht="15" customHeight="1">
      <c r="A12" s="302">
        <v>4</v>
      </c>
      <c r="B12" s="307" t="s">
        <v>234</v>
      </c>
      <c r="C12" s="56">
        <v>0</v>
      </c>
      <c r="D12" s="303" t="s">
        <v>149</v>
      </c>
      <c r="E12" s="308" t="e">
        <f>(InvulGlas[[#This Row],[Prijs excl. BTW]]*Tariefsopbouw!$I$37)+InvulGlas[[#This Row],[Prijs excl. BTW]]</f>
        <v>#DIV/0!</v>
      </c>
      <c r="F12" s="308" t="e">
        <f>E12*Tariefsopbouw!$K$37+Glasbewassing!E12</f>
        <v>#DIV/0!</v>
      </c>
      <c r="G12" s="308" t="e">
        <f>F12*Tariefsopbouw!$M$37+Glasbewassing!F12</f>
        <v>#DIV/0!</v>
      </c>
      <c r="H12" s="308" t="e">
        <f>G12*Tariefsopbouw!$O$37+Glasbewassing!G12</f>
        <v>#DIV/0!</v>
      </c>
      <c r="I12" s="308" t="e">
        <f>H12*Tariefsopbouw!$Q$37+Glasbewassing!H12</f>
        <v>#DIV/0!</v>
      </c>
    </row>
    <row r="13" spans="1:9" ht="15" customHeight="1">
      <c r="A13" s="302">
        <v>5</v>
      </c>
      <c r="B13" s="307" t="s">
        <v>258</v>
      </c>
      <c r="C13" s="56">
        <v>0</v>
      </c>
      <c r="D13" s="303" t="s">
        <v>149</v>
      </c>
      <c r="E13" s="308" t="e">
        <f>(InvulGlas[[#This Row],[Prijs excl. BTW]]*Tariefsopbouw!$I$37)+InvulGlas[[#This Row],[Prijs excl. BTW]]</f>
        <v>#DIV/0!</v>
      </c>
      <c r="F13" s="308" t="e">
        <f>E13*Tariefsopbouw!$K$37+Glasbewassing!E13</f>
        <v>#DIV/0!</v>
      </c>
      <c r="G13" s="308" t="e">
        <f>F13*Tariefsopbouw!$M$37+Glasbewassing!F13</f>
        <v>#DIV/0!</v>
      </c>
      <c r="H13" s="308" t="e">
        <f>G13*Tariefsopbouw!$O$37+Glasbewassing!G13</f>
        <v>#DIV/0!</v>
      </c>
      <c r="I13" s="308" t="e">
        <f>H13*Tariefsopbouw!$Q$37+Glasbewassing!H13</f>
        <v>#DIV/0!</v>
      </c>
    </row>
    <row r="14" spans="1:9" ht="15" customHeight="1">
      <c r="A14" s="302">
        <v>6</v>
      </c>
      <c r="B14" s="307" t="s">
        <v>1052</v>
      </c>
      <c r="C14" s="56">
        <v>0</v>
      </c>
      <c r="D14" s="303" t="s">
        <v>149</v>
      </c>
      <c r="E14" s="308" t="e">
        <f>(InvulGlas[[#This Row],[Prijs excl. BTW]]*Tariefsopbouw!$I$37)+InvulGlas[[#This Row],[Prijs excl. BTW]]</f>
        <v>#DIV/0!</v>
      </c>
      <c r="F14" s="308" t="e">
        <f>E14*Tariefsopbouw!$K$37+Glasbewassing!E14</f>
        <v>#DIV/0!</v>
      </c>
      <c r="G14" s="308" t="e">
        <f>F14*Tariefsopbouw!$M$37+Glasbewassing!F14</f>
        <v>#DIV/0!</v>
      </c>
      <c r="H14" s="308" t="e">
        <f>G14*Tariefsopbouw!$O$37+Glasbewassing!G14</f>
        <v>#DIV/0!</v>
      </c>
      <c r="I14" s="308" t="e">
        <f>H14*Tariefsopbouw!$Q$37+Glasbewassing!H14</f>
        <v>#DIV/0!</v>
      </c>
    </row>
    <row r="15" spans="1:9" ht="15" customHeight="1">
      <c r="A15" s="200">
        <v>7</v>
      </c>
      <c r="B15" s="307" t="s">
        <v>930</v>
      </c>
      <c r="C15" s="56">
        <v>0</v>
      </c>
      <c r="D15" s="303" t="s">
        <v>254</v>
      </c>
      <c r="E15" s="308" t="e">
        <f>(InvulGlas[[#This Row],[Prijs excl. BTW]]*Tariefsopbouw!$I$37)+InvulGlas[[#This Row],[Prijs excl. BTW]]</f>
        <v>#DIV/0!</v>
      </c>
      <c r="F15" s="308" t="e">
        <f>E15*Tariefsopbouw!$K$37+Glasbewassing!E15</f>
        <v>#DIV/0!</v>
      </c>
      <c r="G15" s="308" t="e">
        <f>F15*Tariefsopbouw!$M$37+Glasbewassing!F15</f>
        <v>#DIV/0!</v>
      </c>
      <c r="H15" s="309" t="e">
        <f>G15*Tariefsopbouw!$O$37+Glasbewassing!G15</f>
        <v>#DIV/0!</v>
      </c>
      <c r="I15" s="308" t="e">
        <f>H15*Tariefsopbouw!$Q$37+Glasbewassing!H15</f>
        <v>#DIV/0!</v>
      </c>
    </row>
    <row r="16" spans="1:9" ht="15" customHeight="1">
      <c r="A16" s="200">
        <v>8</v>
      </c>
      <c r="B16" s="307" t="s">
        <v>940</v>
      </c>
      <c r="C16" s="56">
        <v>0</v>
      </c>
      <c r="D16" s="303" t="s">
        <v>254</v>
      </c>
      <c r="E16" s="308" t="e">
        <f>(InvulGlas[[#This Row],[Prijs excl. BTW]]*Tariefsopbouw!$I$37)+InvulGlas[[#This Row],[Prijs excl. BTW]]</f>
        <v>#DIV/0!</v>
      </c>
      <c r="F16" s="308" t="e">
        <f>E16*Tariefsopbouw!$K$37+Glasbewassing!E16</f>
        <v>#DIV/0!</v>
      </c>
      <c r="G16" s="308" t="e">
        <f>F16*Tariefsopbouw!$M$37+Glasbewassing!F16</f>
        <v>#DIV/0!</v>
      </c>
      <c r="H16" s="308" t="e">
        <f>G16*Tariefsopbouw!$O$37+Glasbewassing!G16</f>
        <v>#DIV/0!</v>
      </c>
      <c r="I16" s="308" t="e">
        <f>H16*Tariefsopbouw!$Q$37+Glasbewassing!H16</f>
        <v>#DIV/0!</v>
      </c>
    </row>
    <row r="17" spans="1:9" ht="15" customHeight="1">
      <c r="A17" s="200">
        <v>9</v>
      </c>
      <c r="B17" s="307" t="s">
        <v>1053</v>
      </c>
      <c r="C17" s="56">
        <v>0</v>
      </c>
      <c r="D17" s="303" t="s">
        <v>149</v>
      </c>
      <c r="E17" s="308" t="e">
        <f>(InvulGlas[[#This Row],[Prijs excl. BTW]]*Tariefsopbouw!$I$37)+InvulGlas[[#This Row],[Prijs excl. BTW]]</f>
        <v>#DIV/0!</v>
      </c>
      <c r="F17" s="308" t="e">
        <f>E17*Tariefsopbouw!$K$37+Glasbewassing!E17</f>
        <v>#DIV/0!</v>
      </c>
      <c r="G17" s="308" t="e">
        <f>F17*Tariefsopbouw!$M$37+Glasbewassing!F17</f>
        <v>#DIV/0!</v>
      </c>
      <c r="H17" s="308" t="e">
        <f>G17*Tariefsopbouw!$O$37+Glasbewassing!G17</f>
        <v>#DIV/0!</v>
      </c>
      <c r="I17" s="308" t="e">
        <f>H17*Tariefsopbouw!$Q$37+Glasbewassing!H17</f>
        <v>#DIV/0!</v>
      </c>
    </row>
    <row r="18" spans="1:9" ht="15" customHeight="1">
      <c r="A18" s="302" t="s">
        <v>157</v>
      </c>
      <c r="B18" s="307" t="s">
        <v>153</v>
      </c>
      <c r="C18" s="56">
        <v>0</v>
      </c>
      <c r="D18" s="303" t="s">
        <v>48</v>
      </c>
      <c r="E18" s="308" t="e">
        <f>(InvulGlas[[#This Row],[Prijs excl. BTW]]*Tariefsopbouw!$I$37)+InvulGlas[[#This Row],[Prijs excl. BTW]]</f>
        <v>#DIV/0!</v>
      </c>
      <c r="F18" s="308" t="e">
        <f>E18*Tariefsopbouw!$K$37+Glasbewassing!E18</f>
        <v>#DIV/0!</v>
      </c>
      <c r="G18" s="308" t="e">
        <f>F18*Tariefsopbouw!$M$37+Glasbewassing!F18</f>
        <v>#DIV/0!</v>
      </c>
      <c r="H18" s="308" t="e">
        <f>G18*Tariefsopbouw!$O$37+Glasbewassing!G18</f>
        <v>#DIV/0!</v>
      </c>
      <c r="I18" s="308" t="e">
        <f>H18*Tariefsopbouw!$Q$37+Glasbewassing!H18</f>
        <v>#DIV/0!</v>
      </c>
    </row>
    <row r="19" spans="1:9" ht="15" customHeight="1">
      <c r="A19" s="302" t="s">
        <v>158</v>
      </c>
      <c r="B19" s="307" t="s">
        <v>154</v>
      </c>
      <c r="C19" s="56">
        <v>0</v>
      </c>
      <c r="D19" s="303" t="s">
        <v>48</v>
      </c>
      <c r="E19" s="308" t="e">
        <f>(InvulGlas[[#This Row],[Prijs excl. BTW]]*Tariefsopbouw!$I$37)+InvulGlas[[#This Row],[Prijs excl. BTW]]</f>
        <v>#DIV/0!</v>
      </c>
      <c r="F19" s="308" t="e">
        <f>E19*Tariefsopbouw!$K$37+Glasbewassing!E19</f>
        <v>#DIV/0!</v>
      </c>
      <c r="G19" s="308" t="e">
        <f>F19*Tariefsopbouw!$M$37+Glasbewassing!F19</f>
        <v>#DIV/0!</v>
      </c>
      <c r="H19" s="308" t="e">
        <f>G19*Tariefsopbouw!$O$37+Glasbewassing!G19</f>
        <v>#DIV/0!</v>
      </c>
      <c r="I19" s="308" t="e">
        <f>H19*Tariefsopbouw!$Q$37+Glasbewassing!H19</f>
        <v>#DIV/0!</v>
      </c>
    </row>
    <row r="20" spans="1:9" ht="15" customHeight="1">
      <c r="A20" s="302" t="s">
        <v>159</v>
      </c>
      <c r="B20" s="307" t="s">
        <v>155</v>
      </c>
      <c r="C20" s="56">
        <v>0</v>
      </c>
      <c r="D20" s="303" t="s">
        <v>48</v>
      </c>
      <c r="E20" s="308" t="e">
        <f>(InvulGlas[[#This Row],[Prijs excl. BTW]]*Tariefsopbouw!$I$37)+InvulGlas[[#This Row],[Prijs excl. BTW]]</f>
        <v>#DIV/0!</v>
      </c>
      <c r="F20" s="308" t="e">
        <f>E20*Tariefsopbouw!$K$37+Glasbewassing!E20</f>
        <v>#DIV/0!</v>
      </c>
      <c r="G20" s="308" t="e">
        <f>F20*Tariefsopbouw!$M$37+Glasbewassing!F20</f>
        <v>#DIV/0!</v>
      </c>
      <c r="H20" s="308" t="e">
        <f>G20*Tariefsopbouw!$O$37+Glasbewassing!G20</f>
        <v>#DIV/0!</v>
      </c>
      <c r="I20" s="308" t="e">
        <f>H20*Tariefsopbouw!$Q$37+Glasbewassing!H20</f>
        <v>#DIV/0!</v>
      </c>
    </row>
    <row r="21" spans="1:9" ht="15" customHeight="1">
      <c r="A21" s="302" t="s">
        <v>255</v>
      </c>
      <c r="B21" s="307" t="s">
        <v>256</v>
      </c>
      <c r="C21" s="56">
        <v>0</v>
      </c>
      <c r="D21" s="303" t="s">
        <v>48</v>
      </c>
      <c r="E21" s="308" t="e">
        <f>(InvulGlas[[#This Row],[Prijs excl. BTW]]*Tariefsopbouw!$I$37)+InvulGlas[[#This Row],[Prijs excl. BTW]]</f>
        <v>#DIV/0!</v>
      </c>
      <c r="F21" s="308" t="e">
        <f>E21*Tariefsopbouw!$K$37+Glasbewassing!E21</f>
        <v>#DIV/0!</v>
      </c>
      <c r="G21" s="308" t="e">
        <f>F21*Tariefsopbouw!$M$37+Glasbewassing!F21</f>
        <v>#DIV/0!</v>
      </c>
      <c r="H21" s="308" t="e">
        <f>G21*Tariefsopbouw!$O$37+Glasbewassing!G21</f>
        <v>#DIV/0!</v>
      </c>
      <c r="I21" s="308" t="e">
        <f>H21*Tariefsopbouw!$Q$37+Glasbewassing!H21</f>
        <v>#DIV/0!</v>
      </c>
    </row>
    <row r="22" spans="1:9" ht="15" customHeight="1">
      <c r="C22" s="35"/>
      <c r="D22" s="35"/>
    </row>
    <row r="23" spans="1:9" s="75" customFormat="1" ht="26.25" customHeight="1">
      <c r="A23" s="76" t="s">
        <v>212</v>
      </c>
      <c r="B23" s="76" t="s">
        <v>145</v>
      </c>
      <c r="C23" s="76" t="s">
        <v>214</v>
      </c>
      <c r="D23" s="77" t="s">
        <v>146</v>
      </c>
      <c r="E23" s="77" t="s">
        <v>156</v>
      </c>
      <c r="F23" s="77" t="s">
        <v>125</v>
      </c>
      <c r="G23" s="78" t="s">
        <v>147</v>
      </c>
      <c r="H23" s="310" t="s">
        <v>424</v>
      </c>
    </row>
    <row r="24" spans="1:9" ht="15" customHeight="1">
      <c r="A24" s="302">
        <v>1</v>
      </c>
      <c r="B24" s="303" t="str">
        <f>VLOOKUP(OverzichtGlas[[#This Row],[Code Locatie]],Locaties[],2,0)</f>
        <v>PXC Aalderinkshoek</v>
      </c>
      <c r="C24" s="302">
        <v>1</v>
      </c>
      <c r="D24" s="304" t="str">
        <f>IF(Glasbewassing!$C24&gt;0,VLOOKUP(Glasbewassing!$C24,$A$8:$B$21,2,FALSE),"Hier vult u de inzet van eventuele hoogwerkers in")</f>
        <v>Gevelglas binnenzijde</v>
      </c>
      <c r="E24" s="202">
        <v>2184.1999999999998</v>
      </c>
      <c r="F24" s="305">
        <v>2</v>
      </c>
      <c r="G24" s="306">
        <f>IF(C24&gt;0,VLOOKUP(OverzichtGlas[[#This Row],[Code taak]],InvulGlas[],3,0)*E24*F24,0)</f>
        <v>0</v>
      </c>
      <c r="H24" s="302"/>
    </row>
    <row r="25" spans="1:9" ht="15" customHeight="1">
      <c r="A25" s="302">
        <v>1</v>
      </c>
      <c r="B25" s="303" t="str">
        <f>VLOOKUP(OverzichtGlas[[#This Row],[Code Locatie]],Locaties[],2,0)</f>
        <v>PXC Aalderinkshoek</v>
      </c>
      <c r="C25" s="302">
        <v>2</v>
      </c>
      <c r="D25" s="304" t="str">
        <f>IF(Glasbewassing!$C25&gt;0,VLOOKUP(Glasbewassing!$C25,$A$8:$B$21,2,FALSE),"Hier vult u de inzet van eventuele hoogwerkers in")</f>
        <v>Gevelglas buitenzijde</v>
      </c>
      <c r="E25" s="202">
        <v>2184.1999999999998</v>
      </c>
      <c r="F25" s="305">
        <v>2</v>
      </c>
      <c r="G25" s="306">
        <f>IF(C25&gt;0,VLOOKUP(OverzichtGlas[[#This Row],[Code taak]],InvulGlas[],3,0)*E25*F25,0)</f>
        <v>0</v>
      </c>
      <c r="H25" s="302"/>
    </row>
    <row r="26" spans="1:9" ht="15" customHeight="1">
      <c r="A26" s="302">
        <v>1</v>
      </c>
      <c r="B26" s="303" t="str">
        <f>VLOOKUP(OverzichtGlas[[#This Row],[Code Locatie]],Locaties[],2,0)</f>
        <v>PXC Aalderinkshoek</v>
      </c>
      <c r="C26" s="302">
        <v>3</v>
      </c>
      <c r="D26" s="304" t="str">
        <f>IF(Glasbewassing!$C26&gt;0,VLOOKUP(Glasbewassing!$C26,$A$8:$B$21,2,FALSE),"Hier vult u de inzet van eventuele hoogwerkers in")</f>
        <v>Separatieglas (enkel gemeten, dubbel te wassen)</v>
      </c>
      <c r="E26" s="202">
        <v>761.3</v>
      </c>
      <c r="F26" s="305">
        <v>2</v>
      </c>
      <c r="G26" s="306">
        <f>IF(C26&gt;0,VLOOKUP(OverzichtGlas[[#This Row],[Code taak]],InvulGlas[],3,0)*E26*F26,0)</f>
        <v>0</v>
      </c>
      <c r="H26" s="302"/>
    </row>
    <row r="27" spans="1:9" ht="15" customHeight="1">
      <c r="A27" s="302">
        <v>1</v>
      </c>
      <c r="B27" s="303" t="str">
        <f>VLOOKUP(OverzichtGlas[[#This Row],[Code Locatie]],Locaties[],2,0)</f>
        <v>PXC Aalderinkshoek</v>
      </c>
      <c r="C27" s="240"/>
      <c r="D27" s="304" t="str">
        <f>IF(Glasbewassing!$C27&gt;0,VLOOKUP(Glasbewassing!$C27,$A$8:$B$21,2,FALSE),"Hier vult u de inzet van eventuele hoogwerkers in")</f>
        <v>Hier vult u de inzet van eventuele hoogwerkers in</v>
      </c>
      <c r="E27" s="240"/>
      <c r="F27" s="305">
        <v>2</v>
      </c>
      <c r="G27" s="306">
        <f>IF(C27&gt;0,VLOOKUP(OverzichtGlas[[#This Row],[Code taak]],InvulGlas[],3,0)*E27*F27,0)</f>
        <v>0</v>
      </c>
      <c r="H27" s="302"/>
    </row>
    <row r="28" spans="1:9" ht="15" customHeight="1">
      <c r="A28" s="302">
        <v>2</v>
      </c>
      <c r="B28" s="303" t="str">
        <f>VLOOKUP(OverzichtGlas[[#This Row],[Code Locatie]],Locaties[],2,0)</f>
        <v>Stichting Facilitair Beheer Van Renneslaan</v>
      </c>
      <c r="C28" s="302">
        <v>1</v>
      </c>
      <c r="D28" s="304" t="str">
        <f>IF(Glasbewassing!$C28&gt;0,VLOOKUP(Glasbewassing!$C28,$A$8:$B$21,2,FALSE),"Hier vult u de inzet van eventuele hoogwerkers in")</f>
        <v>Gevelglas binnenzijde</v>
      </c>
      <c r="E28" s="202">
        <v>1895.08</v>
      </c>
      <c r="F28" s="305">
        <v>2</v>
      </c>
      <c r="G28" s="306">
        <f>IF(C28&gt;0,VLOOKUP(OverzichtGlas[[#This Row],[Code taak]],InvulGlas[],3,0)*E28*F28,0)</f>
        <v>0</v>
      </c>
      <c r="H28" s="302"/>
    </row>
    <row r="29" spans="1:9" ht="15" customHeight="1">
      <c r="A29" s="302">
        <v>2</v>
      </c>
      <c r="B29" s="303" t="str">
        <f>VLOOKUP(OverzichtGlas[[#This Row],[Code Locatie]],Locaties[],2,0)</f>
        <v>Stichting Facilitair Beheer Van Renneslaan</v>
      </c>
      <c r="C29" s="302">
        <v>2</v>
      </c>
      <c r="D29" s="304" t="str">
        <f>IF(Glasbewassing!$C29&gt;0,VLOOKUP(Glasbewassing!$C29,$A$8:$B$21,2,FALSE),"Hier vult u de inzet van eventuele hoogwerkers in")</f>
        <v>Gevelglas buitenzijde</v>
      </c>
      <c r="E29" s="202">
        <v>1895.08</v>
      </c>
      <c r="F29" s="305">
        <v>2</v>
      </c>
      <c r="G29" s="306">
        <f>IF(C29&gt;0,VLOOKUP(OverzichtGlas[[#This Row],[Code taak]],InvulGlas[],3,0)*E29*F29,0)</f>
        <v>0</v>
      </c>
      <c r="H29" s="302"/>
    </row>
    <row r="30" spans="1:9" ht="15" customHeight="1">
      <c r="A30" s="302">
        <v>2</v>
      </c>
      <c r="B30" s="303" t="str">
        <f>VLOOKUP(OverzichtGlas[[#This Row],[Code Locatie]],Locaties[],2,0)</f>
        <v>Stichting Facilitair Beheer Van Renneslaan</v>
      </c>
      <c r="C30" s="302">
        <v>3</v>
      </c>
      <c r="D30" s="304" t="str">
        <f>IF(Glasbewassing!$C30&gt;0,VLOOKUP(Glasbewassing!$C30,$A$8:$B$21,2,FALSE),"Hier vult u de inzet van eventuele hoogwerkers in")</f>
        <v>Separatieglas (enkel gemeten, dubbel te wassen)</v>
      </c>
      <c r="E30" s="202">
        <v>1003.01</v>
      </c>
      <c r="F30" s="305">
        <v>2</v>
      </c>
      <c r="G30" s="306">
        <f>IF(C30&gt;0,VLOOKUP(OverzichtGlas[[#This Row],[Code taak]],InvulGlas[],3,0)*E30*F30,0)</f>
        <v>0</v>
      </c>
      <c r="H30" s="302"/>
    </row>
    <row r="31" spans="1:9" ht="15" customHeight="1">
      <c r="A31" s="302">
        <v>2</v>
      </c>
      <c r="B31" s="303" t="str">
        <f>VLOOKUP(OverzichtGlas[[#This Row],[Code Locatie]],Locaties[],2,0)</f>
        <v>Stichting Facilitair Beheer Van Renneslaan</v>
      </c>
      <c r="C31" s="240"/>
      <c r="D31" s="304" t="str">
        <f>IF(Glasbewassing!$C31&gt;0,VLOOKUP(Glasbewassing!$C31,$A$8:$B$21,2,FALSE),"Hier vult u de inzet van eventuele hoogwerkers in")</f>
        <v>Hier vult u de inzet van eventuele hoogwerkers in</v>
      </c>
      <c r="E31" s="240"/>
      <c r="F31" s="305">
        <v>2</v>
      </c>
      <c r="G31" s="306">
        <f>IF(C31&gt;0,VLOOKUP(OverzichtGlas[[#This Row],[Code taak]],InvulGlas[],3,0)*E31*F31,0)</f>
        <v>0</v>
      </c>
      <c r="H31" s="302"/>
    </row>
    <row r="32" spans="1:9" ht="15" customHeight="1">
      <c r="A32" s="302">
        <v>3</v>
      </c>
      <c r="B32" s="303" t="str">
        <f>VLOOKUP(OverzichtGlas[[#This Row],[Code Locatie]],Locaties[],2,0)</f>
        <v>Stafbureau</v>
      </c>
      <c r="C32" s="302">
        <v>1</v>
      </c>
      <c r="D32" s="304" t="str">
        <f>IF(Glasbewassing!$C32&gt;0,VLOOKUP(Glasbewassing!$C32,$A$8:$B$21,2,FALSE),"Hier vult u de inzet van eventuele hoogwerkers in")</f>
        <v>Gevelglas binnenzijde</v>
      </c>
      <c r="E32" s="202">
        <v>85.55</v>
      </c>
      <c r="F32" s="305">
        <v>2</v>
      </c>
      <c r="G32" s="306">
        <f>IF(C32&gt;0,VLOOKUP(OverzichtGlas[[#This Row],[Code taak]],InvulGlas[],3,0)*E32*F32,0)</f>
        <v>0</v>
      </c>
      <c r="H32" s="302"/>
    </row>
    <row r="33" spans="1:8" ht="15" customHeight="1">
      <c r="A33" s="302">
        <v>3</v>
      </c>
      <c r="B33" s="303" t="str">
        <f>VLOOKUP(OverzichtGlas[[#This Row],[Code Locatie]],Locaties[],2,0)</f>
        <v>Stafbureau</v>
      </c>
      <c r="C33" s="302">
        <v>2</v>
      </c>
      <c r="D33" s="304" t="str">
        <f>IF(Glasbewassing!$C33&gt;0,VLOOKUP(Glasbewassing!$C33,$A$8:$B$21,2,FALSE),"Hier vult u de inzet van eventuele hoogwerkers in")</f>
        <v>Gevelglas buitenzijde</v>
      </c>
      <c r="E33" s="202">
        <v>85.55</v>
      </c>
      <c r="F33" s="305">
        <v>2</v>
      </c>
      <c r="G33" s="306">
        <f>IF(C33&gt;0,VLOOKUP(OverzichtGlas[[#This Row],[Code taak]],InvulGlas[],3,0)*E33*F33,0)</f>
        <v>0</v>
      </c>
      <c r="H33" s="302"/>
    </row>
    <row r="34" spans="1:8" ht="15" customHeight="1">
      <c r="A34" s="302">
        <v>3</v>
      </c>
      <c r="B34" s="303" t="str">
        <f>VLOOKUP(OverzichtGlas[[#This Row],[Code Locatie]],Locaties[],2,0)</f>
        <v>Stafbureau</v>
      </c>
      <c r="C34" s="302">
        <v>3</v>
      </c>
      <c r="D34" s="304" t="str">
        <f>IF(Glasbewassing!$C34&gt;0,VLOOKUP(Glasbewassing!$C34,$A$8:$B$21,2,FALSE),"Hier vult u de inzet van eventuele hoogwerkers in")</f>
        <v>Separatieglas (enkel gemeten, dubbel te wassen)</v>
      </c>
      <c r="E34" s="202">
        <v>6.125</v>
      </c>
      <c r="F34" s="305">
        <v>2</v>
      </c>
      <c r="G34" s="306">
        <f>IF(C34&gt;0,VLOOKUP(OverzichtGlas[[#This Row],[Code taak]],InvulGlas[],3,0)*E34*F34,0)</f>
        <v>0</v>
      </c>
      <c r="H34" s="302"/>
    </row>
    <row r="35" spans="1:8" ht="15" customHeight="1">
      <c r="A35" s="302">
        <v>3</v>
      </c>
      <c r="B35" s="303" t="str">
        <f>VLOOKUP(OverzichtGlas[[#This Row],[Code Locatie]],Locaties[],2,0)</f>
        <v>Stafbureau</v>
      </c>
      <c r="C35" s="240"/>
      <c r="D35" s="304" t="str">
        <f>IF(Glasbewassing!$C35&gt;0,VLOOKUP(Glasbewassing!$C35,$A$8:$B$21,2,FALSE),"Hier vult u de inzet van eventuele hoogwerkers in")</f>
        <v>Hier vult u de inzet van eventuele hoogwerkers in</v>
      </c>
      <c r="E35" s="240"/>
      <c r="F35" s="305">
        <v>2</v>
      </c>
      <c r="G35" s="306">
        <f>IF(C35&gt;0,VLOOKUP(OverzichtGlas[[#This Row],[Code taak]],InvulGlas[],3,0)*E35*F35,0)</f>
        <v>0</v>
      </c>
      <c r="H35" s="302"/>
    </row>
    <row r="36" spans="1:8" ht="15" customHeight="1">
      <c r="A36" s="302">
        <v>4</v>
      </c>
      <c r="B36" s="303" t="str">
        <f>VLOOKUP(OverzichtGlas[[#This Row],[Code Locatie]],Locaties[],2,0)</f>
        <v>PXC Rijssen</v>
      </c>
      <c r="C36" s="302">
        <v>1</v>
      </c>
      <c r="D36" s="304" t="str">
        <f>IF(Glasbewassing!$C36&gt;0,VLOOKUP(Glasbewassing!$C36,$A$8:$B$21,2,FALSE),"Hier vult u de inzet van eventuele hoogwerkers in")</f>
        <v>Gevelglas binnenzijde</v>
      </c>
      <c r="E36" s="202">
        <v>307.8</v>
      </c>
      <c r="F36" s="305">
        <v>2</v>
      </c>
      <c r="G36" s="306">
        <f>IF(C36&gt;0,VLOOKUP(OverzichtGlas[[#This Row],[Code taak]],InvulGlas[],3,0)*E36*F36,0)</f>
        <v>0</v>
      </c>
      <c r="H36" s="302"/>
    </row>
    <row r="37" spans="1:8" ht="15" customHeight="1">
      <c r="A37" s="302">
        <v>4</v>
      </c>
      <c r="B37" s="303" t="str">
        <f>VLOOKUP(OverzichtGlas[[#This Row],[Code Locatie]],Locaties[],2,0)</f>
        <v>PXC Rijssen</v>
      </c>
      <c r="C37" s="302">
        <v>2</v>
      </c>
      <c r="D37" s="304" t="str">
        <f>IF(Glasbewassing!$C37&gt;0,VLOOKUP(Glasbewassing!$C37,$A$8:$B$21,2,FALSE),"Hier vult u de inzet van eventuele hoogwerkers in")</f>
        <v>Gevelglas buitenzijde</v>
      </c>
      <c r="E37" s="202">
        <v>307.8</v>
      </c>
      <c r="F37" s="305">
        <v>2</v>
      </c>
      <c r="G37" s="306">
        <f>IF(C37&gt;0,VLOOKUP(OverzichtGlas[[#This Row],[Code taak]],InvulGlas[],3,0)*E37*F37,0)</f>
        <v>0</v>
      </c>
      <c r="H37" s="302"/>
    </row>
    <row r="38" spans="1:8" ht="15" customHeight="1">
      <c r="A38" s="302">
        <v>4</v>
      </c>
      <c r="B38" s="303" t="str">
        <f>VLOOKUP(OverzichtGlas[[#This Row],[Code Locatie]],Locaties[],2,0)</f>
        <v>PXC Rijssen</v>
      </c>
      <c r="C38" s="302">
        <v>3</v>
      </c>
      <c r="D38" s="304" t="str">
        <f>IF(Glasbewassing!$C38&gt;0,VLOOKUP(Glasbewassing!$C38,$A$8:$B$21,2,FALSE),"Hier vult u de inzet van eventuele hoogwerkers in")</f>
        <v>Separatieglas (enkel gemeten, dubbel te wassen)</v>
      </c>
      <c r="E38" s="202">
        <v>220.15</v>
      </c>
      <c r="F38" s="305">
        <v>2</v>
      </c>
      <c r="G38" s="306">
        <f>IF(C38&gt;0,VLOOKUP(OverzichtGlas[[#This Row],[Code taak]],InvulGlas[],3,0)*E38*F38,0)</f>
        <v>0</v>
      </c>
      <c r="H38" s="302"/>
    </row>
    <row r="39" spans="1:8" ht="15" customHeight="1">
      <c r="A39" s="302">
        <v>4</v>
      </c>
      <c r="B39" s="303" t="str">
        <f>VLOOKUP(OverzichtGlas[[#This Row],[Code Locatie]],Locaties[],2,0)</f>
        <v>PXC Rijssen</v>
      </c>
      <c r="C39" s="302">
        <v>7</v>
      </c>
      <c r="D39" s="304" t="str">
        <f>IF(Glasbewassing!$C39&gt;0,VLOOKUP(Glasbewassing!$C39,$A$8:$B$21,2,FALSE),"Hier vult u de inzet van eventuele hoogwerkers in")</f>
        <v>Gevelbeplating</v>
      </c>
      <c r="E39" s="202">
        <v>29</v>
      </c>
      <c r="F39" s="305">
        <v>1</v>
      </c>
      <c r="G39" s="306">
        <f>IF(C39&gt;0,VLOOKUP(OverzichtGlas[[#This Row],[Code taak]],InvulGlas[],3,0)*E39*F39,0)</f>
        <v>0</v>
      </c>
      <c r="H39" s="303" t="s">
        <v>1127</v>
      </c>
    </row>
    <row r="40" spans="1:8" ht="15" customHeight="1">
      <c r="A40" s="302">
        <v>4</v>
      </c>
      <c r="B40" s="303" t="str">
        <f>VLOOKUP(OverzichtGlas[[#This Row],[Code Locatie]],Locaties[],2,0)</f>
        <v>PXC Rijssen</v>
      </c>
      <c r="C40" s="302">
        <v>7</v>
      </c>
      <c r="D40" s="304" t="str">
        <f>IF(Glasbewassing!$C40&gt;0,VLOOKUP(Glasbewassing!$C40,$A$8:$B$21,2,FALSE),"Hier vult u de inzet van eventuele hoogwerkers in")</f>
        <v>Gevelbeplating</v>
      </c>
      <c r="E40" s="202">
        <v>29</v>
      </c>
      <c r="F40" s="305">
        <v>1</v>
      </c>
      <c r="G40" s="306">
        <f>IF(C40&gt;0,VLOOKUP(OverzichtGlas[[#This Row],[Code taak]],InvulGlas[],3,0)*E40*F40,0)</f>
        <v>0</v>
      </c>
      <c r="H40" s="303" t="s">
        <v>1128</v>
      </c>
    </row>
    <row r="41" spans="1:8" ht="15" customHeight="1">
      <c r="A41" s="302">
        <v>4</v>
      </c>
      <c r="B41" s="303" t="str">
        <f>VLOOKUP(OverzichtGlas[[#This Row],[Code Locatie]],Locaties[],2,0)</f>
        <v>PXC Rijssen</v>
      </c>
      <c r="C41" s="302">
        <v>7</v>
      </c>
      <c r="D41" s="304" t="str">
        <f>IF(Glasbewassing!$C41&gt;0,VLOOKUP(Glasbewassing!$C41,$A$8:$B$21,2,FALSE),"Hier vult u de inzet van eventuele hoogwerkers in")</f>
        <v>Gevelbeplating</v>
      </c>
      <c r="E41" s="202">
        <v>29</v>
      </c>
      <c r="F41" s="305">
        <v>1</v>
      </c>
      <c r="G41" s="306">
        <f>IF(C41&gt;0,VLOOKUP(OverzichtGlas[[#This Row],[Code taak]],InvulGlas[],3,0)*E41*F41,0)</f>
        <v>0</v>
      </c>
      <c r="H41" s="303" t="s">
        <v>1129</v>
      </c>
    </row>
    <row r="42" spans="1:8" ht="15" customHeight="1">
      <c r="A42" s="302">
        <v>4</v>
      </c>
      <c r="B42" s="303" t="str">
        <f>VLOOKUP(OverzichtGlas[[#This Row],[Code Locatie]],Locaties[],2,0)</f>
        <v>PXC Rijssen</v>
      </c>
      <c r="C42" s="240"/>
      <c r="D42" s="304" t="str">
        <f>IF(Glasbewassing!$C42&gt;0,VLOOKUP(Glasbewassing!$C42,$A$8:$B$21,2,FALSE),"Hier vult u de inzet van eventuele hoogwerkers in")</f>
        <v>Hier vult u de inzet van eventuele hoogwerkers in</v>
      </c>
      <c r="E42" s="240"/>
      <c r="F42" s="305">
        <v>2</v>
      </c>
      <c r="G42" s="306">
        <f>IF(C42&gt;0,VLOOKUP(OverzichtGlas[[#This Row],[Code taak]],InvulGlas[],3,0)*E42*F42,0)</f>
        <v>0</v>
      </c>
      <c r="H42" s="302"/>
    </row>
    <row r="43" spans="1:8" ht="15" customHeight="1">
      <c r="A43" s="302">
        <v>5</v>
      </c>
      <c r="B43" s="303" t="str">
        <f>VLOOKUP(OverzichtGlas[[#This Row],[Code Locatie]],Locaties[],2,0)</f>
        <v>SGC Almelo</v>
      </c>
      <c r="C43" s="302">
        <v>1</v>
      </c>
      <c r="D43" s="304" t="str">
        <f>IF(Glasbewassing!$C43&gt;0,VLOOKUP(Glasbewassing!$C43,$A$8:$B$21,2,FALSE),"Hier vult u de inzet van eventuele hoogwerkers in")</f>
        <v>Gevelglas binnenzijde</v>
      </c>
      <c r="E43" s="202">
        <v>1010.3</v>
      </c>
      <c r="F43" s="305">
        <v>2</v>
      </c>
      <c r="G43" s="306">
        <f>IF(C43&gt;0,VLOOKUP(OverzichtGlas[[#This Row],[Code taak]],InvulGlas[],3,0)*E43*F43,0)</f>
        <v>0</v>
      </c>
      <c r="H43" s="302"/>
    </row>
    <row r="44" spans="1:8" ht="15" customHeight="1">
      <c r="A44" s="302">
        <v>5</v>
      </c>
      <c r="B44" s="303" t="str">
        <f>VLOOKUP(OverzichtGlas[[#This Row],[Code Locatie]],Locaties[],2,0)</f>
        <v>SGC Almelo</v>
      </c>
      <c r="C44" s="302">
        <v>2</v>
      </c>
      <c r="D44" s="304" t="str">
        <f>IF(Glasbewassing!$C44&gt;0,VLOOKUP(Glasbewassing!$C44,$A$8:$B$21,2,FALSE),"Hier vult u de inzet van eventuele hoogwerkers in")</f>
        <v>Gevelglas buitenzijde</v>
      </c>
      <c r="E44" s="202">
        <v>1010.3</v>
      </c>
      <c r="F44" s="305">
        <v>2</v>
      </c>
      <c r="G44" s="306">
        <f>IF(C44&gt;0,VLOOKUP(OverzichtGlas[[#This Row],[Code taak]],InvulGlas[],3,0)*E44*F44,0)</f>
        <v>0</v>
      </c>
      <c r="H44" s="302"/>
    </row>
    <row r="45" spans="1:8" ht="15" customHeight="1">
      <c r="A45" s="302">
        <v>5</v>
      </c>
      <c r="B45" s="303" t="str">
        <f>VLOOKUP(OverzichtGlas[[#This Row],[Code Locatie]],Locaties[],2,0)</f>
        <v>SGC Almelo</v>
      </c>
      <c r="C45" s="302">
        <v>3</v>
      </c>
      <c r="D45" s="304" t="str">
        <f>IF(Glasbewassing!$C45&gt;0,VLOOKUP(Glasbewassing!$C45,$A$8:$B$21,2,FALSE),"Hier vult u de inzet van eventuele hoogwerkers in")</f>
        <v>Separatieglas (enkel gemeten, dubbel te wassen)</v>
      </c>
      <c r="E45" s="202">
        <v>292.45</v>
      </c>
      <c r="F45" s="305">
        <v>2</v>
      </c>
      <c r="G45" s="306">
        <f>IF(C45&gt;0,VLOOKUP(OverzichtGlas[[#This Row],[Code taak]],InvulGlas[],3,0)*E45*F45,0)</f>
        <v>0</v>
      </c>
      <c r="H45" s="302"/>
    </row>
    <row r="46" spans="1:8" ht="15" customHeight="1">
      <c r="A46" s="302">
        <v>5</v>
      </c>
      <c r="B46" s="303" t="str">
        <f>VLOOKUP(OverzichtGlas[[#This Row],[Code Locatie]],Locaties[],2,0)</f>
        <v>SGC Almelo</v>
      </c>
      <c r="C46" s="302">
        <v>1</v>
      </c>
      <c r="D46" s="304" t="str">
        <f>IF(Glasbewassing!$C46&gt;0,VLOOKUP(Glasbewassing!$C46,$A$8:$B$21,2,FALSE),"Hier vult u de inzet van eventuele hoogwerkers in")</f>
        <v>Gevelglas binnenzijde</v>
      </c>
      <c r="E46" s="202">
        <v>40</v>
      </c>
      <c r="F46" s="305">
        <v>10</v>
      </c>
      <c r="G46" s="306">
        <f>IF(C46&gt;0,VLOOKUP(OverzichtGlas[[#This Row],[Code taak]],InvulGlas[],3,0)*E46*F46,0)</f>
        <v>0</v>
      </c>
      <c r="H46" s="303" t="s">
        <v>1054</v>
      </c>
    </row>
    <row r="47" spans="1:8" ht="15" customHeight="1">
      <c r="A47" s="302">
        <v>5</v>
      </c>
      <c r="B47" s="303" t="str">
        <f>VLOOKUP(OverzichtGlas[[#This Row],[Code Locatie]],Locaties[],2,0)</f>
        <v>SGC Almelo</v>
      </c>
      <c r="C47" s="302">
        <v>2</v>
      </c>
      <c r="D47" s="304" t="str">
        <f>IF(Glasbewassing!$C47&gt;0,VLOOKUP(Glasbewassing!$C47,$A$8:$B$21,2,FALSE),"Hier vult u de inzet van eventuele hoogwerkers in")</f>
        <v>Gevelglas buitenzijde</v>
      </c>
      <c r="E47" s="202">
        <v>40</v>
      </c>
      <c r="F47" s="305">
        <v>10</v>
      </c>
      <c r="G47" s="306">
        <f>IF(C47&gt;0,VLOOKUP(OverzichtGlas[[#This Row],[Code taak]],InvulGlas[],3,0)*E47*F47,0)</f>
        <v>0</v>
      </c>
      <c r="H47" s="307" t="s">
        <v>1054</v>
      </c>
    </row>
    <row r="48" spans="1:8" ht="15" customHeight="1">
      <c r="A48" s="302">
        <v>5</v>
      </c>
      <c r="B48" s="303" t="str">
        <f>VLOOKUP(OverzichtGlas[[#This Row],[Code Locatie]],Locaties[],2,0)</f>
        <v>SGC Almelo</v>
      </c>
      <c r="C48" s="302">
        <v>9</v>
      </c>
      <c r="D48" s="304" t="str">
        <f>IF(Glasbewassing!$C48&gt;0,VLOOKUP(Glasbewassing!$C48,$A$8:$B$21,2,FALSE),"Hier vult u de inzet van eventuele hoogwerkers in")</f>
        <v>Trap / balustrade (enkel gemeten, dubbel te wassen)</v>
      </c>
      <c r="E48" s="202">
        <v>26</v>
      </c>
      <c r="F48" s="305">
        <v>10</v>
      </c>
      <c r="G48" s="306">
        <f>IF(C48&gt;0,VLOOKUP(OverzichtGlas[[#This Row],[Code taak]],InvulGlas[],3,0)*E48*F48,0)</f>
        <v>0</v>
      </c>
      <c r="H48" s="302"/>
    </row>
    <row r="49" spans="1:8" ht="15" customHeight="1">
      <c r="A49" s="302">
        <v>5</v>
      </c>
      <c r="B49" s="303" t="str">
        <f>VLOOKUP(OverzichtGlas[[#This Row],[Code Locatie]],Locaties[],2,0)</f>
        <v>SGC Almelo</v>
      </c>
      <c r="C49" s="302">
        <v>6</v>
      </c>
      <c r="D49" s="304" t="str">
        <f>IF(Glasbewassing!$C49&gt;0,VLOOKUP(Glasbewassing!$C49,$A$8:$B$21,2,FALSE),"Hier vult u de inzet van eventuele hoogwerkers in")</f>
        <v>Lichtstraat (enkel gemeten, dubbel te wassen)</v>
      </c>
      <c r="E49" s="202">
        <v>30</v>
      </c>
      <c r="F49" s="305">
        <v>2</v>
      </c>
      <c r="G49" s="306">
        <f>IF(C49&gt;0,VLOOKUP(OverzichtGlas[[#This Row],[Code taak]],InvulGlas[],3,0)*E49*F49,0)</f>
        <v>0</v>
      </c>
      <c r="H49" s="302"/>
    </row>
    <row r="50" spans="1:8" ht="15" customHeight="1">
      <c r="A50" s="302">
        <v>5</v>
      </c>
      <c r="B50" s="303" t="str">
        <f>VLOOKUP(OverzichtGlas[[#This Row],[Code Locatie]],Locaties[],2,0)</f>
        <v>SGC Almelo</v>
      </c>
      <c r="C50" s="240"/>
      <c r="D50" s="304" t="str">
        <f>IF(Glasbewassing!$C50&gt;0,VLOOKUP(Glasbewassing!$C50,$A$8:$B$21,2,FALSE),"Hier vult u de inzet van eventuele hoogwerkers in")</f>
        <v>Hier vult u de inzet van eventuele hoogwerkers in</v>
      </c>
      <c r="E50" s="240"/>
      <c r="F50" s="305">
        <v>2</v>
      </c>
      <c r="G50" s="306">
        <f>IF(C50&gt;0,VLOOKUP(OverzichtGlas[[#This Row],[Code taak]],InvulGlas[],3,0)*E50*F50,0)</f>
        <v>0</v>
      </c>
      <c r="H50" s="302"/>
    </row>
    <row r="51" spans="1:8" ht="15" customHeight="1">
      <c r="A51" s="302">
        <v>6</v>
      </c>
      <c r="B51" s="303" t="str">
        <f>VLOOKUP(OverzichtGlas[[#This Row],[Code Locatie]],Locaties[],2,0)</f>
        <v>SGC Tubbergen</v>
      </c>
      <c r="C51" s="302">
        <v>1</v>
      </c>
      <c r="D51" s="304" t="str">
        <f>IF(Glasbewassing!$C51&gt;0,VLOOKUP(Glasbewassing!$C51,$A$8:$B$21,2,FALSE),"Hier vult u de inzet van eventuele hoogwerkers in")</f>
        <v>Gevelglas binnenzijde</v>
      </c>
      <c r="E51" s="202">
        <v>1058.5999999999999</v>
      </c>
      <c r="F51" s="305">
        <v>2</v>
      </c>
      <c r="G51" s="306">
        <f>IF(C51&gt;0,VLOOKUP(OverzichtGlas[[#This Row],[Code taak]],InvulGlas[],3,0)*E51*F51,0)</f>
        <v>0</v>
      </c>
      <c r="H51" s="302"/>
    </row>
    <row r="52" spans="1:8" ht="15" customHeight="1">
      <c r="A52" s="302">
        <v>6</v>
      </c>
      <c r="B52" s="303" t="str">
        <f>VLOOKUP(OverzichtGlas[[#This Row],[Code Locatie]],Locaties[],2,0)</f>
        <v>SGC Tubbergen</v>
      </c>
      <c r="C52" s="302">
        <v>2</v>
      </c>
      <c r="D52" s="304" t="str">
        <f>IF(Glasbewassing!$C52&gt;0,VLOOKUP(Glasbewassing!$C52,$A$8:$B$21,2,FALSE),"Hier vult u de inzet van eventuele hoogwerkers in")</f>
        <v>Gevelglas buitenzijde</v>
      </c>
      <c r="E52" s="202">
        <v>1058.5999999999999</v>
      </c>
      <c r="F52" s="305">
        <v>2</v>
      </c>
      <c r="G52" s="306">
        <f>IF(C52&gt;0,VLOOKUP(OverzichtGlas[[#This Row],[Code taak]],InvulGlas[],3,0)*E52*F52,0)</f>
        <v>0</v>
      </c>
      <c r="H52" s="302"/>
    </row>
    <row r="53" spans="1:8" ht="15" customHeight="1">
      <c r="A53" s="302">
        <v>6</v>
      </c>
      <c r="B53" s="303" t="str">
        <f>VLOOKUP(OverzichtGlas[[#This Row],[Code Locatie]],Locaties[],2,0)</f>
        <v>SGC Tubbergen</v>
      </c>
      <c r="C53" s="302">
        <v>3</v>
      </c>
      <c r="D53" s="304" t="str">
        <f>IF(Glasbewassing!$C53&gt;0,VLOOKUP(Glasbewassing!$C53,$A$8:$B$21,2,FALSE),"Hier vult u de inzet van eventuele hoogwerkers in")</f>
        <v>Separatieglas (enkel gemeten, dubbel te wassen)</v>
      </c>
      <c r="E53" s="202">
        <v>622.83000000000004</v>
      </c>
      <c r="F53" s="305">
        <v>2</v>
      </c>
      <c r="G53" s="306">
        <f>IF(C53&gt;0,VLOOKUP(OverzichtGlas[[#This Row],[Code taak]],InvulGlas[],3,0)*E53*F53,0)</f>
        <v>0</v>
      </c>
      <c r="H53" s="302"/>
    </row>
    <row r="54" spans="1:8" ht="15" customHeight="1">
      <c r="A54" s="302">
        <v>6</v>
      </c>
      <c r="B54" s="303" t="str">
        <f>VLOOKUP(OverzichtGlas[[#This Row],[Code Locatie]],Locaties[],2,0)</f>
        <v>SGC Tubbergen</v>
      </c>
      <c r="C54" s="240"/>
      <c r="D54" s="304" t="str">
        <f>IF(Glasbewassing!$C54&gt;0,VLOOKUP(Glasbewassing!$C54,$A$8:$B$21,2,FALSE),"Hier vult u de inzet van eventuele hoogwerkers in")</f>
        <v>Hier vult u de inzet van eventuele hoogwerkers in</v>
      </c>
      <c r="E54" s="240"/>
      <c r="F54" s="305">
        <v>2</v>
      </c>
      <c r="G54" s="306">
        <f>IF(C54&gt;0,VLOOKUP(OverzichtGlas[[#This Row],[Code taak]],InvulGlas[],3,0)*E54*F54,0)</f>
        <v>0</v>
      </c>
      <c r="H54" s="302"/>
    </row>
    <row r="55" spans="1:8" ht="15" customHeight="1">
      <c r="A55" s="168" t="s">
        <v>33</v>
      </c>
      <c r="B55" s="169"/>
      <c r="C55" s="168"/>
      <c r="D55" s="170"/>
      <c r="E55" s="168"/>
      <c r="F55" s="168"/>
      <c r="G55" s="171">
        <f>SUBTOTAL(109,OverzichtGlas[Kosten/jaar excl. BTW])</f>
        <v>0</v>
      </c>
      <c r="H55" s="168"/>
    </row>
    <row r="56" spans="1:8" ht="15" customHeight="1">
      <c r="C56" s="35"/>
      <c r="D56" s="35"/>
      <c r="E56" s="35"/>
      <c r="F56" s="41"/>
      <c r="G56" s="36"/>
    </row>
    <row r="57" spans="1:8" ht="15" customHeight="1">
      <c r="C57" s="21"/>
      <c r="D57" s="4"/>
    </row>
    <row r="58" spans="1:8" ht="15" customHeight="1">
      <c r="C58" s="21"/>
      <c r="D58" s="4"/>
    </row>
    <row r="59" spans="1:8" ht="15" customHeight="1">
      <c r="C59" s="21"/>
      <c r="D59" s="4"/>
    </row>
    <row r="60" spans="1:8" ht="15" customHeight="1">
      <c r="C60" s="21"/>
      <c r="D60" s="4"/>
    </row>
    <row r="61" spans="1:8" ht="15" customHeight="1">
      <c r="C61" s="21"/>
      <c r="D61" s="4"/>
    </row>
    <row r="62" spans="1:8" ht="15" customHeight="1">
      <c r="C62" s="21"/>
      <c r="D62" s="4"/>
    </row>
    <row r="63" spans="1:8" ht="15" customHeight="1">
      <c r="C63" s="21"/>
      <c r="D63" s="4"/>
    </row>
    <row r="64" spans="1:8" ht="15" customHeight="1">
      <c r="C64" s="21"/>
      <c r="D64" s="4"/>
    </row>
    <row r="65" spans="3:4" ht="15" customHeight="1">
      <c r="C65" s="21"/>
      <c r="D65" s="4"/>
    </row>
    <row r="66" spans="3:4" ht="15" customHeight="1">
      <c r="C66" s="21"/>
      <c r="D66" s="4"/>
    </row>
    <row r="67" spans="3:4" ht="15" customHeight="1">
      <c r="C67" s="21"/>
      <c r="D67" s="4"/>
    </row>
    <row r="68" spans="3:4" ht="15" customHeight="1">
      <c r="C68" s="21"/>
      <c r="D68" s="4"/>
    </row>
    <row r="69" spans="3:4" ht="15" customHeight="1">
      <c r="C69" s="21"/>
      <c r="D69" s="4"/>
    </row>
    <row r="70" spans="3:4" ht="15" customHeight="1">
      <c r="C70" s="21"/>
      <c r="D70" s="4"/>
    </row>
    <row r="71" spans="3:4" ht="15" customHeight="1">
      <c r="C71" s="21"/>
      <c r="D71" s="4"/>
    </row>
    <row r="72" spans="3:4" ht="15" customHeight="1">
      <c r="C72" s="21"/>
      <c r="D72" s="4"/>
    </row>
    <row r="73" spans="3:4" ht="15" customHeight="1">
      <c r="C73" s="21"/>
      <c r="D73" s="4"/>
    </row>
    <row r="74" spans="3:4" ht="15" customHeight="1">
      <c r="C74" s="21"/>
      <c r="D74" s="4"/>
    </row>
    <row r="75" spans="3:4" ht="15" customHeight="1">
      <c r="C75" s="21"/>
      <c r="D75" s="4"/>
    </row>
    <row r="76" spans="3:4" ht="15" customHeight="1">
      <c r="C76" s="21"/>
      <c r="D76" s="4"/>
    </row>
    <row r="77" spans="3:4" ht="15" customHeight="1">
      <c r="C77" s="21"/>
      <c r="D77" s="4"/>
    </row>
    <row r="78" spans="3:4" ht="15" customHeight="1">
      <c r="C78" s="21"/>
      <c r="D78" s="4"/>
    </row>
    <row r="79" spans="3:4" ht="15" customHeight="1">
      <c r="C79" s="21"/>
      <c r="D79" s="4"/>
    </row>
    <row r="80" spans="3:4" ht="15" customHeight="1">
      <c r="C80" s="21"/>
      <c r="D80" s="4"/>
    </row>
    <row r="81" spans="3:4" ht="15" customHeight="1">
      <c r="C81" s="21"/>
      <c r="D81" s="4"/>
    </row>
    <row r="82" spans="3:4" ht="15" customHeight="1">
      <c r="C82" s="21"/>
      <c r="D82" s="4"/>
    </row>
    <row r="83" spans="3:4" ht="15" customHeight="1">
      <c r="C83" s="21"/>
      <c r="D83" s="4"/>
    </row>
    <row r="84" spans="3:4" ht="15" customHeight="1">
      <c r="C84" s="21"/>
      <c r="D84" s="4"/>
    </row>
    <row r="85" spans="3:4" ht="15" customHeight="1">
      <c r="C85" s="21"/>
      <c r="D85" s="4"/>
    </row>
    <row r="86" spans="3:4" ht="15" customHeight="1">
      <c r="C86" s="21"/>
      <c r="D86" s="4"/>
    </row>
    <row r="87" spans="3:4" ht="15" customHeight="1">
      <c r="C87" s="21"/>
      <c r="D87" s="4"/>
    </row>
    <row r="88" spans="3:4" ht="15" customHeight="1">
      <c r="C88" s="21"/>
      <c r="D88" s="4"/>
    </row>
    <row r="89" spans="3:4" ht="15" customHeight="1">
      <c r="C89" s="21"/>
      <c r="D89" s="4"/>
    </row>
    <row r="90" spans="3:4" ht="15" customHeight="1">
      <c r="C90" s="21"/>
      <c r="D90" s="4"/>
    </row>
    <row r="91" spans="3:4" ht="15" customHeight="1">
      <c r="C91" s="21"/>
      <c r="D91" s="4"/>
    </row>
    <row r="92" spans="3:4" ht="15" customHeight="1">
      <c r="C92" s="21"/>
      <c r="D92" s="4"/>
    </row>
    <row r="93" spans="3:4" ht="15" customHeight="1">
      <c r="C93" s="21"/>
      <c r="D93" s="4"/>
    </row>
    <row r="94" spans="3:4" ht="15" customHeight="1">
      <c r="C94" s="21"/>
      <c r="D94" s="4"/>
    </row>
    <row r="95" spans="3:4" ht="15" customHeight="1">
      <c r="C95" s="21"/>
      <c r="D95" s="4"/>
    </row>
    <row r="96" spans="3:4" ht="15" customHeight="1">
      <c r="C96" s="21"/>
      <c r="D96" s="4"/>
    </row>
    <row r="97" spans="3:4" ht="15" customHeight="1">
      <c r="C97" s="21"/>
      <c r="D97" s="4"/>
    </row>
    <row r="98" spans="3:4" ht="15" customHeight="1">
      <c r="C98" s="21"/>
      <c r="D98" s="4"/>
    </row>
    <row r="99" spans="3:4" ht="15" customHeight="1">
      <c r="C99" s="21"/>
      <c r="D99" s="4"/>
    </row>
    <row r="100" spans="3:4" ht="15" customHeight="1">
      <c r="C100" s="21"/>
      <c r="D100" s="4"/>
    </row>
    <row r="101" spans="3:4" ht="15" customHeight="1">
      <c r="C101" s="21"/>
      <c r="D101" s="4"/>
    </row>
    <row r="102" spans="3:4" ht="15" customHeight="1">
      <c r="C102" s="21"/>
      <c r="D102" s="4"/>
    </row>
    <row r="103" spans="3:4" ht="15" customHeight="1">
      <c r="C103" s="21"/>
      <c r="D103" s="4"/>
    </row>
    <row r="104" spans="3:4" ht="15" customHeight="1">
      <c r="C104" s="21"/>
      <c r="D104" s="4"/>
    </row>
    <row r="105" spans="3:4" ht="15" customHeight="1">
      <c r="C105" s="21"/>
      <c r="D105" s="4"/>
    </row>
    <row r="106" spans="3:4" ht="15" customHeight="1">
      <c r="C106" s="21"/>
      <c r="D106" s="4"/>
    </row>
    <row r="107" spans="3:4" ht="15" customHeight="1">
      <c r="C107" s="21"/>
      <c r="D107" s="4"/>
    </row>
    <row r="108" spans="3:4" ht="15" customHeight="1">
      <c r="C108" s="21"/>
      <c r="D108" s="4"/>
    </row>
    <row r="109" spans="3:4" ht="15" customHeight="1">
      <c r="C109" s="21"/>
      <c r="D109" s="4"/>
    </row>
    <row r="110" spans="3:4" ht="15" customHeight="1">
      <c r="C110" s="21"/>
      <c r="D110" s="4"/>
    </row>
    <row r="111" spans="3:4" ht="15" customHeight="1">
      <c r="C111" s="21"/>
      <c r="D111" s="4"/>
    </row>
    <row r="112" spans="3:4" ht="15" customHeight="1">
      <c r="C112" s="21"/>
      <c r="D112" s="4"/>
    </row>
    <row r="113" spans="3:4" ht="15" customHeight="1">
      <c r="C113" s="21"/>
      <c r="D113" s="4"/>
    </row>
    <row r="114" spans="3:4" ht="15" customHeight="1">
      <c r="C114" s="21"/>
      <c r="D114" s="4"/>
    </row>
    <row r="115" spans="3:4" ht="15" customHeight="1">
      <c r="C115" s="21"/>
      <c r="D115" s="4"/>
    </row>
    <row r="116" spans="3:4" ht="15" customHeight="1">
      <c r="C116" s="21"/>
      <c r="D116" s="4"/>
    </row>
    <row r="117" spans="3:4" ht="15" customHeight="1">
      <c r="C117" s="21"/>
      <c r="D117" s="4"/>
    </row>
    <row r="118" spans="3:4" ht="15" customHeight="1">
      <c r="C118" s="21"/>
      <c r="D118" s="4"/>
    </row>
    <row r="119" spans="3:4" ht="15" customHeight="1">
      <c r="C119" s="21"/>
      <c r="D119" s="4"/>
    </row>
    <row r="120" spans="3:4" ht="15" customHeight="1">
      <c r="C120" s="21"/>
      <c r="D120" s="4"/>
    </row>
    <row r="121" spans="3:4" ht="15" customHeight="1">
      <c r="C121" s="21"/>
      <c r="D121" s="4"/>
    </row>
    <row r="122" spans="3:4" ht="15" customHeight="1">
      <c r="C122" s="21"/>
      <c r="D122" s="4"/>
    </row>
    <row r="123" spans="3:4" ht="15" customHeight="1">
      <c r="C123" s="21"/>
      <c r="D123" s="4"/>
    </row>
    <row r="124" spans="3:4" ht="15" customHeight="1">
      <c r="C124" s="21"/>
      <c r="D124" s="4"/>
    </row>
    <row r="125" spans="3:4" ht="15" customHeight="1">
      <c r="C125" s="21"/>
      <c r="D125" s="4"/>
    </row>
    <row r="126" spans="3:4" ht="15" customHeight="1">
      <c r="C126" s="21"/>
      <c r="D126" s="4"/>
    </row>
  </sheetData>
  <mergeCells count="3">
    <mergeCell ref="A2:G2"/>
    <mergeCell ref="A1:G1"/>
    <mergeCell ref="E7:I7"/>
  </mergeCells>
  <phoneticPr fontId="20" type="noConversion"/>
  <pageMargins left="0.70866141732283472" right="0.70866141732283472" top="0.35433070866141736" bottom="0.47244094488188981" header="0.31496062992125984" footer="0.31496062992125984"/>
  <pageSetup paperSize="9" scale="40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50"/>
  <sheetViews>
    <sheetView showGridLines="0" view="pageBreakPreview" zoomScaleNormal="100" zoomScaleSheetLayoutView="100" workbookViewId="0">
      <selection sqref="A1:H1"/>
    </sheetView>
  </sheetViews>
  <sheetFormatPr defaultColWidth="9.140625" defaultRowHeight="15" customHeight="1"/>
  <cols>
    <col min="1" max="1" width="9.7109375" style="4" customWidth="1"/>
    <col min="2" max="2" width="56.28515625" style="4" customWidth="1"/>
    <col min="3" max="3" width="14.85546875" style="21" customWidth="1"/>
    <col min="4" max="4" width="59.85546875" style="4" bestFit="1" customWidth="1"/>
    <col min="5" max="5" width="17.7109375" style="4" bestFit="1" customWidth="1"/>
    <col min="6" max="6" width="17.7109375" style="161" bestFit="1" customWidth="1"/>
    <col min="7" max="7" width="17.7109375" style="4" bestFit="1" customWidth="1"/>
    <col min="8" max="8" width="18" style="4" bestFit="1" customWidth="1"/>
    <col min="9" max="9" width="19" style="4" customWidth="1"/>
    <col min="10" max="16384" width="9.140625" style="4"/>
  </cols>
  <sheetData>
    <row r="1" spans="1:9" s="9" customFormat="1" ht="26.25" customHeight="1">
      <c r="A1" s="319" t="s">
        <v>170</v>
      </c>
      <c r="B1" s="319"/>
      <c r="C1" s="319"/>
      <c r="D1" s="319"/>
      <c r="E1" s="319"/>
      <c r="F1" s="319"/>
      <c r="G1" s="319"/>
      <c r="H1" s="319"/>
    </row>
    <row r="2" spans="1:9" s="9" customFormat="1" ht="15" customHeight="1">
      <c r="A2" s="358" t="s">
        <v>432</v>
      </c>
      <c r="B2" s="321"/>
      <c r="C2" s="321"/>
      <c r="D2" s="321"/>
      <c r="E2" s="321"/>
      <c r="F2" s="321"/>
      <c r="G2" s="321"/>
      <c r="H2" s="321"/>
    </row>
    <row r="3" spans="1:9" ht="15" customHeight="1">
      <c r="B3" s="21"/>
      <c r="C3" s="4"/>
    </row>
    <row r="4" spans="1:9" ht="15" customHeight="1">
      <c r="A4" s="4" t="s">
        <v>182</v>
      </c>
      <c r="B4" s="35"/>
      <c r="C4" s="35"/>
      <c r="D4" s="35"/>
      <c r="E4" s="35"/>
      <c r="F4" s="162"/>
      <c r="G4" s="36"/>
    </row>
    <row r="5" spans="1:9" ht="15" customHeight="1">
      <c r="A5" s="4" t="s">
        <v>247</v>
      </c>
      <c r="B5" s="35"/>
      <c r="C5" s="35"/>
      <c r="D5" s="35"/>
      <c r="E5" s="35"/>
      <c r="F5" s="162"/>
      <c r="G5" s="36"/>
    </row>
    <row r="6" spans="1:9" ht="15" customHeight="1">
      <c r="A6" s="4" t="s">
        <v>240</v>
      </c>
      <c r="B6" s="38"/>
      <c r="C6" s="39"/>
      <c r="D6" s="39"/>
      <c r="E6" s="39"/>
      <c r="F6" s="163"/>
    </row>
    <row r="7" spans="1:9" ht="15" customHeight="1">
      <c r="B7" s="38"/>
      <c r="C7" s="38"/>
      <c r="D7" s="34"/>
      <c r="E7" s="359" t="s">
        <v>404</v>
      </c>
      <c r="F7" s="359"/>
      <c r="G7" s="359"/>
      <c r="H7" s="359"/>
      <c r="I7" s="359"/>
    </row>
    <row r="8" spans="1:9" s="8" customFormat="1" ht="26.25" customHeight="1">
      <c r="A8" s="51" t="s">
        <v>213</v>
      </c>
      <c r="B8" s="52" t="s">
        <v>160</v>
      </c>
      <c r="C8" s="53" t="s">
        <v>152</v>
      </c>
      <c r="D8" s="51" t="s">
        <v>215</v>
      </c>
      <c r="E8" s="51" t="s">
        <v>433</v>
      </c>
      <c r="F8" s="51" t="s">
        <v>434</v>
      </c>
      <c r="G8" s="51" t="s">
        <v>435</v>
      </c>
      <c r="H8" s="51" t="s">
        <v>436</v>
      </c>
      <c r="I8" s="51" t="s">
        <v>926</v>
      </c>
    </row>
    <row r="9" spans="1:9" ht="15" customHeight="1">
      <c r="A9" s="54">
        <v>1</v>
      </c>
      <c r="B9" s="55" t="s">
        <v>165</v>
      </c>
      <c r="C9" s="56">
        <v>0</v>
      </c>
      <c r="D9" s="59" t="s">
        <v>161</v>
      </c>
      <c r="E9" s="228" t="e">
        <f>(InvulVloer[[#This Row],[Prijs]]*Tariefsopbouw!$I$37)+InvulVloer[[#This Row],[Prijs]]</f>
        <v>#DIV/0!</v>
      </c>
      <c r="F9" s="230" t="e">
        <f>E9*Tariefsopbouw!$K$37+E9</f>
        <v>#DIV/0!</v>
      </c>
      <c r="G9" s="230" t="e">
        <f>F9*Tariefsopbouw!$M$37+F9</f>
        <v>#DIV/0!</v>
      </c>
      <c r="H9" s="230" t="e">
        <f>G9*Tariefsopbouw!$O$37+Vloeronderhoud!G9</f>
        <v>#DIV/0!</v>
      </c>
      <c r="I9" s="230" t="e">
        <f>H9*Tariefsopbouw!$Q$37+Vloeronderhoud!H9</f>
        <v>#DIV/0!</v>
      </c>
    </row>
    <row r="10" spans="1:9" ht="15" customHeight="1">
      <c r="A10" s="57">
        <v>2</v>
      </c>
      <c r="B10" s="58" t="s">
        <v>405</v>
      </c>
      <c r="C10" s="56">
        <v>0</v>
      </c>
      <c r="D10" s="61" t="s">
        <v>161</v>
      </c>
      <c r="E10" s="229" t="e">
        <f>(InvulVloer[[#This Row],[Prijs]]*Tariefsopbouw!$I$37)+InvulVloer[[#This Row],[Prijs]]</f>
        <v>#DIV/0!</v>
      </c>
      <c r="F10" s="229" t="e">
        <f>E10*Tariefsopbouw!$K$37+E10</f>
        <v>#DIV/0!</v>
      </c>
      <c r="G10" s="229" t="e">
        <f>F10*Tariefsopbouw!$M$37+F10</f>
        <v>#DIV/0!</v>
      </c>
      <c r="H10" s="229" t="e">
        <f>G10*Tariefsopbouw!$O$37+Vloeronderhoud!G10</f>
        <v>#DIV/0!</v>
      </c>
      <c r="I10" s="229" t="e">
        <f>H10*Tariefsopbouw!$Q$37+Vloeronderhoud!H10</f>
        <v>#DIV/0!</v>
      </c>
    </row>
    <row r="11" spans="1:9" ht="15" customHeight="1">
      <c r="A11" s="54">
        <v>3</v>
      </c>
      <c r="B11" s="55" t="s">
        <v>166</v>
      </c>
      <c r="C11" s="56">
        <v>0</v>
      </c>
      <c r="D11" s="59" t="s">
        <v>162</v>
      </c>
      <c r="E11" s="228" t="e">
        <f>(InvulVloer[[#This Row],[Prijs]]*Tariefsopbouw!$I$37)+InvulVloer[[#This Row],[Prijs]]</f>
        <v>#DIV/0!</v>
      </c>
      <c r="F11" s="228" t="e">
        <f>E11*Tariefsopbouw!$K$37+E11</f>
        <v>#DIV/0!</v>
      </c>
      <c r="G11" s="228" t="e">
        <f>F11*Tariefsopbouw!$M$37+F11</f>
        <v>#DIV/0!</v>
      </c>
      <c r="H11" s="228" t="e">
        <f>G11*Tariefsopbouw!$O$37+Vloeronderhoud!G11</f>
        <v>#DIV/0!</v>
      </c>
      <c r="I11" s="228" t="e">
        <f>H11*Tariefsopbouw!$Q$37+Vloeronderhoud!H11</f>
        <v>#DIV/0!</v>
      </c>
    </row>
    <row r="12" spans="1:9" ht="15" customHeight="1">
      <c r="A12" s="57">
        <v>4</v>
      </c>
      <c r="B12" s="58" t="s">
        <v>406</v>
      </c>
      <c r="C12" s="56">
        <v>0</v>
      </c>
      <c r="D12" s="61" t="s">
        <v>161</v>
      </c>
      <c r="E12" s="229" t="e">
        <f>(InvulVloer[[#This Row],[Prijs]]*Tariefsopbouw!$I$37)+InvulVloer[[#This Row],[Prijs]]</f>
        <v>#DIV/0!</v>
      </c>
      <c r="F12" s="229" t="e">
        <f>E12*Tariefsopbouw!$K$37+E12</f>
        <v>#DIV/0!</v>
      </c>
      <c r="G12" s="229" t="e">
        <f>F12*Tariefsopbouw!$M$37+F12</f>
        <v>#DIV/0!</v>
      </c>
      <c r="H12" s="229" t="e">
        <f>G12*Tariefsopbouw!$O$37+Vloeronderhoud!G12</f>
        <v>#DIV/0!</v>
      </c>
      <c r="I12" s="229" t="e">
        <f>H12*Tariefsopbouw!$Q$37+Vloeronderhoud!H12</f>
        <v>#DIV/0!</v>
      </c>
    </row>
    <row r="13" spans="1:9" ht="15" customHeight="1">
      <c r="A13" s="54">
        <v>5</v>
      </c>
      <c r="B13" s="55" t="s">
        <v>407</v>
      </c>
      <c r="C13" s="56">
        <v>0</v>
      </c>
      <c r="D13" s="59" t="s">
        <v>161</v>
      </c>
      <c r="E13" s="228" t="e">
        <f>(InvulVloer[[#This Row],[Prijs]]*Tariefsopbouw!$I$37)+InvulVloer[[#This Row],[Prijs]]</f>
        <v>#DIV/0!</v>
      </c>
      <c r="F13" s="228" t="e">
        <f>E13*Tariefsopbouw!$K$37+E13</f>
        <v>#DIV/0!</v>
      </c>
      <c r="G13" s="228" t="e">
        <f>F13*Tariefsopbouw!$M$37+F13</f>
        <v>#DIV/0!</v>
      </c>
      <c r="H13" s="228" t="e">
        <f>G13*Tariefsopbouw!$O$37+Vloeronderhoud!G13</f>
        <v>#DIV/0!</v>
      </c>
      <c r="I13" s="228" t="e">
        <f>H13*Tariefsopbouw!$Q$37+Vloeronderhoud!H13</f>
        <v>#DIV/0!</v>
      </c>
    </row>
    <row r="14" spans="1:9" ht="15" customHeight="1">
      <c r="A14" s="57">
        <v>6</v>
      </c>
      <c r="B14" s="58" t="s">
        <v>167</v>
      </c>
      <c r="C14" s="56">
        <v>0</v>
      </c>
      <c r="D14" s="61" t="s">
        <v>161</v>
      </c>
      <c r="E14" s="229" t="e">
        <f>(InvulVloer[[#This Row],[Prijs]]*Tariefsopbouw!$I$37)+InvulVloer[[#This Row],[Prijs]]</f>
        <v>#DIV/0!</v>
      </c>
      <c r="F14" s="229" t="e">
        <f>E14*Tariefsopbouw!$K$37+E14</f>
        <v>#DIV/0!</v>
      </c>
      <c r="G14" s="229" t="e">
        <f>F14*Tariefsopbouw!$M$37+F14</f>
        <v>#DIV/0!</v>
      </c>
      <c r="H14" s="229" t="e">
        <f>G14*Tariefsopbouw!$O$37+Vloeronderhoud!G14</f>
        <v>#DIV/0!</v>
      </c>
      <c r="I14" s="229" t="e">
        <f>H14*Tariefsopbouw!$Q$37+Vloeronderhoud!H14</f>
        <v>#DIV/0!</v>
      </c>
    </row>
    <row r="15" spans="1:9" ht="15" customHeight="1">
      <c r="A15" s="54">
        <v>7</v>
      </c>
      <c r="B15" s="59" t="s">
        <v>169</v>
      </c>
      <c r="C15" s="56">
        <v>0</v>
      </c>
      <c r="D15" s="59" t="s">
        <v>161</v>
      </c>
      <c r="E15" s="228" t="e">
        <f>(InvulVloer[[#This Row],[Prijs]]*Tariefsopbouw!$I$37)+InvulVloer[[#This Row],[Prijs]]</f>
        <v>#DIV/0!</v>
      </c>
      <c r="F15" s="228" t="e">
        <f>E15*Tariefsopbouw!$K$37+E15</f>
        <v>#DIV/0!</v>
      </c>
      <c r="G15" s="228" t="e">
        <f>F15*Tariefsopbouw!$M$37+F15</f>
        <v>#DIV/0!</v>
      </c>
      <c r="H15" s="228" t="e">
        <f>G15*Tariefsopbouw!$O$37+Vloeronderhoud!G15</f>
        <v>#DIV/0!</v>
      </c>
      <c r="I15" s="228" t="e">
        <f>H15*Tariefsopbouw!$Q$37+Vloeronderhoud!H15</f>
        <v>#DIV/0!</v>
      </c>
    </row>
    <row r="16" spans="1:9" ht="15" customHeight="1">
      <c r="A16" s="57">
        <v>8</v>
      </c>
      <c r="B16" s="60" t="s">
        <v>201</v>
      </c>
      <c r="C16" s="56">
        <v>0</v>
      </c>
      <c r="D16" s="61" t="s">
        <v>161</v>
      </c>
      <c r="E16" s="229" t="e">
        <f>(InvulVloer[[#This Row],[Prijs]]*Tariefsopbouw!$I$37)+InvulVloer[[#This Row],[Prijs]]</f>
        <v>#DIV/0!</v>
      </c>
      <c r="F16" s="229" t="e">
        <f>E16*Tariefsopbouw!$K$37+E16</f>
        <v>#DIV/0!</v>
      </c>
      <c r="G16" s="229" t="e">
        <f>F16*Tariefsopbouw!$M$37+F16</f>
        <v>#DIV/0!</v>
      </c>
      <c r="H16" s="229" t="e">
        <f>G16*Tariefsopbouw!$O$37+Vloeronderhoud!G16</f>
        <v>#DIV/0!</v>
      </c>
      <c r="I16" s="229" t="e">
        <f>H16*Tariefsopbouw!$Q$37+Vloeronderhoud!H16</f>
        <v>#DIV/0!</v>
      </c>
    </row>
    <row r="17" spans="1:9" ht="15" customHeight="1">
      <c r="B17" s="21"/>
      <c r="E17" s="40"/>
      <c r="F17" s="164"/>
      <c r="G17" s="40"/>
      <c r="H17" s="40"/>
    </row>
    <row r="18" spans="1:9" s="33" customFormat="1" ht="26.25" customHeight="1">
      <c r="A18" s="51" t="s">
        <v>212</v>
      </c>
      <c r="B18" s="52" t="s">
        <v>145</v>
      </c>
      <c r="C18" s="51" t="s">
        <v>213</v>
      </c>
      <c r="D18" s="62" t="s">
        <v>252</v>
      </c>
      <c r="E18" s="62" t="s">
        <v>163</v>
      </c>
      <c r="F18" s="165" t="s">
        <v>164</v>
      </c>
      <c r="G18" s="62" t="s">
        <v>168</v>
      </c>
      <c r="H18" s="63" t="s">
        <v>147</v>
      </c>
      <c r="I18" s="62" t="s">
        <v>424</v>
      </c>
    </row>
    <row r="19" spans="1:9" ht="15" customHeight="1">
      <c r="A19" s="54">
        <v>1</v>
      </c>
      <c r="B19" s="59" t="str">
        <f>VLOOKUP(OverzichtVloer[[#This Row],[Code Locatie]],Locaties[],2,0)</f>
        <v>PXC Aalderinkshoek</v>
      </c>
      <c r="C19" s="54">
        <v>1</v>
      </c>
      <c r="D19" s="64" t="str">
        <f>IF(Vloeronderhoud!$C19&gt;0,VLOOKUP(Vloeronderhoud!$C19,$A$8:$B$16,2,FALSE),"")</f>
        <v>Sprayen/opblokken</v>
      </c>
      <c r="E19" s="65" t="s">
        <v>110</v>
      </c>
      <c r="F19" s="166">
        <f>SUMIFS('Ruimtestaat'!$M:$M,'Ruimtestaat'!K:K,Vloeronderhoud!E19,'Ruimtestaat'!A:A,Vloeronderhoud!A19)</f>
        <v>5964.670000000001</v>
      </c>
      <c r="G19" s="67">
        <v>1</v>
      </c>
      <c r="H19" s="66">
        <f>VLOOKUP(OverzichtVloer[[#This Row],[Code Taak]],InvulVloer[],3,3)*F19*G19</f>
        <v>0</v>
      </c>
      <c r="I19" s="54"/>
    </row>
    <row r="20" spans="1:9" ht="15" customHeight="1">
      <c r="A20" s="57">
        <v>1</v>
      </c>
      <c r="B20" s="61" t="str">
        <f>VLOOKUP(OverzichtVloer[[#This Row],[Code Locatie]],Locaties[],2,0)</f>
        <v>PXC Aalderinkshoek</v>
      </c>
      <c r="C20" s="57">
        <v>2</v>
      </c>
      <c r="D20" s="68" t="str">
        <f>IF(Vloeronderhoud!$C20&gt;0,VLOOKUP(Vloeronderhoud!$C20,$A$8:$B$16,2,FALSE),"")</f>
        <v>Topstrippen en conserveren</v>
      </c>
      <c r="E20" s="69" t="s">
        <v>110</v>
      </c>
      <c r="F20" s="167">
        <f>SUMIFS('Ruimtestaat'!$M:$M,'Ruimtestaat'!K:K,Vloeronderhoud!E20,'Ruimtestaat'!A:A,Vloeronderhoud!A20)</f>
        <v>5964.670000000001</v>
      </c>
      <c r="G20" s="71">
        <v>1</v>
      </c>
      <c r="H20" s="70">
        <f>VLOOKUP(OverzichtVloer[[#This Row],[Code Taak]],InvulVloer[],3,3)*F20*G20</f>
        <v>0</v>
      </c>
      <c r="I20" s="68"/>
    </row>
    <row r="21" spans="1:9" ht="15" customHeight="1">
      <c r="A21" s="54">
        <v>1</v>
      </c>
      <c r="B21" s="59" t="str">
        <f>VLOOKUP(OverzichtVloer[[#This Row],[Code Locatie]],Locaties[],2,0)</f>
        <v>PXC Aalderinkshoek</v>
      </c>
      <c r="C21" s="54">
        <v>8</v>
      </c>
      <c r="D21" s="64" t="str">
        <f>IF(Vloeronderhoud!$C21&gt;0,VLOOKUP(Vloeronderhoud!$C21,$A$8:$B$16,2,FALSE),"")</f>
        <v>Machinaal schrobben en droogzuigen</v>
      </c>
      <c r="E21" s="65" t="s">
        <v>111</v>
      </c>
      <c r="F21" s="166">
        <f>SUMIFS('Ruimtestaat'!$M:$M,'Ruimtestaat'!K:K,Vloeronderhoud!E21,'Ruimtestaat'!A:A,Vloeronderhoud!A21)</f>
        <v>840.37000000000012</v>
      </c>
      <c r="G21" s="67">
        <v>2</v>
      </c>
      <c r="H21" s="66">
        <f>VLOOKUP(OverzichtVloer[[#This Row],[Code Taak]],InvulVloer[],3,3)*F21*G21</f>
        <v>0</v>
      </c>
      <c r="I21" s="54"/>
    </row>
    <row r="22" spans="1:9" ht="15" customHeight="1">
      <c r="A22" s="57">
        <v>1</v>
      </c>
      <c r="B22" s="61" t="str">
        <f>VLOOKUP(OverzichtVloer[[#This Row],[Code Locatie]],Locaties[],2,0)</f>
        <v>PXC Aalderinkshoek</v>
      </c>
      <c r="C22" s="57">
        <v>8</v>
      </c>
      <c r="D22" s="68" t="str">
        <f>IF(Vloeronderhoud!$C22&gt;0,VLOOKUP(Vloeronderhoud!$C22,$A$8:$B$16,2,FALSE),"")</f>
        <v>Machinaal schrobben en droogzuigen</v>
      </c>
      <c r="E22" s="69" t="s">
        <v>112</v>
      </c>
      <c r="F22" s="167">
        <f>SUMIFS('Ruimtestaat'!$M:$M,'Ruimtestaat'!K:K,Vloeronderhoud!E22,'Ruimtestaat'!A:A,Vloeronderhoud!A22)</f>
        <v>850.41999999999985</v>
      </c>
      <c r="G22" s="71">
        <v>2</v>
      </c>
      <c r="H22" s="70">
        <f>VLOOKUP(OverzichtVloer[[#This Row],[Code Taak]],InvulVloer[],3,3)*F22*G22</f>
        <v>0</v>
      </c>
      <c r="I22" s="68"/>
    </row>
    <row r="23" spans="1:9" ht="15" customHeight="1">
      <c r="A23" s="54">
        <v>1</v>
      </c>
      <c r="B23" s="59" t="str">
        <f>VLOOKUP(OverzichtVloer[[#This Row],[Code Locatie]],Locaties[],2,0)</f>
        <v>PXC Aalderinkshoek</v>
      </c>
      <c r="C23" s="54">
        <v>4</v>
      </c>
      <c r="D23" s="64" t="str">
        <f>IF(Vloeronderhoud!$C23&gt;0,VLOOKUP(Vloeronderhoud!$C23,$A$8:$B$16,2,FALSE),"")</f>
        <v>Tapijtreinigen, sproei-extractiemethode</v>
      </c>
      <c r="E23" s="65" t="s">
        <v>109</v>
      </c>
      <c r="F23" s="166">
        <f>SUMIFS('Ruimtestaat'!$M:$M,'Ruimtestaat'!K:K,Vloeronderhoud!E23,'Ruimtestaat'!A:A,Vloeronderhoud!A23)</f>
        <v>465.22</v>
      </c>
      <c r="G23" s="67">
        <v>1</v>
      </c>
      <c r="H23" s="66">
        <f>VLOOKUP(OverzichtVloer[[#This Row],[Code Taak]],InvulVloer[],3,3)*F23*G23</f>
        <v>0</v>
      </c>
      <c r="I23" s="54"/>
    </row>
    <row r="24" spans="1:9" ht="15" customHeight="1">
      <c r="A24" s="57">
        <v>2</v>
      </c>
      <c r="B24" s="61" t="str">
        <f>VLOOKUP(OverzichtVloer[[#This Row],[Code Locatie]],Locaties[],2,0)</f>
        <v>Stichting Facilitair Beheer Van Renneslaan</v>
      </c>
      <c r="C24" s="57">
        <v>1</v>
      </c>
      <c r="D24" s="68" t="str">
        <f>IF(Vloeronderhoud!$C24&gt;0,VLOOKUP(Vloeronderhoud!$C24,$A$8:$B$16,2,FALSE),"")</f>
        <v>Sprayen/opblokken</v>
      </c>
      <c r="E24" s="69" t="s">
        <v>110</v>
      </c>
      <c r="F24" s="167">
        <f>SUMIFS('Ruimtestaat'!$M:$M,'Ruimtestaat'!K:K,Vloeronderhoud!E24,'Ruimtestaat'!A:A,Vloeronderhoud!A24)</f>
        <v>0</v>
      </c>
      <c r="G24" s="71">
        <v>1</v>
      </c>
      <c r="H24" s="70">
        <f>VLOOKUP(OverzichtVloer[[#This Row],[Code Taak]],InvulVloer[],3,3)*F24*G24</f>
        <v>0</v>
      </c>
      <c r="I24" s="68"/>
    </row>
    <row r="25" spans="1:9" ht="15" customHeight="1">
      <c r="A25" s="54">
        <v>2</v>
      </c>
      <c r="B25" s="59" t="str">
        <f>VLOOKUP(OverzichtVloer[[#This Row],[Code Locatie]],Locaties[],2,0)</f>
        <v>Stichting Facilitair Beheer Van Renneslaan</v>
      </c>
      <c r="C25" s="54">
        <v>2</v>
      </c>
      <c r="D25" s="64" t="str">
        <f>IF(Vloeronderhoud!$C25&gt;0,VLOOKUP(Vloeronderhoud!$C25,$A$8:$B$16,2,FALSE),"")</f>
        <v>Topstrippen en conserveren</v>
      </c>
      <c r="E25" s="65" t="s">
        <v>110</v>
      </c>
      <c r="F25" s="166">
        <f>SUMIFS('Ruimtestaat'!$M:$M,'Ruimtestaat'!K:K,Vloeronderhoud!E25,'Ruimtestaat'!A:A,Vloeronderhoud!A25)</f>
        <v>0</v>
      </c>
      <c r="G25" s="67">
        <v>1</v>
      </c>
      <c r="H25" s="66">
        <f>VLOOKUP(OverzichtVloer[[#This Row],[Code Taak]],InvulVloer[],3,3)*F25*G25</f>
        <v>0</v>
      </c>
      <c r="I25" s="54"/>
    </row>
    <row r="26" spans="1:9" ht="15" customHeight="1">
      <c r="A26" s="57">
        <v>2</v>
      </c>
      <c r="B26" s="61" t="str">
        <f>VLOOKUP(OverzichtVloer[[#This Row],[Code Locatie]],Locaties[],2,0)</f>
        <v>Stichting Facilitair Beheer Van Renneslaan</v>
      </c>
      <c r="C26" s="57">
        <v>8</v>
      </c>
      <c r="D26" s="68" t="str">
        <f>IF(Vloeronderhoud!$C26&gt;0,VLOOKUP(Vloeronderhoud!$C26,$A$8:$B$16,2,FALSE),"")</f>
        <v>Machinaal schrobben en droogzuigen</v>
      </c>
      <c r="E26" s="69" t="s">
        <v>111</v>
      </c>
      <c r="F26" s="167">
        <f>SUMIFS('Ruimtestaat'!$M:$M,'Ruimtestaat'!K:K,Vloeronderhoud!E26,'Ruimtestaat'!A:A,Vloeronderhoud!A26)</f>
        <v>2253.1999999999998</v>
      </c>
      <c r="G26" s="71">
        <v>2</v>
      </c>
      <c r="H26" s="70">
        <f>VLOOKUP(OverzichtVloer[[#This Row],[Code Taak]],InvulVloer[],3,3)*F26*G26</f>
        <v>0</v>
      </c>
      <c r="I26" s="68"/>
    </row>
    <row r="27" spans="1:9" ht="15" customHeight="1">
      <c r="A27" s="54">
        <v>2</v>
      </c>
      <c r="B27" s="59" t="str">
        <f>VLOOKUP(OverzichtVloer[[#This Row],[Code Locatie]],Locaties[],2,0)</f>
        <v>Stichting Facilitair Beheer Van Renneslaan</v>
      </c>
      <c r="C27" s="54">
        <v>8</v>
      </c>
      <c r="D27" s="64" t="str">
        <f>IF(Vloeronderhoud!$C27&gt;0,VLOOKUP(Vloeronderhoud!$C27,$A$8:$B$16,2,FALSE),"")</f>
        <v>Machinaal schrobben en droogzuigen</v>
      </c>
      <c r="E27" s="65" t="s">
        <v>112</v>
      </c>
      <c r="F27" s="166">
        <f>SUMIFS('Ruimtestaat'!$M:$M,'Ruimtestaat'!K:K,Vloeronderhoud!E27,'Ruimtestaat'!A:A,Vloeronderhoud!A27)</f>
        <v>4370</v>
      </c>
      <c r="G27" s="67">
        <v>2</v>
      </c>
      <c r="H27" s="66">
        <f>VLOOKUP(OverzichtVloer[[#This Row],[Code Taak]],InvulVloer[],3,3)*F27*G27</f>
        <v>0</v>
      </c>
      <c r="I27" s="54"/>
    </row>
    <row r="28" spans="1:9" ht="15" customHeight="1">
      <c r="A28" s="57">
        <v>2</v>
      </c>
      <c r="B28" s="61" t="str">
        <f>VLOOKUP(OverzichtVloer[[#This Row],[Code Locatie]],Locaties[],2,0)</f>
        <v>Stichting Facilitair Beheer Van Renneslaan</v>
      </c>
      <c r="C28" s="57">
        <v>4</v>
      </c>
      <c r="D28" s="68" t="str">
        <f>IF(Vloeronderhoud!$C28&gt;0,VLOOKUP(Vloeronderhoud!$C28,$A$8:$B$16,2,FALSE),"")</f>
        <v>Tapijtreinigen, sproei-extractiemethode</v>
      </c>
      <c r="E28" s="69" t="s">
        <v>109</v>
      </c>
      <c r="F28" s="167">
        <f>SUMIFS('Ruimtestaat'!$M:$M,'Ruimtestaat'!K:K,Vloeronderhoud!E28,'Ruimtestaat'!A:A,Vloeronderhoud!A28)</f>
        <v>4472.0999999999967</v>
      </c>
      <c r="G28" s="71">
        <v>1</v>
      </c>
      <c r="H28" s="70">
        <f>VLOOKUP(OverzichtVloer[[#This Row],[Code Taak]],InvulVloer[],3,3)*F28*G28</f>
        <v>0</v>
      </c>
      <c r="I28" s="68"/>
    </row>
    <row r="29" spans="1:9" ht="15" customHeight="1">
      <c r="A29" s="54">
        <v>3</v>
      </c>
      <c r="B29" s="59" t="str">
        <f>VLOOKUP(OverzichtVloer[[#This Row],[Code Locatie]],Locaties[],2,0)</f>
        <v>Stafbureau</v>
      </c>
      <c r="C29" s="54">
        <v>1</v>
      </c>
      <c r="D29" s="64" t="str">
        <f>IF(Vloeronderhoud!$C29&gt;0,VLOOKUP(Vloeronderhoud!$C29,$A$8:$B$16,2,FALSE),"")</f>
        <v>Sprayen/opblokken</v>
      </c>
      <c r="E29" s="65" t="s">
        <v>110</v>
      </c>
      <c r="F29" s="166">
        <f>SUMIFS('Ruimtestaat'!$M:$M,'Ruimtestaat'!K:K,Vloeronderhoud!E29,'Ruimtestaat'!A:A,Vloeronderhoud!A29)</f>
        <v>0</v>
      </c>
      <c r="G29" s="67">
        <v>1</v>
      </c>
      <c r="H29" s="66">
        <f>VLOOKUP(OverzichtVloer[[#This Row],[Code Taak]],InvulVloer[],3,3)*F29*G29</f>
        <v>0</v>
      </c>
      <c r="I29" s="54"/>
    </row>
    <row r="30" spans="1:9" ht="15" customHeight="1">
      <c r="A30" s="57">
        <v>3</v>
      </c>
      <c r="B30" s="61" t="str">
        <f>VLOOKUP(OverzichtVloer[[#This Row],[Code Locatie]],Locaties[],2,0)</f>
        <v>Stafbureau</v>
      </c>
      <c r="C30" s="57">
        <v>2</v>
      </c>
      <c r="D30" s="68" t="str">
        <f>IF(Vloeronderhoud!$C30&gt;0,VLOOKUP(Vloeronderhoud!$C30,$A$8:$B$16,2,FALSE),"")</f>
        <v>Topstrippen en conserveren</v>
      </c>
      <c r="E30" s="69" t="s">
        <v>110</v>
      </c>
      <c r="F30" s="167">
        <f>SUMIFS('Ruimtestaat'!$M:$M,'Ruimtestaat'!K:K,Vloeronderhoud!E30,'Ruimtestaat'!A:A,Vloeronderhoud!A30)</f>
        <v>0</v>
      </c>
      <c r="G30" s="71">
        <v>1</v>
      </c>
      <c r="H30" s="70">
        <f>VLOOKUP(OverzichtVloer[[#This Row],[Code Taak]],InvulVloer[],3,3)*F30*G30</f>
        <v>0</v>
      </c>
      <c r="I30" s="68"/>
    </row>
    <row r="31" spans="1:9" ht="15" customHeight="1">
      <c r="A31" s="54">
        <v>3</v>
      </c>
      <c r="B31" s="59" t="str">
        <f>VLOOKUP(OverzichtVloer[[#This Row],[Code Locatie]],Locaties[],2,0)</f>
        <v>Stafbureau</v>
      </c>
      <c r="C31" s="54">
        <v>8</v>
      </c>
      <c r="D31" s="64" t="str">
        <f>IF(Vloeronderhoud!$C31&gt;0,VLOOKUP(Vloeronderhoud!$C31,$A$8:$B$16,2,FALSE),"")</f>
        <v>Machinaal schrobben en droogzuigen</v>
      </c>
      <c r="E31" s="65" t="s">
        <v>111</v>
      </c>
      <c r="F31" s="166">
        <f>SUMIFS('Ruimtestaat'!$M:$M,'Ruimtestaat'!K:K,Vloeronderhoud!E31,'Ruimtestaat'!A:A,Vloeronderhoud!A31)</f>
        <v>15.38</v>
      </c>
      <c r="G31" s="67">
        <v>2</v>
      </c>
      <c r="H31" s="66">
        <f>VLOOKUP(OverzichtVloer[[#This Row],[Code Taak]],InvulVloer[],3,3)*F31*G31</f>
        <v>0</v>
      </c>
      <c r="I31" s="54"/>
    </row>
    <row r="32" spans="1:9" ht="15" customHeight="1">
      <c r="A32" s="57">
        <v>3</v>
      </c>
      <c r="B32" s="61" t="str">
        <f>VLOOKUP(OverzichtVloer[[#This Row],[Code Locatie]],Locaties[],2,0)</f>
        <v>Stafbureau</v>
      </c>
      <c r="C32" s="57">
        <v>8</v>
      </c>
      <c r="D32" s="68" t="str">
        <f>IF(Vloeronderhoud!$C32&gt;0,VLOOKUP(Vloeronderhoud!$C32,$A$8:$B$16,2,FALSE),"")</f>
        <v>Machinaal schrobben en droogzuigen</v>
      </c>
      <c r="E32" s="69" t="s">
        <v>112</v>
      </c>
      <c r="F32" s="167">
        <f>SUMIFS('Ruimtestaat'!$M:$M,'Ruimtestaat'!K:K,Vloeronderhoud!E32,'Ruimtestaat'!A:A,Vloeronderhoud!A32)</f>
        <v>10.44</v>
      </c>
      <c r="G32" s="71">
        <v>2</v>
      </c>
      <c r="H32" s="70">
        <f>VLOOKUP(OverzichtVloer[[#This Row],[Code Taak]],InvulVloer[],3,3)*F32*G32</f>
        <v>0</v>
      </c>
      <c r="I32" s="68"/>
    </row>
    <row r="33" spans="1:9" ht="15" customHeight="1">
      <c r="A33" s="54">
        <v>3</v>
      </c>
      <c r="B33" s="59" t="str">
        <f>VLOOKUP(OverzichtVloer[[#This Row],[Code Locatie]],Locaties[],2,0)</f>
        <v>Stafbureau</v>
      </c>
      <c r="C33" s="54">
        <v>4</v>
      </c>
      <c r="D33" s="64" t="str">
        <f>IF(Vloeronderhoud!$C33&gt;0,VLOOKUP(Vloeronderhoud!$C33,$A$8:$B$16,2,FALSE),"")</f>
        <v>Tapijtreinigen, sproei-extractiemethode</v>
      </c>
      <c r="E33" s="65" t="s">
        <v>109</v>
      </c>
      <c r="F33" s="166">
        <f>SUMIFS('Ruimtestaat'!$M:$M,'Ruimtestaat'!K:K,Vloeronderhoud!E33,'Ruimtestaat'!A:A,Vloeronderhoud!A33)</f>
        <v>295.79000000000002</v>
      </c>
      <c r="G33" s="67">
        <v>1</v>
      </c>
      <c r="H33" s="66">
        <f>VLOOKUP(OverzichtVloer[[#This Row],[Code Taak]],InvulVloer[],3,3)*F33*G33</f>
        <v>0</v>
      </c>
      <c r="I33" s="54"/>
    </row>
    <row r="34" spans="1:9" ht="15" customHeight="1">
      <c r="A34" s="57">
        <v>4</v>
      </c>
      <c r="B34" s="61" t="str">
        <f>VLOOKUP(OverzichtVloer[[#This Row],[Code Locatie]],Locaties[],2,0)</f>
        <v>PXC Rijssen</v>
      </c>
      <c r="C34" s="57">
        <v>1</v>
      </c>
      <c r="D34" s="68" t="str">
        <f>IF(Vloeronderhoud!$C34&gt;0,VLOOKUP(Vloeronderhoud!$C34,$A$8:$B$16,2,FALSE),"")</f>
        <v>Sprayen/opblokken</v>
      </c>
      <c r="E34" s="69" t="s">
        <v>110</v>
      </c>
      <c r="F34" s="167">
        <f>SUMIFS('Ruimtestaat'!$M:$M,'Ruimtestaat'!K:K,Vloeronderhoud!E34,'Ruimtestaat'!A:A,Vloeronderhoud!A34)</f>
        <v>0</v>
      </c>
      <c r="G34" s="71">
        <v>1</v>
      </c>
      <c r="H34" s="70">
        <f>VLOOKUP(OverzichtVloer[[#This Row],[Code Taak]],InvulVloer[],3,3)*F34*G34</f>
        <v>0</v>
      </c>
      <c r="I34" s="68"/>
    </row>
    <row r="35" spans="1:9" ht="15" customHeight="1">
      <c r="A35" s="54">
        <v>4</v>
      </c>
      <c r="B35" s="59" t="str">
        <f>VLOOKUP(OverzichtVloer[[#This Row],[Code Locatie]],Locaties[],2,0)</f>
        <v>PXC Rijssen</v>
      </c>
      <c r="C35" s="54">
        <v>2</v>
      </c>
      <c r="D35" s="64" t="str">
        <f>IF(Vloeronderhoud!$C35&gt;0,VLOOKUP(Vloeronderhoud!$C35,$A$8:$B$16,2,FALSE),"")</f>
        <v>Topstrippen en conserveren</v>
      </c>
      <c r="E35" s="65" t="s">
        <v>110</v>
      </c>
      <c r="F35" s="166">
        <f>SUMIFS('Ruimtestaat'!$M:$M,'Ruimtestaat'!K:K,Vloeronderhoud!E35,'Ruimtestaat'!A:A,Vloeronderhoud!A35)</f>
        <v>0</v>
      </c>
      <c r="G35" s="67">
        <v>1</v>
      </c>
      <c r="H35" s="66">
        <f>VLOOKUP(OverzichtVloer[[#This Row],[Code Taak]],InvulVloer[],3,3)*F35*G35</f>
        <v>0</v>
      </c>
      <c r="I35" s="54"/>
    </row>
    <row r="36" spans="1:9" ht="15" customHeight="1">
      <c r="A36" s="57">
        <v>4</v>
      </c>
      <c r="B36" s="61" t="str">
        <f>VLOOKUP(OverzichtVloer[[#This Row],[Code Locatie]],Locaties[],2,0)</f>
        <v>PXC Rijssen</v>
      </c>
      <c r="C36" s="57">
        <v>8</v>
      </c>
      <c r="D36" s="68" t="str">
        <f>IF(Vloeronderhoud!$C36&gt;0,VLOOKUP(Vloeronderhoud!$C36,$A$8:$B$16,2,FALSE),"")</f>
        <v>Machinaal schrobben en droogzuigen</v>
      </c>
      <c r="E36" s="69" t="s">
        <v>111</v>
      </c>
      <c r="F36" s="167">
        <f>SUMIFS('Ruimtestaat'!$M:$M,'Ruimtestaat'!K:K,Vloeronderhoud!E36,'Ruimtestaat'!A:A,Vloeronderhoud!A36)</f>
        <v>520.3599999999999</v>
      </c>
      <c r="G36" s="71">
        <v>2</v>
      </c>
      <c r="H36" s="70">
        <f>VLOOKUP(OverzichtVloer[[#This Row],[Code Taak]],InvulVloer[],3,3)*F36*G36</f>
        <v>0</v>
      </c>
      <c r="I36" s="68"/>
    </row>
    <row r="37" spans="1:9" ht="15" customHeight="1">
      <c r="A37" s="54">
        <v>4</v>
      </c>
      <c r="B37" s="59" t="str">
        <f>VLOOKUP(OverzichtVloer[[#This Row],[Code Locatie]],Locaties[],2,0)</f>
        <v>PXC Rijssen</v>
      </c>
      <c r="C37" s="54">
        <v>8</v>
      </c>
      <c r="D37" s="64" t="str">
        <f>IF(Vloeronderhoud!$C37&gt;0,VLOOKUP(Vloeronderhoud!$C37,$A$8:$B$16,2,FALSE),"")</f>
        <v>Machinaal schrobben en droogzuigen</v>
      </c>
      <c r="E37" s="65" t="s">
        <v>112</v>
      </c>
      <c r="F37" s="166">
        <f>SUMIFS('Ruimtestaat'!$M:$M,'Ruimtestaat'!K:K,Vloeronderhoud!E37,'Ruimtestaat'!A:A,Vloeronderhoud!A37)</f>
        <v>1010.31</v>
      </c>
      <c r="G37" s="67">
        <v>2</v>
      </c>
      <c r="H37" s="66">
        <f>VLOOKUP(OverzichtVloer[[#This Row],[Code Taak]],InvulVloer[],3,3)*F37*G37</f>
        <v>0</v>
      </c>
      <c r="I37" s="54"/>
    </row>
    <row r="38" spans="1:9" ht="15" customHeight="1">
      <c r="A38" s="57">
        <v>4</v>
      </c>
      <c r="B38" s="61" t="str">
        <f>VLOOKUP(OverzichtVloer[[#This Row],[Code Locatie]],Locaties[],2,0)</f>
        <v>PXC Rijssen</v>
      </c>
      <c r="C38" s="57">
        <v>4</v>
      </c>
      <c r="D38" s="68" t="str">
        <f>IF(Vloeronderhoud!$C38&gt;0,VLOOKUP(Vloeronderhoud!$C38,$A$8:$B$16,2,FALSE),"")</f>
        <v>Tapijtreinigen, sproei-extractiemethode</v>
      </c>
      <c r="E38" s="69" t="s">
        <v>109</v>
      </c>
      <c r="F38" s="167">
        <f>SUMIFS('Ruimtestaat'!$M:$M,'Ruimtestaat'!K:K,Vloeronderhoud!E38,'Ruimtestaat'!A:A,Vloeronderhoud!A38)</f>
        <v>1977.9700000000003</v>
      </c>
      <c r="G38" s="71">
        <v>1</v>
      </c>
      <c r="H38" s="70">
        <f>VLOOKUP(OverzichtVloer[[#This Row],[Code Taak]],InvulVloer[],3,3)*F38*G38</f>
        <v>0</v>
      </c>
      <c r="I38" s="68"/>
    </row>
    <row r="39" spans="1:9" ht="15" customHeight="1">
      <c r="A39" s="54">
        <v>5</v>
      </c>
      <c r="B39" s="59" t="str">
        <f>VLOOKUP(OverzichtVloer[[#This Row],[Code Locatie]],Locaties[],2,0)</f>
        <v>SGC Almelo</v>
      </c>
      <c r="C39" s="54">
        <v>1</v>
      </c>
      <c r="D39" s="64" t="str">
        <f>IF(Vloeronderhoud!$C39&gt;0,VLOOKUP(Vloeronderhoud!$C39,$A$8:$B$16,2,FALSE),"")</f>
        <v>Sprayen/opblokken</v>
      </c>
      <c r="E39" s="65" t="s">
        <v>110</v>
      </c>
      <c r="F39" s="166">
        <f>SUMIFS('Ruimtestaat'!$M:$M,'Ruimtestaat'!K:K,Vloeronderhoud!E39,'Ruimtestaat'!A:A,Vloeronderhoud!A39)</f>
        <v>1640.9300000000003</v>
      </c>
      <c r="G39" s="67">
        <v>1</v>
      </c>
      <c r="H39" s="66">
        <f>VLOOKUP(OverzichtVloer[[#This Row],[Code Taak]],InvulVloer[],3,3)*F39*G39</f>
        <v>0</v>
      </c>
      <c r="I39" s="54"/>
    </row>
    <row r="40" spans="1:9" ht="15" customHeight="1">
      <c r="A40" s="57">
        <v>5</v>
      </c>
      <c r="B40" s="61" t="str">
        <f>VLOOKUP(OverzichtVloer[[#This Row],[Code Locatie]],Locaties[],2,0)</f>
        <v>SGC Almelo</v>
      </c>
      <c r="C40" s="57">
        <v>2</v>
      </c>
      <c r="D40" s="68" t="str">
        <f>IF(Vloeronderhoud!$C40&gt;0,VLOOKUP(Vloeronderhoud!$C40,$A$8:$B$16,2,FALSE),"")</f>
        <v>Topstrippen en conserveren</v>
      </c>
      <c r="E40" s="69" t="s">
        <v>110</v>
      </c>
      <c r="F40" s="167">
        <f>SUMIFS('Ruimtestaat'!$M:$M,'Ruimtestaat'!K:K,Vloeronderhoud!E40,'Ruimtestaat'!A:A,Vloeronderhoud!A40)</f>
        <v>1640.9300000000003</v>
      </c>
      <c r="G40" s="71">
        <v>1</v>
      </c>
      <c r="H40" s="70">
        <f>VLOOKUP(OverzichtVloer[[#This Row],[Code Taak]],InvulVloer[],3,3)*F40*G40</f>
        <v>0</v>
      </c>
      <c r="I40" s="68"/>
    </row>
    <row r="41" spans="1:9" ht="15" customHeight="1">
      <c r="A41" s="54">
        <v>5</v>
      </c>
      <c r="B41" s="59" t="str">
        <f>VLOOKUP(OverzichtVloer[[#This Row],[Code Locatie]],Locaties[],2,0)</f>
        <v>SGC Almelo</v>
      </c>
      <c r="C41" s="54">
        <v>8</v>
      </c>
      <c r="D41" s="64" t="str">
        <f>IF(Vloeronderhoud!$C41&gt;0,VLOOKUP(Vloeronderhoud!$C41,$A$8:$B$16,2,FALSE),"")</f>
        <v>Machinaal schrobben en droogzuigen</v>
      </c>
      <c r="E41" s="65" t="s">
        <v>111</v>
      </c>
      <c r="F41" s="166">
        <f>SUMIFS('Ruimtestaat'!$M:$M,'Ruimtestaat'!K:K,Vloeronderhoud!E41,'Ruimtestaat'!A:A,Vloeronderhoud!A41)</f>
        <v>1571.6999999999998</v>
      </c>
      <c r="G41" s="67">
        <v>2</v>
      </c>
      <c r="H41" s="66">
        <f>VLOOKUP(OverzichtVloer[[#This Row],[Code Taak]],InvulVloer[],3,3)*F41*G41</f>
        <v>0</v>
      </c>
      <c r="I41" s="54"/>
    </row>
    <row r="42" spans="1:9" ht="15" customHeight="1">
      <c r="A42" s="57">
        <v>5</v>
      </c>
      <c r="B42" s="61" t="str">
        <f>VLOOKUP(OverzichtVloer[[#This Row],[Code Locatie]],Locaties[],2,0)</f>
        <v>SGC Almelo</v>
      </c>
      <c r="C42" s="57">
        <v>8</v>
      </c>
      <c r="D42" s="68" t="str">
        <f>IF(Vloeronderhoud!$C42&gt;0,VLOOKUP(Vloeronderhoud!$C42,$A$8:$B$16,2,FALSE),"")</f>
        <v>Machinaal schrobben en droogzuigen</v>
      </c>
      <c r="E42" s="69" t="s">
        <v>112</v>
      </c>
      <c r="F42" s="167">
        <f>SUMIFS('Ruimtestaat'!$M:$M,'Ruimtestaat'!K:K,Vloeronderhoud!E42,'Ruimtestaat'!A:A,Vloeronderhoud!A42)</f>
        <v>871.98</v>
      </c>
      <c r="G42" s="71">
        <v>2</v>
      </c>
      <c r="H42" s="70">
        <f>VLOOKUP(OverzichtVloer[[#This Row],[Code Taak]],InvulVloer[],3,3)*F42*G42</f>
        <v>0</v>
      </c>
      <c r="I42" s="68"/>
    </row>
    <row r="43" spans="1:9" ht="15" customHeight="1">
      <c r="A43" s="54">
        <v>5</v>
      </c>
      <c r="B43" s="59" t="str">
        <f>VLOOKUP(OverzichtVloer[[#This Row],[Code Locatie]],Locaties[],2,0)</f>
        <v>SGC Almelo</v>
      </c>
      <c r="C43" s="54">
        <v>4</v>
      </c>
      <c r="D43" s="64" t="str">
        <f>IF(Vloeronderhoud!$C43&gt;0,VLOOKUP(Vloeronderhoud!$C43,$A$8:$B$16,2,FALSE),"")</f>
        <v>Tapijtreinigen, sproei-extractiemethode</v>
      </c>
      <c r="E43" s="65" t="s">
        <v>109</v>
      </c>
      <c r="F43" s="166">
        <f>SUMIFS('Ruimtestaat'!$M:$M,'Ruimtestaat'!K:K,Vloeronderhoud!E43,'Ruimtestaat'!A:A,Vloeronderhoud!A43)</f>
        <v>4290.29</v>
      </c>
      <c r="G43" s="67">
        <v>1</v>
      </c>
      <c r="H43" s="66">
        <f>VLOOKUP(OverzichtVloer[[#This Row],[Code Taak]],InvulVloer[],3,3)*F43*G43</f>
        <v>0</v>
      </c>
      <c r="I43" s="54"/>
    </row>
    <row r="44" spans="1:9" ht="15" customHeight="1">
      <c r="A44" s="57">
        <v>6</v>
      </c>
      <c r="B44" s="61" t="str">
        <f>VLOOKUP(OverzichtVloer[[#This Row],[Code Locatie]],Locaties[],2,0)</f>
        <v>SGC Tubbergen</v>
      </c>
      <c r="C44" s="57">
        <v>1</v>
      </c>
      <c r="D44" s="68" t="str">
        <f>IF(Vloeronderhoud!$C44&gt;0,VLOOKUP(Vloeronderhoud!$C44,$A$8:$B$16,2,FALSE),"")</f>
        <v>Sprayen/opblokken</v>
      </c>
      <c r="E44" s="69" t="s">
        <v>110</v>
      </c>
      <c r="F44" s="167">
        <f>SUMIFS('Ruimtestaat'!$M:$M,'Ruimtestaat'!K:K,Vloeronderhoud!E44,'Ruimtestaat'!A:A,Vloeronderhoud!A44)</f>
        <v>1000.6</v>
      </c>
      <c r="G44" s="71">
        <v>1</v>
      </c>
      <c r="H44" s="70">
        <f>VLOOKUP(OverzichtVloer[[#This Row],[Code Taak]],InvulVloer[],3,3)*F44*G44</f>
        <v>0</v>
      </c>
      <c r="I44" s="68"/>
    </row>
    <row r="45" spans="1:9" ht="15" customHeight="1">
      <c r="A45" s="54">
        <v>6</v>
      </c>
      <c r="B45" s="59" t="str">
        <f>VLOOKUP(OverzichtVloer[[#This Row],[Code Locatie]],Locaties[],2,0)</f>
        <v>SGC Tubbergen</v>
      </c>
      <c r="C45" s="54">
        <v>2</v>
      </c>
      <c r="D45" s="64" t="str">
        <f>IF(Vloeronderhoud!$C45&gt;0,VLOOKUP(Vloeronderhoud!$C45,$A$8:$B$16,2,FALSE),"")</f>
        <v>Topstrippen en conserveren</v>
      </c>
      <c r="E45" s="65" t="s">
        <v>110</v>
      </c>
      <c r="F45" s="166">
        <f>SUMIFS('Ruimtestaat'!$M:$M,'Ruimtestaat'!K:K,Vloeronderhoud!E45,'Ruimtestaat'!A:A,Vloeronderhoud!A45)</f>
        <v>1000.6</v>
      </c>
      <c r="G45" s="67">
        <v>1</v>
      </c>
      <c r="H45" s="66">
        <f>VLOOKUP(OverzichtVloer[[#This Row],[Code Taak]],InvulVloer[],3,3)*F45*G45</f>
        <v>0</v>
      </c>
      <c r="I45" s="54"/>
    </row>
    <row r="46" spans="1:9" ht="15" customHeight="1">
      <c r="A46" s="57">
        <v>6</v>
      </c>
      <c r="B46" s="61" t="str">
        <f>VLOOKUP(OverzichtVloer[[#This Row],[Code Locatie]],Locaties[],2,0)</f>
        <v>SGC Tubbergen</v>
      </c>
      <c r="C46" s="57">
        <v>8</v>
      </c>
      <c r="D46" s="68" t="str">
        <f>IF(Vloeronderhoud!$C46&gt;0,VLOOKUP(Vloeronderhoud!$C46,$A$8:$B$16,2,FALSE),"")</f>
        <v>Machinaal schrobben en droogzuigen</v>
      </c>
      <c r="E46" s="69" t="s">
        <v>111</v>
      </c>
      <c r="F46" s="167">
        <f>SUMIFS('Ruimtestaat'!$M:$M,'Ruimtestaat'!K:K,Vloeronderhoud!E46,'Ruimtestaat'!A:A,Vloeronderhoud!A46)</f>
        <v>1595.1999999999996</v>
      </c>
      <c r="G46" s="71">
        <v>2</v>
      </c>
      <c r="H46" s="70">
        <f>VLOOKUP(OverzichtVloer[[#This Row],[Code Taak]],InvulVloer[],3,3)*F46*G46</f>
        <v>0</v>
      </c>
      <c r="I46" s="68"/>
    </row>
    <row r="47" spans="1:9" ht="15" customHeight="1">
      <c r="A47" s="54">
        <v>6</v>
      </c>
      <c r="B47" s="59" t="str">
        <f>VLOOKUP(OverzichtVloer[[#This Row],[Code Locatie]],Locaties[],2,0)</f>
        <v>SGC Tubbergen</v>
      </c>
      <c r="C47" s="54">
        <v>8</v>
      </c>
      <c r="D47" s="64" t="str">
        <f>IF(Vloeronderhoud!$C47&gt;0,VLOOKUP(Vloeronderhoud!$C47,$A$8:$B$16,2,FALSE),"")</f>
        <v>Machinaal schrobben en droogzuigen</v>
      </c>
      <c r="E47" s="65" t="s">
        <v>112</v>
      </c>
      <c r="F47" s="166">
        <f>SUMIFS('Ruimtestaat'!$M:$M,'Ruimtestaat'!K:K,Vloeronderhoud!E47,'Ruimtestaat'!A:A,Vloeronderhoud!A47)</f>
        <v>796.8</v>
      </c>
      <c r="G47" s="67">
        <v>2</v>
      </c>
      <c r="H47" s="66">
        <f>VLOOKUP(OverzichtVloer[[#This Row],[Code Taak]],InvulVloer[],3,3)*F47*G47</f>
        <v>0</v>
      </c>
      <c r="I47" s="54"/>
    </row>
    <row r="48" spans="1:9" ht="15" customHeight="1">
      <c r="A48" s="57">
        <v>6</v>
      </c>
      <c r="B48" s="61" t="str">
        <f>VLOOKUP(OverzichtVloer[[#This Row],[Code Locatie]],Locaties[],2,0)</f>
        <v>SGC Tubbergen</v>
      </c>
      <c r="C48" s="57">
        <v>4</v>
      </c>
      <c r="D48" s="68" t="str">
        <f>IF(Vloeronderhoud!$C48&gt;0,VLOOKUP(Vloeronderhoud!$C48,$A$8:$B$16,2,FALSE),"")</f>
        <v>Tapijtreinigen, sproei-extractiemethode</v>
      </c>
      <c r="E48" s="69" t="s">
        <v>109</v>
      </c>
      <c r="F48" s="167">
        <f>SUMIFS('Ruimtestaat'!$M:$M,'Ruimtestaat'!K:K,Vloeronderhoud!E48,'Ruimtestaat'!A:A,Vloeronderhoud!A48)</f>
        <v>2407.9</v>
      </c>
      <c r="G48" s="71">
        <v>1</v>
      </c>
      <c r="H48" s="70">
        <f>VLOOKUP(OverzichtVloer[[#This Row],[Code Taak]],InvulVloer[],3,3)*F48*G48</f>
        <v>0</v>
      </c>
      <c r="I48" s="68"/>
    </row>
    <row r="49" spans="1:9" ht="15" customHeight="1">
      <c r="A49" s="175"/>
      <c r="B49" s="176" t="s">
        <v>33</v>
      </c>
      <c r="C49" s="175"/>
      <c r="D49" s="177"/>
      <c r="E49" s="175"/>
      <c r="F49" s="178"/>
      <c r="G49" s="175"/>
      <c r="H49" s="179">
        <f>SUBTOTAL(109,OverzichtVloer[Kosten/jaar excl. BTW])</f>
        <v>0</v>
      </c>
      <c r="I49" s="246"/>
    </row>
    <row r="50" spans="1:9" ht="15" customHeight="1">
      <c r="A50" s="37"/>
      <c r="C50" s="35"/>
      <c r="D50" s="35"/>
      <c r="E50" s="35"/>
      <c r="F50" s="164"/>
      <c r="G50" s="41"/>
      <c r="H50" s="36"/>
    </row>
  </sheetData>
  <mergeCells count="3">
    <mergeCell ref="A1:H1"/>
    <mergeCell ref="A2:H2"/>
    <mergeCell ref="E7:I7"/>
  </mergeCells>
  <pageMargins left="0.70866141732283472" right="0.70866141732283472" top="0.35433070866141736" bottom="0.47244094488188981" header="0.31496062992125984" footer="0.31496062992125984"/>
  <pageSetup paperSize="9" scale="57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1D780-3B97-493C-9478-2802C9533A1F}">
  <ds:schemaRefs>
    <ds:schemaRef ds:uri="http://www.w3.org/XML/1998/namespace"/>
    <ds:schemaRef ds:uri="http://schemas.openxmlformats.org/package/2006/metadata/core-properties"/>
    <ds:schemaRef ds:uri="http://purl.org/dc/terms/"/>
    <ds:schemaRef ds:uri="46c995e6-7f53-48aa-a5ad-a9d38912b46a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5d807127-6dfe-4777-9fc9-8a2ccfc388c3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12</vt:i4>
      </vt:variant>
      <vt:variant>
        <vt:lpstr>Benoemde bereiken</vt:lpstr>
      </vt:variant>
      <vt:variant>
        <vt:i4>11</vt:i4>
      </vt:variant>
    </vt:vector>
  </HeadingPairs>
  <TitlesOfParts>
    <vt:vector size="23" baseType="lpstr">
      <vt:lpstr>Opleverstaat dagelijks</vt:lpstr>
      <vt:lpstr>Werkprogramma periodiek</vt:lpstr>
      <vt:lpstr>Werkprogramma diepreinigen</vt:lpstr>
      <vt:lpstr>Tariefsopbouw</vt:lpstr>
      <vt:lpstr>Overnamegegevens</vt:lpstr>
      <vt:lpstr>Prestatiefactoren</vt:lpstr>
      <vt:lpstr>Ruimtestaat</vt:lpstr>
      <vt:lpstr>Glasbewassing</vt:lpstr>
      <vt:lpstr>Vloeronderhoud</vt:lpstr>
      <vt:lpstr>Extra werkzaamheden</vt:lpstr>
      <vt:lpstr>Regie en afroep</vt:lpstr>
      <vt:lpstr>Totalisatie</vt:lpstr>
      <vt:lpstr>Glasbewassing!Afdrukbereik</vt:lpstr>
      <vt:lpstr>Prestatiefactoren!Afdrukbereik</vt:lpstr>
      <vt:lpstr>'Regie en afroep'!Afdrukbereik</vt:lpstr>
      <vt:lpstr>'Ruimtestaat'!Afdrukbereik</vt:lpstr>
      <vt:lpstr>Tariefsopbouw!Afdrukbereik</vt:lpstr>
      <vt:lpstr>Totalisatie!Afdrukbereik</vt:lpstr>
      <vt:lpstr>Vloeronderhoud!Afdrukbereik</vt:lpstr>
      <vt:lpstr>'Werkprogramma diepreinigen'!Afdrukbereik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Thijs van Duiven</dc:creator>
  <cp:lastModifiedBy>Thijs van Duiven | Inkada Inkoop &amp; Advies</cp:lastModifiedBy>
  <cp:lastPrinted>2021-05-06T12:53:06Z</cp:lastPrinted>
  <dcterms:created xsi:type="dcterms:W3CDTF">1999-03-23T11:24:21Z</dcterms:created>
  <dcterms:modified xsi:type="dcterms:W3CDTF">2021-07-28T11:08:23Z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