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Stichting Carmelcollege/Schoonmaak 2020/NvI/4e Nvi/"/>
    </mc:Choice>
  </mc:AlternateContent>
  <xr:revisionPtr revIDLastSave="45" documentId="8_{09B88000-DB65-4ECA-B59F-FB9123E5F8E1}" xr6:coauthVersionLast="47" xr6:coauthVersionMax="47" xr10:uidLastSave="{F15CFF59-47D9-4B47-8B0F-C587A403EBC9}"/>
  <bookViews>
    <workbookView xWindow="-120" yWindow="-120" windowWidth="29040" windowHeight="15990" tabRatio="750" firstSheet="3" activeTab="11" xr2:uid="{00000000-000D-0000-FFFF-FFFF00000000}"/>
  </bookViews>
  <sheets>
    <sheet name="Opleverstaat dagelijks" sheetId="29" r:id="rId1"/>
    <sheet name="Werkprogramma periodiek" sheetId="30" r:id="rId2"/>
    <sheet name="Werkprogramma diepreinigen" sheetId="21" r:id="rId3"/>
    <sheet name="Tariefsopbouw" sheetId="31" r:id="rId4"/>
    <sheet name="Overnamegegevens" sheetId="28" r:id="rId5"/>
    <sheet name="Prestatiefactoren" sheetId="11" r:id="rId6"/>
    <sheet name="Ruimtestaat" sheetId="13" r:id="rId7"/>
    <sheet name="Glasbewassing" sheetId="22" r:id="rId8"/>
    <sheet name="Vloeronderhoud" sheetId="25" r:id="rId9"/>
    <sheet name="Extra werkzaamheden" sheetId="32" r:id="rId10"/>
    <sheet name="Regie en afroep" sheetId="24" r:id="rId11"/>
    <sheet name="Totalisatie" sheetId="19" r:id="rId12"/>
  </sheets>
  <externalReferences>
    <externalReference r:id="rId13"/>
    <externalReference r:id="rId14"/>
    <externalReference r:id="rId15"/>
  </externalReferences>
  <definedNames>
    <definedName name="_1F" localSheetId="0" hidden="1">[1]Psychiatrie!#REF!</definedName>
    <definedName name="_1F" localSheetId="3" hidden="1">[1]Psychiatrie!#REF!</definedName>
    <definedName name="_1F" localSheetId="8" hidden="1">[1]Psychiatrie!#REF!</definedName>
    <definedName name="_1F" localSheetId="1" hidden="1">[1]Psychiatrie!#REF!</definedName>
    <definedName name="_1F" hidden="1">[1]Psychiatrie!#REF!</definedName>
    <definedName name="_2_0_F" localSheetId="0" hidden="1">[1]Psychiatrie!#REF!</definedName>
    <definedName name="_2_0_F" localSheetId="8" hidden="1">[1]Psychiatrie!#REF!</definedName>
    <definedName name="_2_0_F" localSheetId="1" hidden="1">[1]Psychiatrie!#REF!</definedName>
    <definedName name="_2_0_F" hidden="1">[1]Psychiatrie!#REF!</definedName>
    <definedName name="_Dist_Bin" localSheetId="0" hidden="1">#REF!</definedName>
    <definedName name="_Dist_Bin" localSheetId="3" hidden="1">#REF!</definedName>
    <definedName name="_Dist_Bin" localSheetId="8" hidden="1">#REF!</definedName>
    <definedName name="_Dist_Bin" localSheetId="1" hidden="1">#REF!</definedName>
    <definedName name="_Dist_Bin" hidden="1">#REF!</definedName>
    <definedName name="_Dist_Values" localSheetId="8" hidden="1">#REF!</definedName>
    <definedName name="_Dist_Values" hidden="1">#REF!</definedName>
    <definedName name="_Fill" localSheetId="8" hidden="1">'[2]#REF'!#REF!</definedName>
    <definedName name="_Fill" hidden="1">'[2]#REF'!#REF!</definedName>
    <definedName name="_xlnm._FilterDatabase" localSheetId="4" hidden="1">Overnamegegevens!$A$1:$R$1</definedName>
    <definedName name="_xlnm._FilterDatabase" localSheetId="11" hidden="1">Totalisatie!#REF!</definedName>
    <definedName name="_Key1" localSheetId="0" hidden="1">'[2]#REF'!#REF!</definedName>
    <definedName name="_Key1" localSheetId="8" hidden="1">'[2]#REF'!#REF!</definedName>
    <definedName name="_Key1" localSheetId="1" hidden="1">'[2]#REF'!#REF!</definedName>
    <definedName name="_Key1" hidden="1">'[2]#REF'!#REF!</definedName>
    <definedName name="_Order1" hidden="1">255</definedName>
    <definedName name="_Sort" localSheetId="0" hidden="1">#REF!</definedName>
    <definedName name="_Sort" localSheetId="3" hidden="1">#REF!</definedName>
    <definedName name="_Sort" localSheetId="8" hidden="1">#REF!</definedName>
    <definedName name="_Sort" localSheetId="1" hidden="1">#REF!</definedName>
    <definedName name="_Sort" hidden="1">#REF!</definedName>
    <definedName name="_Table1_In1" localSheetId="8" hidden="1">#REF!</definedName>
    <definedName name="_Table1_In1" hidden="1">#REF!</definedName>
    <definedName name="_Table1_Out" localSheetId="8" hidden="1">#REF!</definedName>
    <definedName name="_Table1_Out" hidden="1">#REF!</definedName>
    <definedName name="AccessDatabase" hidden="1">"C:\data\excel\BASISWP.mdb"</definedName>
    <definedName name="_xlnm.Print_Area" localSheetId="7">Glasbewassing!$A$1:$I$40</definedName>
    <definedName name="_xlnm.Print_Area" localSheetId="5">Prestatiefactoren!$A$1:$F$54</definedName>
    <definedName name="_xlnm.Print_Area" localSheetId="10">'Regie en afroep'!$A$1:$I$37</definedName>
    <definedName name="_xlnm.Print_Area" localSheetId="3">Tariefsopbouw!$A$1:$Q$41</definedName>
    <definedName name="_xlnm.Print_Area" localSheetId="11">Totalisatie!$A$1:$H$28</definedName>
    <definedName name="_xlnm.Print_Area" localSheetId="8">Vloeronderhoud!$A$1:$I$37</definedName>
    <definedName name="_xlnm.Print_Area" localSheetId="2">'Werkprogramma diepreinigen'!$A$1:$A$17</definedName>
    <definedName name="_xlnm.Print_Titles" localSheetId="6">'Ruimtestaat'!$2:$4</definedName>
    <definedName name="Glas" hidden="1">[3]Psychiatrie!#REF!</definedName>
    <definedName name="Invulglas1">Glasbewassing!$A$9:$I$20</definedName>
    <definedName name="Invulvloer1">Vloeronderhoud!$A$9:$I$16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5" i="32" l="1"/>
  <c r="G21" i="32"/>
  <c r="G17" i="32"/>
  <c r="G24" i="32"/>
  <c r="G20" i="32"/>
  <c r="G16" i="32"/>
  <c r="D37" i="22"/>
  <c r="K446" i="13"/>
  <c r="K445" i="13"/>
  <c r="K444" i="13"/>
  <c r="K443" i="13"/>
  <c r="K442" i="13"/>
  <c r="K441" i="13"/>
  <c r="K440" i="13"/>
  <c r="K439" i="13"/>
  <c r="K438" i="13"/>
  <c r="K437" i="13"/>
  <c r="K436" i="13"/>
  <c r="K435" i="13"/>
  <c r="K434" i="13"/>
  <c r="K433" i="13"/>
  <c r="K432" i="13"/>
  <c r="K431" i="13"/>
  <c r="K430" i="13"/>
  <c r="K429" i="13"/>
  <c r="K428" i="13"/>
  <c r="K427" i="13"/>
  <c r="K426" i="13"/>
  <c r="K425" i="13"/>
  <c r="K424" i="13"/>
  <c r="K423" i="13"/>
  <c r="K422" i="13"/>
  <c r="K421" i="13"/>
  <c r="K420" i="13"/>
  <c r="K419" i="13"/>
  <c r="K418" i="13"/>
  <c r="K417" i="13"/>
  <c r="K416" i="13"/>
  <c r="K415" i="13"/>
  <c r="K414" i="13"/>
  <c r="K413" i="13"/>
  <c r="K412" i="13"/>
  <c r="K411" i="13"/>
  <c r="K410" i="13"/>
  <c r="K409" i="13"/>
  <c r="K408" i="13"/>
  <c r="K407" i="13"/>
  <c r="K406" i="13"/>
  <c r="K405" i="13"/>
  <c r="K404" i="13"/>
  <c r="K403" i="13"/>
  <c r="K402" i="13"/>
  <c r="K401" i="13"/>
  <c r="K400" i="13"/>
  <c r="K399" i="13"/>
  <c r="K398" i="13"/>
  <c r="K397" i="13"/>
  <c r="K396" i="13"/>
  <c r="K395" i="13"/>
  <c r="K394" i="13"/>
  <c r="K393" i="13"/>
  <c r="K392" i="13"/>
  <c r="K391" i="13"/>
  <c r="K390" i="13"/>
  <c r="K389" i="13"/>
  <c r="K388" i="13"/>
  <c r="K387" i="13"/>
  <c r="K386" i="13"/>
  <c r="K385" i="13"/>
  <c r="K384" i="13"/>
  <c r="K383" i="13"/>
  <c r="K382" i="13"/>
  <c r="K381" i="13"/>
  <c r="K380" i="13"/>
  <c r="K379" i="13"/>
  <c r="K378" i="13"/>
  <c r="K377" i="13"/>
  <c r="K376" i="13"/>
  <c r="K375" i="13"/>
  <c r="K374" i="13"/>
  <c r="K373" i="13"/>
  <c r="K372" i="13"/>
  <c r="K371" i="13"/>
  <c r="K370" i="13"/>
  <c r="K369" i="13"/>
  <c r="K368" i="13"/>
  <c r="K367" i="13"/>
  <c r="K366" i="13"/>
  <c r="K365" i="13"/>
  <c r="K364" i="13"/>
  <c r="K363" i="13"/>
  <c r="Z362" i="13"/>
  <c r="AA362" i="13" s="1"/>
  <c r="T362" i="13"/>
  <c r="V362" i="13" s="1"/>
  <c r="AE362" i="13" s="1"/>
  <c r="K362" i="13"/>
  <c r="E362" i="13"/>
  <c r="D362" i="13"/>
  <c r="C362" i="13"/>
  <c r="B362" i="13"/>
  <c r="Z361" i="13"/>
  <c r="AA361" i="13" s="1"/>
  <c r="T361" i="13"/>
  <c r="V361" i="13" s="1"/>
  <c r="AE361" i="13" s="1"/>
  <c r="K361" i="13"/>
  <c r="E361" i="13"/>
  <c r="D361" i="13"/>
  <c r="C361" i="13"/>
  <c r="B361" i="13"/>
  <c r="Z360" i="13"/>
  <c r="AA360" i="13" s="1"/>
  <c r="T360" i="13"/>
  <c r="V360" i="13" s="1"/>
  <c r="AE360" i="13" s="1"/>
  <c r="K360" i="13"/>
  <c r="E360" i="13"/>
  <c r="D360" i="13"/>
  <c r="C360" i="13"/>
  <c r="B360" i="13"/>
  <c r="Z359" i="13"/>
  <c r="AA359" i="13" s="1"/>
  <c r="T359" i="13"/>
  <c r="U359" i="13" s="1"/>
  <c r="W359" i="13" s="1"/>
  <c r="K359" i="13"/>
  <c r="E359" i="13"/>
  <c r="D359" i="13"/>
  <c r="C359" i="13"/>
  <c r="B359" i="13"/>
  <c r="Z358" i="13"/>
  <c r="AA358" i="13" s="1"/>
  <c r="T358" i="13"/>
  <c r="V358" i="13" s="1"/>
  <c r="AE358" i="13" s="1"/>
  <c r="K358" i="13"/>
  <c r="E358" i="13"/>
  <c r="D358" i="13"/>
  <c r="C358" i="13"/>
  <c r="B358" i="13"/>
  <c r="Z357" i="13"/>
  <c r="AA357" i="13" s="1"/>
  <c r="T357" i="13"/>
  <c r="V357" i="13" s="1"/>
  <c r="AE357" i="13" s="1"/>
  <c r="K357" i="13"/>
  <c r="E357" i="13"/>
  <c r="D357" i="13"/>
  <c r="C357" i="13"/>
  <c r="B357" i="13"/>
  <c r="Z356" i="13"/>
  <c r="AA356" i="13" s="1"/>
  <c r="T356" i="13"/>
  <c r="V356" i="13" s="1"/>
  <c r="AE356" i="13" s="1"/>
  <c r="K356" i="13"/>
  <c r="E356" i="13"/>
  <c r="D356" i="13"/>
  <c r="C356" i="13"/>
  <c r="B356" i="13"/>
  <c r="Z355" i="13"/>
  <c r="AA355" i="13" s="1"/>
  <c r="T355" i="13"/>
  <c r="V355" i="13" s="1"/>
  <c r="AE355" i="13" s="1"/>
  <c r="K355" i="13"/>
  <c r="E355" i="13"/>
  <c r="D355" i="13"/>
  <c r="C355" i="13"/>
  <c r="B355" i="13"/>
  <c r="Z354" i="13"/>
  <c r="AA354" i="13" s="1"/>
  <c r="T354" i="13"/>
  <c r="U354" i="13" s="1"/>
  <c r="W354" i="13" s="1"/>
  <c r="K354" i="13"/>
  <c r="E354" i="13"/>
  <c r="D354" i="13"/>
  <c r="C354" i="13"/>
  <c r="B354" i="13"/>
  <c r="U356" i="13" l="1"/>
  <c r="W356" i="13" s="1"/>
  <c r="V359" i="13"/>
  <c r="AE359" i="13" s="1"/>
  <c r="U355" i="13"/>
  <c r="W355" i="13" s="1"/>
  <c r="AF355" i="13" s="1"/>
  <c r="V354" i="13"/>
  <c r="AE354" i="13" s="1"/>
  <c r="U358" i="13"/>
  <c r="W358" i="13" s="1"/>
  <c r="AF358" i="13" s="1"/>
  <c r="U360" i="13"/>
  <c r="W360" i="13" s="1"/>
  <c r="AF354" i="13"/>
  <c r="AF359" i="13"/>
  <c r="U357" i="13"/>
  <c r="W357" i="13" s="1"/>
  <c r="U361" i="13"/>
  <c r="W361" i="13" s="1"/>
  <c r="U362" i="13"/>
  <c r="W362" i="13" s="1"/>
  <c r="AF356" i="13" l="1"/>
  <c r="AF360" i="13"/>
  <c r="AF357" i="13"/>
  <c r="AF362" i="13"/>
  <c r="AF361" i="13"/>
  <c r="D20" i="32" l="1"/>
  <c r="B20" i="32"/>
  <c r="D16" i="32"/>
  <c r="B16" i="32"/>
  <c r="D24" i="32"/>
  <c r="B24" i="32"/>
  <c r="G22" i="32"/>
  <c r="D22" i="32"/>
  <c r="B22" i="32"/>
  <c r="G18" i="32"/>
  <c r="D18" i="32"/>
  <c r="B18" i="32"/>
  <c r="D25" i="32"/>
  <c r="B25" i="32"/>
  <c r="D21" i="32"/>
  <c r="B21" i="32"/>
  <c r="D17" i="32"/>
  <c r="B17" i="32"/>
  <c r="G26" i="32"/>
  <c r="D26" i="32" l="1"/>
  <c r="B26" i="32"/>
  <c r="G23" i="32"/>
  <c r="D23" i="32"/>
  <c r="B23" i="32"/>
  <c r="G19" i="32"/>
  <c r="D19" i="32"/>
  <c r="B19" i="32"/>
  <c r="D15" i="32"/>
  <c r="G15" i="32"/>
  <c r="B15" i="32"/>
  <c r="F17" i="19" l="1"/>
  <c r="F16" i="19"/>
  <c r="F18" i="19"/>
  <c r="F15" i="19"/>
  <c r="G27" i="32"/>
  <c r="F19" i="19" l="1"/>
  <c r="K5" i="13"/>
  <c r="K6" i="13"/>
  <c r="K7" i="13"/>
  <c r="K8" i="13"/>
  <c r="K9" i="13"/>
  <c r="K10" i="13"/>
  <c r="K11" i="13"/>
  <c r="K12" i="13"/>
  <c r="K13" i="13"/>
  <c r="K14" i="13"/>
  <c r="K15" i="13"/>
  <c r="K16" i="13"/>
  <c r="K17" i="13"/>
  <c r="K18" i="13"/>
  <c r="K19" i="13"/>
  <c r="K20" i="13"/>
  <c r="K21" i="13"/>
  <c r="K22" i="13"/>
  <c r="K23" i="13"/>
  <c r="K24" i="13"/>
  <c r="K25" i="13"/>
  <c r="K26" i="13"/>
  <c r="K27" i="13"/>
  <c r="K28" i="13"/>
  <c r="K29" i="13"/>
  <c r="K30" i="13"/>
  <c r="K31" i="13"/>
  <c r="K32" i="13"/>
  <c r="K33" i="13"/>
  <c r="K34" i="13"/>
  <c r="K35" i="13"/>
  <c r="K36" i="13"/>
  <c r="K37" i="13"/>
  <c r="K38" i="13"/>
  <c r="K39" i="13"/>
  <c r="K40" i="13"/>
  <c r="K41" i="13"/>
  <c r="K42" i="13"/>
  <c r="K43" i="13"/>
  <c r="K44" i="13"/>
  <c r="K45" i="13"/>
  <c r="K46" i="13"/>
  <c r="K47" i="13"/>
  <c r="K48" i="13"/>
  <c r="K49" i="13"/>
  <c r="K50" i="13"/>
  <c r="K51" i="13"/>
  <c r="K52" i="13"/>
  <c r="K53" i="13"/>
  <c r="K54" i="13"/>
  <c r="K55" i="13"/>
  <c r="K56" i="13"/>
  <c r="K57" i="13"/>
  <c r="K58" i="13"/>
  <c r="K59" i="13"/>
  <c r="K60" i="13"/>
  <c r="K61" i="13"/>
  <c r="K62" i="13"/>
  <c r="K63" i="13"/>
  <c r="K64" i="13"/>
  <c r="K65" i="13"/>
  <c r="K66" i="13"/>
  <c r="K67" i="13"/>
  <c r="K68" i="13"/>
  <c r="K69" i="13"/>
  <c r="K70" i="13"/>
  <c r="K71" i="13"/>
  <c r="K72" i="13"/>
  <c r="K73" i="13"/>
  <c r="K74" i="13"/>
  <c r="K75" i="13"/>
  <c r="K76" i="13"/>
  <c r="K77" i="13"/>
  <c r="K78" i="13"/>
  <c r="K79" i="13"/>
  <c r="K80" i="13"/>
  <c r="K81" i="13"/>
  <c r="K82" i="13"/>
  <c r="K83" i="13"/>
  <c r="K84" i="13"/>
  <c r="K85" i="13"/>
  <c r="K86" i="13"/>
  <c r="K87" i="13"/>
  <c r="K88" i="13"/>
  <c r="K89" i="13"/>
  <c r="K90" i="13"/>
  <c r="K91" i="13"/>
  <c r="K92" i="13"/>
  <c r="K93" i="13"/>
  <c r="K94" i="13"/>
  <c r="K95" i="13"/>
  <c r="K96" i="13"/>
  <c r="K97" i="13"/>
  <c r="K98" i="13"/>
  <c r="K99" i="13"/>
  <c r="K100" i="13"/>
  <c r="K101" i="13"/>
  <c r="K102" i="13"/>
  <c r="K103" i="13"/>
  <c r="K104" i="13"/>
  <c r="K105" i="13"/>
  <c r="K106" i="13"/>
  <c r="K107" i="13"/>
  <c r="K108" i="13"/>
  <c r="K109" i="13"/>
  <c r="K110" i="13"/>
  <c r="K111" i="13"/>
  <c r="K112" i="13"/>
  <c r="K113" i="13"/>
  <c r="K114" i="13"/>
  <c r="K115" i="13"/>
  <c r="K116" i="13"/>
  <c r="K117" i="13"/>
  <c r="K118" i="13"/>
  <c r="K119" i="13"/>
  <c r="K120" i="13"/>
  <c r="K121" i="13"/>
  <c r="K122" i="13"/>
  <c r="K123" i="13"/>
  <c r="K124" i="13"/>
  <c r="K125" i="13"/>
  <c r="K126" i="13"/>
  <c r="K127" i="13"/>
  <c r="K128" i="13"/>
  <c r="K129" i="13"/>
  <c r="K130" i="13"/>
  <c r="K131" i="13"/>
  <c r="K132" i="13"/>
  <c r="K133" i="13"/>
  <c r="K134" i="13"/>
  <c r="K135" i="13"/>
  <c r="K136" i="13"/>
  <c r="K137" i="13"/>
  <c r="K138" i="13"/>
  <c r="K139" i="13"/>
  <c r="K140" i="13"/>
  <c r="K141" i="13"/>
  <c r="K142" i="13"/>
  <c r="K143" i="13"/>
  <c r="K144" i="13"/>
  <c r="K145" i="13"/>
  <c r="K146" i="13"/>
  <c r="K147" i="13"/>
  <c r="K148" i="13"/>
  <c r="K149" i="13"/>
  <c r="K150" i="13"/>
  <c r="K151" i="13"/>
  <c r="K152" i="13"/>
  <c r="K153" i="13"/>
  <c r="K154" i="13"/>
  <c r="K155" i="13"/>
  <c r="K156" i="13"/>
  <c r="K157" i="13"/>
  <c r="K158" i="13"/>
  <c r="K159" i="13"/>
  <c r="K160" i="13"/>
  <c r="K161" i="13"/>
  <c r="K162" i="13"/>
  <c r="K163" i="13"/>
  <c r="K164" i="13"/>
  <c r="K165" i="13"/>
  <c r="K166" i="13"/>
  <c r="K167" i="13"/>
  <c r="K168" i="13"/>
  <c r="K169" i="13"/>
  <c r="K170" i="13"/>
  <c r="K171" i="13"/>
  <c r="K172" i="13"/>
  <c r="K173" i="13"/>
  <c r="K174" i="13"/>
  <c r="K175" i="13"/>
  <c r="K176" i="13"/>
  <c r="K177" i="13"/>
  <c r="K178" i="13"/>
  <c r="K179" i="13"/>
  <c r="K180" i="13"/>
  <c r="K181" i="13"/>
  <c r="K182" i="13"/>
  <c r="K183" i="13"/>
  <c r="K184" i="13"/>
  <c r="K185" i="13"/>
  <c r="K186" i="13"/>
  <c r="K187" i="13"/>
  <c r="K188" i="13"/>
  <c r="K189" i="13"/>
  <c r="K190" i="13"/>
  <c r="K191" i="13"/>
  <c r="K192" i="13"/>
  <c r="K193" i="13"/>
  <c r="K194" i="13"/>
  <c r="K195" i="13"/>
  <c r="K196" i="13"/>
  <c r="K197" i="13"/>
  <c r="K198" i="13"/>
  <c r="K199" i="13"/>
  <c r="K200" i="13"/>
  <c r="K201" i="13"/>
  <c r="K202" i="13"/>
  <c r="K203" i="13"/>
  <c r="K204" i="13"/>
  <c r="K205" i="13"/>
  <c r="K206" i="13"/>
  <c r="K207" i="13"/>
  <c r="K208" i="13"/>
  <c r="K209" i="13"/>
  <c r="K210" i="13"/>
  <c r="K211" i="13"/>
  <c r="K212" i="13"/>
  <c r="K213" i="13"/>
  <c r="K214" i="13"/>
  <c r="K215" i="13"/>
  <c r="K216" i="13"/>
  <c r="K217" i="13"/>
  <c r="K218" i="13"/>
  <c r="K219" i="13"/>
  <c r="K220" i="13"/>
  <c r="K221" i="13"/>
  <c r="K222" i="13"/>
  <c r="K223" i="13"/>
  <c r="K224" i="13"/>
  <c r="K225" i="13"/>
  <c r="K226" i="13"/>
  <c r="K227" i="13"/>
  <c r="K228" i="13"/>
  <c r="K229" i="13"/>
  <c r="K230" i="13"/>
  <c r="K231" i="13"/>
  <c r="K232" i="13"/>
  <c r="K233" i="13"/>
  <c r="K234" i="13"/>
  <c r="K235" i="13"/>
  <c r="K236" i="13"/>
  <c r="K237" i="13"/>
  <c r="K238" i="13"/>
  <c r="K239" i="13"/>
  <c r="K240" i="13"/>
  <c r="K241" i="13"/>
  <c r="K242" i="13"/>
  <c r="K243" i="13"/>
  <c r="K244" i="13"/>
  <c r="K245" i="13"/>
  <c r="K246" i="13"/>
  <c r="K247" i="13"/>
  <c r="K248" i="13"/>
  <c r="K249" i="13"/>
  <c r="K250" i="13"/>
  <c r="K251" i="13"/>
  <c r="K252" i="13"/>
  <c r="K253" i="13"/>
  <c r="K254" i="13"/>
  <c r="K255" i="13"/>
  <c r="K256" i="13"/>
  <c r="K257" i="13"/>
  <c r="K258" i="13"/>
  <c r="K259" i="13"/>
  <c r="K260" i="13"/>
  <c r="K261" i="13"/>
  <c r="K262" i="13"/>
  <c r="K263" i="13"/>
  <c r="K264" i="13"/>
  <c r="K265" i="13"/>
  <c r="K266" i="13"/>
  <c r="K267" i="13"/>
  <c r="K268" i="13"/>
  <c r="K269" i="13"/>
  <c r="K270" i="13"/>
  <c r="K271" i="13"/>
  <c r="K272" i="13"/>
  <c r="K273" i="13"/>
  <c r="K274" i="13"/>
  <c r="K275" i="13"/>
  <c r="K276" i="13"/>
  <c r="K277" i="13"/>
  <c r="K278" i="13"/>
  <c r="K279" i="13"/>
  <c r="K280" i="13"/>
  <c r="K281" i="13"/>
  <c r="K282" i="13"/>
  <c r="K283" i="13"/>
  <c r="K284" i="13"/>
  <c r="K285" i="13"/>
  <c r="K286" i="13"/>
  <c r="K287" i="13"/>
  <c r="K288" i="13"/>
  <c r="K289" i="13"/>
  <c r="K290" i="13"/>
  <c r="K291" i="13"/>
  <c r="K292" i="13"/>
  <c r="K293" i="13"/>
  <c r="K294" i="13"/>
  <c r="K295" i="13"/>
  <c r="K296" i="13"/>
  <c r="K297" i="13"/>
  <c r="K298" i="13"/>
  <c r="K299" i="13"/>
  <c r="K300" i="13"/>
  <c r="K301" i="13"/>
  <c r="K302" i="13"/>
  <c r="K303" i="13"/>
  <c r="K304" i="13"/>
  <c r="K305" i="13"/>
  <c r="K306" i="13"/>
  <c r="K307" i="13"/>
  <c r="K308" i="13"/>
  <c r="K309" i="13"/>
  <c r="K310" i="13"/>
  <c r="K311" i="13"/>
  <c r="K312" i="13"/>
  <c r="K313" i="13"/>
  <c r="K314" i="13"/>
  <c r="K315" i="13"/>
  <c r="K316" i="13"/>
  <c r="K317" i="13"/>
  <c r="K318" i="13"/>
  <c r="K319" i="13"/>
  <c r="K320" i="13"/>
  <c r="K321" i="13"/>
  <c r="K322" i="13"/>
  <c r="K323" i="13"/>
  <c r="K324" i="13"/>
  <c r="K325" i="13"/>
  <c r="K326" i="13"/>
  <c r="K327" i="13"/>
  <c r="K328" i="13"/>
  <c r="K329" i="13"/>
  <c r="K330" i="13"/>
  <c r="K331" i="13"/>
  <c r="K332" i="13"/>
  <c r="K333" i="13"/>
  <c r="K334" i="13"/>
  <c r="K335" i="13"/>
  <c r="K336" i="13"/>
  <c r="K337" i="13"/>
  <c r="K338" i="13"/>
  <c r="K339" i="13"/>
  <c r="K340" i="13"/>
  <c r="K341" i="13"/>
  <c r="K342" i="13"/>
  <c r="K343" i="13"/>
  <c r="K344" i="13"/>
  <c r="K345" i="13"/>
  <c r="K346" i="13"/>
  <c r="K347" i="13"/>
  <c r="K348" i="13"/>
  <c r="K349" i="13"/>
  <c r="K350" i="13"/>
  <c r="K351" i="13"/>
  <c r="K352" i="13"/>
  <c r="K353" i="13"/>
  <c r="P5" i="13"/>
  <c r="P6" i="13"/>
  <c r="P7" i="13"/>
  <c r="P8" i="13"/>
  <c r="P9" i="13"/>
  <c r="P10" i="13"/>
  <c r="P11" i="13"/>
  <c r="P12" i="13"/>
  <c r="P13" i="13"/>
  <c r="P14" i="13"/>
  <c r="P15" i="13"/>
  <c r="P16" i="13"/>
  <c r="P17" i="13"/>
  <c r="P18" i="13"/>
  <c r="P19" i="13"/>
  <c r="P20" i="13"/>
  <c r="P21" i="13"/>
  <c r="P22" i="13"/>
  <c r="P23" i="13"/>
  <c r="P24" i="13"/>
  <c r="P25" i="13"/>
  <c r="P26" i="13"/>
  <c r="P27" i="13"/>
  <c r="P28" i="13"/>
  <c r="P29" i="13"/>
  <c r="P30" i="13"/>
  <c r="P31" i="13"/>
  <c r="P32" i="13"/>
  <c r="P33" i="13"/>
  <c r="P34" i="13"/>
  <c r="P35" i="13"/>
  <c r="P36" i="13"/>
  <c r="P37" i="13"/>
  <c r="P38" i="13"/>
  <c r="P39" i="13"/>
  <c r="P40" i="13"/>
  <c r="P41" i="13"/>
  <c r="P42" i="13"/>
  <c r="P43" i="13"/>
  <c r="P44" i="13"/>
  <c r="P45" i="13"/>
  <c r="P46" i="13"/>
  <c r="P47" i="13"/>
  <c r="P48" i="13"/>
  <c r="P49" i="13"/>
  <c r="P50" i="13"/>
  <c r="P51" i="13"/>
  <c r="P52" i="13"/>
  <c r="P53" i="13"/>
  <c r="P54" i="13"/>
  <c r="P55" i="13"/>
  <c r="P56" i="13"/>
  <c r="P57" i="13"/>
  <c r="P58" i="13"/>
  <c r="P59" i="13"/>
  <c r="P60" i="13"/>
  <c r="P61" i="13"/>
  <c r="P62" i="13"/>
  <c r="P63" i="13"/>
  <c r="P64" i="13"/>
  <c r="P65" i="13"/>
  <c r="P66" i="13"/>
  <c r="P67" i="13"/>
  <c r="P68" i="13"/>
  <c r="P69" i="13"/>
  <c r="P70" i="13"/>
  <c r="P71" i="13"/>
  <c r="P72" i="13"/>
  <c r="P73" i="13"/>
  <c r="P74" i="13"/>
  <c r="P75" i="13"/>
  <c r="P76" i="13"/>
  <c r="P77" i="13"/>
  <c r="P78" i="13"/>
  <c r="P79" i="13"/>
  <c r="P80" i="13"/>
  <c r="P81" i="13"/>
  <c r="P82" i="13"/>
  <c r="P83" i="13"/>
  <c r="P84" i="13"/>
  <c r="P85" i="13"/>
  <c r="P86" i="13"/>
  <c r="P87" i="13"/>
  <c r="P88" i="13"/>
  <c r="P89" i="13"/>
  <c r="P90" i="13"/>
  <c r="P91" i="13"/>
  <c r="P92" i="13"/>
  <c r="P93" i="13"/>
  <c r="P94" i="13"/>
  <c r="P95" i="13"/>
  <c r="P96" i="13"/>
  <c r="P97" i="13"/>
  <c r="P98" i="13"/>
  <c r="P99" i="13"/>
  <c r="P100" i="13"/>
  <c r="P101" i="13"/>
  <c r="P102" i="13"/>
  <c r="P103" i="13"/>
  <c r="P104" i="13"/>
  <c r="P105" i="13"/>
  <c r="P106" i="13"/>
  <c r="P107" i="13"/>
  <c r="P108" i="13"/>
  <c r="P109" i="13"/>
  <c r="P110" i="13"/>
  <c r="P111" i="13"/>
  <c r="P112" i="13"/>
  <c r="P113" i="13"/>
  <c r="P114" i="13"/>
  <c r="P115" i="13"/>
  <c r="P116" i="13"/>
  <c r="P117" i="13"/>
  <c r="P118" i="13"/>
  <c r="P119" i="13"/>
  <c r="P120" i="13"/>
  <c r="P121" i="13"/>
  <c r="P122" i="13"/>
  <c r="P123" i="13"/>
  <c r="P124" i="13"/>
  <c r="P125" i="13"/>
  <c r="P126" i="13"/>
  <c r="P127" i="13"/>
  <c r="P128" i="13"/>
  <c r="P129" i="13"/>
  <c r="P130" i="13"/>
  <c r="P131" i="13"/>
  <c r="P132" i="13"/>
  <c r="P133" i="13"/>
  <c r="P134" i="13"/>
  <c r="P135" i="13"/>
  <c r="P136" i="13"/>
  <c r="P137" i="13"/>
  <c r="P138" i="13"/>
  <c r="P139" i="13"/>
  <c r="P140" i="13"/>
  <c r="P141" i="13"/>
  <c r="P142" i="13"/>
  <c r="P143" i="13"/>
  <c r="P144" i="13"/>
  <c r="P145" i="13"/>
  <c r="P146" i="13"/>
  <c r="P147" i="13"/>
  <c r="P148" i="13"/>
  <c r="P149" i="13"/>
  <c r="P150" i="13"/>
  <c r="P151" i="13"/>
  <c r="P152" i="13"/>
  <c r="P153" i="13"/>
  <c r="P154" i="13"/>
  <c r="P155" i="13"/>
  <c r="P156" i="13"/>
  <c r="P157" i="13"/>
  <c r="P158" i="13"/>
  <c r="P159" i="13"/>
  <c r="P160" i="13"/>
  <c r="P161" i="13"/>
  <c r="P162" i="13"/>
  <c r="P163" i="13"/>
  <c r="P164" i="13"/>
  <c r="P165" i="13"/>
  <c r="P166" i="13"/>
  <c r="P167" i="13"/>
  <c r="P168" i="13"/>
  <c r="P169" i="13"/>
  <c r="P170" i="13"/>
  <c r="P171" i="13"/>
  <c r="P172" i="13"/>
  <c r="P173" i="13"/>
  <c r="P174" i="13"/>
  <c r="P175" i="13"/>
  <c r="P176" i="13"/>
  <c r="P177" i="13"/>
  <c r="P178" i="13"/>
  <c r="P179" i="13"/>
  <c r="P180" i="13"/>
  <c r="P181" i="13"/>
  <c r="P182" i="13"/>
  <c r="P183" i="13"/>
  <c r="P184" i="13"/>
  <c r="P185" i="13"/>
  <c r="P186" i="13"/>
  <c r="P187" i="13"/>
  <c r="P188" i="13"/>
  <c r="P189" i="13"/>
  <c r="P190" i="13"/>
  <c r="P191" i="13"/>
  <c r="P192" i="13"/>
  <c r="P193" i="13"/>
  <c r="P194" i="13"/>
  <c r="P195" i="13"/>
  <c r="P196" i="13"/>
  <c r="P197" i="13"/>
  <c r="P198" i="13"/>
  <c r="P199" i="13"/>
  <c r="P200" i="13"/>
  <c r="P201" i="13"/>
  <c r="P202" i="13"/>
  <c r="P203" i="13"/>
  <c r="P204" i="13"/>
  <c r="P205" i="13"/>
  <c r="P206" i="13"/>
  <c r="P207" i="13"/>
  <c r="P208" i="13"/>
  <c r="P209" i="13"/>
  <c r="P210" i="13"/>
  <c r="P211" i="13"/>
  <c r="P212" i="13"/>
  <c r="P213" i="13"/>
  <c r="P214" i="13"/>
  <c r="P215" i="13"/>
  <c r="P216" i="13"/>
  <c r="P217" i="13"/>
  <c r="P218" i="13"/>
  <c r="P219" i="13"/>
  <c r="P220" i="13"/>
  <c r="P221" i="13"/>
  <c r="P222" i="13"/>
  <c r="P223" i="13"/>
  <c r="P224" i="13"/>
  <c r="P225" i="13"/>
  <c r="P226" i="13"/>
  <c r="P227" i="13"/>
  <c r="P228" i="13"/>
  <c r="P229" i="13"/>
  <c r="P230" i="13"/>
  <c r="P231" i="13"/>
  <c r="P232" i="13"/>
  <c r="P233" i="13"/>
  <c r="P234" i="13"/>
  <c r="P235" i="13"/>
  <c r="P236" i="13"/>
  <c r="P237" i="13"/>
  <c r="P238" i="13"/>
  <c r="P239" i="13"/>
  <c r="P240" i="13"/>
  <c r="P241" i="13"/>
  <c r="P242" i="13"/>
  <c r="P243" i="13"/>
  <c r="P244" i="13"/>
  <c r="P245" i="13"/>
  <c r="P246" i="13"/>
  <c r="P247" i="13"/>
  <c r="P248" i="13"/>
  <c r="P249" i="13"/>
  <c r="P250" i="13"/>
  <c r="P251" i="13"/>
  <c r="P252" i="13"/>
  <c r="P253" i="13"/>
  <c r="P254" i="13"/>
  <c r="P255" i="13"/>
  <c r="P256" i="13"/>
  <c r="P257" i="13"/>
  <c r="P258" i="13"/>
  <c r="P259" i="13"/>
  <c r="P260" i="13"/>
  <c r="P261" i="13"/>
  <c r="P262" i="13"/>
  <c r="P263" i="13"/>
  <c r="P264" i="13"/>
  <c r="P265" i="13"/>
  <c r="P266" i="13"/>
  <c r="P267" i="13"/>
  <c r="P268" i="13"/>
  <c r="P269" i="13"/>
  <c r="P270" i="13"/>
  <c r="P271" i="13"/>
  <c r="P272" i="13"/>
  <c r="P273" i="13"/>
  <c r="P274" i="13"/>
  <c r="P275" i="13"/>
  <c r="P276" i="13"/>
  <c r="P277" i="13"/>
  <c r="P278" i="13"/>
  <c r="P279" i="13"/>
  <c r="P280" i="13"/>
  <c r="P281" i="13"/>
  <c r="P282" i="13"/>
  <c r="P283" i="13"/>
  <c r="P284" i="13"/>
  <c r="P285" i="13"/>
  <c r="P286" i="13"/>
  <c r="P287" i="13"/>
  <c r="P288" i="13"/>
  <c r="P289" i="13"/>
  <c r="P290" i="13"/>
  <c r="P291" i="13"/>
  <c r="P292" i="13"/>
  <c r="P293" i="13"/>
  <c r="P294" i="13"/>
  <c r="P295" i="13"/>
  <c r="P296" i="13"/>
  <c r="P297" i="13"/>
  <c r="P298" i="13"/>
  <c r="P299" i="13"/>
  <c r="P300" i="13"/>
  <c r="P301" i="13"/>
  <c r="P302" i="13"/>
  <c r="P303" i="13"/>
  <c r="P304" i="13"/>
  <c r="P305" i="13"/>
  <c r="P306" i="13"/>
  <c r="P307" i="13"/>
  <c r="P308" i="13"/>
  <c r="P309" i="13"/>
  <c r="P310" i="13"/>
  <c r="P311" i="13"/>
  <c r="P312" i="13"/>
  <c r="P313" i="13"/>
  <c r="P314" i="13"/>
  <c r="P315" i="13"/>
  <c r="P316" i="13"/>
  <c r="P317" i="13"/>
  <c r="P318" i="13"/>
  <c r="P319" i="13"/>
  <c r="P320" i="13"/>
  <c r="P321" i="13"/>
  <c r="P322" i="13"/>
  <c r="P323" i="13"/>
  <c r="P324" i="13"/>
  <c r="P325" i="13"/>
  <c r="P326" i="13"/>
  <c r="P327" i="13"/>
  <c r="P328" i="13"/>
  <c r="P329" i="13"/>
  <c r="P330" i="13"/>
  <c r="P331" i="13"/>
  <c r="P332" i="13"/>
  <c r="P333" i="13"/>
  <c r="P334" i="13"/>
  <c r="P335" i="13"/>
  <c r="P336" i="13"/>
  <c r="P337" i="13"/>
  <c r="P338" i="13"/>
  <c r="P339" i="13"/>
  <c r="P340" i="13"/>
  <c r="P341" i="13"/>
  <c r="P342" i="13"/>
  <c r="P343" i="13"/>
  <c r="P344" i="13"/>
  <c r="P345" i="13"/>
  <c r="P346" i="13"/>
  <c r="P347" i="13"/>
  <c r="P348" i="13"/>
  <c r="P349" i="13"/>
  <c r="P350" i="13"/>
  <c r="P351" i="13"/>
  <c r="P352" i="13"/>
  <c r="P353" i="13"/>
  <c r="P363" i="13"/>
  <c r="P364" i="13"/>
  <c r="P365" i="13"/>
  <c r="P366" i="13"/>
  <c r="P367" i="13"/>
  <c r="P368" i="13"/>
  <c r="P369" i="13"/>
  <c r="P370" i="13"/>
  <c r="P371" i="13"/>
  <c r="P372" i="13"/>
  <c r="P373" i="13"/>
  <c r="P374" i="13"/>
  <c r="P375" i="13"/>
  <c r="P376" i="13"/>
  <c r="P377" i="13"/>
  <c r="P378" i="13"/>
  <c r="P379" i="13"/>
  <c r="P380" i="13"/>
  <c r="P381" i="13"/>
  <c r="P382" i="13"/>
  <c r="P383" i="13"/>
  <c r="P384" i="13"/>
  <c r="P385" i="13"/>
  <c r="P386" i="13"/>
  <c r="P387" i="13"/>
  <c r="P388" i="13"/>
  <c r="P389" i="13"/>
  <c r="P390" i="13"/>
  <c r="P391" i="13"/>
  <c r="P392" i="13"/>
  <c r="P393" i="13"/>
  <c r="P394" i="13"/>
  <c r="P395" i="13"/>
  <c r="P396" i="13"/>
  <c r="P397" i="13"/>
  <c r="P398" i="13"/>
  <c r="P399" i="13"/>
  <c r="P400" i="13"/>
  <c r="P401" i="13"/>
  <c r="P402" i="13"/>
  <c r="P403" i="13"/>
  <c r="P404" i="13"/>
  <c r="P405" i="13"/>
  <c r="P406" i="13"/>
  <c r="P407" i="13"/>
  <c r="P408" i="13"/>
  <c r="P409" i="13"/>
  <c r="P410" i="13"/>
  <c r="P411" i="13"/>
  <c r="P412" i="13"/>
  <c r="P413" i="13"/>
  <c r="P414" i="13"/>
  <c r="P415" i="13"/>
  <c r="P416" i="13"/>
  <c r="P417" i="13"/>
  <c r="P418" i="13"/>
  <c r="P419" i="13"/>
  <c r="P420" i="13"/>
  <c r="P421" i="13"/>
  <c r="P422" i="13"/>
  <c r="P423" i="13"/>
  <c r="P424" i="13"/>
  <c r="P425" i="13"/>
  <c r="P426" i="13"/>
  <c r="P427" i="13"/>
  <c r="P428" i="13"/>
  <c r="P429" i="13"/>
  <c r="P430" i="13"/>
  <c r="P431" i="13"/>
  <c r="P432" i="13"/>
  <c r="P433" i="13"/>
  <c r="P434" i="13"/>
  <c r="P435" i="13"/>
  <c r="P436" i="13"/>
  <c r="P437" i="13"/>
  <c r="P438" i="13"/>
  <c r="P439" i="13"/>
  <c r="P440" i="13"/>
  <c r="P441" i="13"/>
  <c r="P442" i="13"/>
  <c r="P443" i="13"/>
  <c r="P444" i="13"/>
  <c r="P445" i="13"/>
  <c r="P446" i="13"/>
  <c r="G39" i="22"/>
  <c r="D39" i="22"/>
  <c r="B39" i="22"/>
  <c r="G35" i="22"/>
  <c r="D35" i="22"/>
  <c r="B35" i="22"/>
  <c r="G27" i="22"/>
  <c r="D27" i="22"/>
  <c r="B27" i="22"/>
  <c r="T9" i="13" l="1"/>
  <c r="T8" i="13"/>
  <c r="T7" i="13"/>
  <c r="T6" i="13"/>
  <c r="T446" i="13"/>
  <c r="T445" i="13"/>
  <c r="T444" i="13"/>
  <c r="T443" i="13"/>
  <c r="T442" i="13"/>
  <c r="T441" i="13"/>
  <c r="T440" i="13"/>
  <c r="T439" i="13"/>
  <c r="T438" i="13"/>
  <c r="T437" i="13"/>
  <c r="T436" i="13"/>
  <c r="T435" i="13"/>
  <c r="T434" i="13"/>
  <c r="T433" i="13"/>
  <c r="T432" i="13"/>
  <c r="T431" i="13"/>
  <c r="T430" i="13"/>
  <c r="T429" i="13"/>
  <c r="T428" i="13"/>
  <c r="T427" i="13"/>
  <c r="T426" i="13"/>
  <c r="T425" i="13"/>
  <c r="T424" i="13"/>
  <c r="T423" i="13"/>
  <c r="T422" i="13"/>
  <c r="T421" i="13"/>
  <c r="T420" i="13"/>
  <c r="T419" i="13"/>
  <c r="T418" i="13"/>
  <c r="T417" i="13"/>
  <c r="T416" i="13"/>
  <c r="T415" i="13"/>
  <c r="T414" i="13"/>
  <c r="T413" i="13"/>
  <c r="T412" i="13"/>
  <c r="T411" i="13"/>
  <c r="T410" i="13"/>
  <c r="T409" i="13"/>
  <c r="T408" i="13"/>
  <c r="T407" i="13"/>
  <c r="T406" i="13"/>
  <c r="T405" i="13"/>
  <c r="T404" i="13"/>
  <c r="T403" i="13"/>
  <c r="T402" i="13"/>
  <c r="T401" i="13"/>
  <c r="T400" i="13"/>
  <c r="T399" i="13"/>
  <c r="T398" i="13"/>
  <c r="T397" i="13"/>
  <c r="T396" i="13"/>
  <c r="T395" i="13"/>
  <c r="T394" i="13"/>
  <c r="T393" i="13"/>
  <c r="T392" i="13"/>
  <c r="T391" i="13"/>
  <c r="T390" i="13"/>
  <c r="T389" i="13"/>
  <c r="T388" i="13"/>
  <c r="T387" i="13"/>
  <c r="T386" i="13"/>
  <c r="T385" i="13"/>
  <c r="T384" i="13"/>
  <c r="T383" i="13"/>
  <c r="T382" i="13"/>
  <c r="T381" i="13"/>
  <c r="T380" i="13"/>
  <c r="T379" i="13"/>
  <c r="T378" i="13"/>
  <c r="T377" i="13"/>
  <c r="T376" i="13"/>
  <c r="T375" i="13"/>
  <c r="T374" i="13"/>
  <c r="T373" i="13"/>
  <c r="T372" i="13"/>
  <c r="T371" i="13"/>
  <c r="T370" i="13"/>
  <c r="T369" i="13"/>
  <c r="T368" i="13"/>
  <c r="T367" i="13"/>
  <c r="T366" i="13"/>
  <c r="T365" i="13"/>
  <c r="T364" i="13"/>
  <c r="T363" i="13"/>
  <c r="T353" i="13"/>
  <c r="T352" i="13"/>
  <c r="T351" i="13"/>
  <c r="T350" i="13"/>
  <c r="T349" i="13"/>
  <c r="T348" i="13"/>
  <c r="T347" i="13"/>
  <c r="T346" i="13"/>
  <c r="T345" i="13"/>
  <c r="T344" i="13"/>
  <c r="T343" i="13"/>
  <c r="T342" i="13"/>
  <c r="T341" i="13"/>
  <c r="T340" i="13"/>
  <c r="T339" i="13"/>
  <c r="T338" i="13"/>
  <c r="T337" i="13"/>
  <c r="T336" i="13"/>
  <c r="T335" i="13"/>
  <c r="T334" i="13"/>
  <c r="T333" i="13"/>
  <c r="T332" i="13"/>
  <c r="T331" i="13"/>
  <c r="T330" i="13"/>
  <c r="T329" i="13"/>
  <c r="T328" i="13"/>
  <c r="T327" i="13"/>
  <c r="T326" i="13"/>
  <c r="T325" i="13"/>
  <c r="T324" i="13"/>
  <c r="T323" i="13"/>
  <c r="T322" i="13"/>
  <c r="T321" i="13"/>
  <c r="T320" i="13"/>
  <c r="T319" i="13"/>
  <c r="T318" i="13"/>
  <c r="T317" i="13"/>
  <c r="T316" i="13"/>
  <c r="T315" i="13"/>
  <c r="T314" i="13"/>
  <c r="T313" i="13"/>
  <c r="T312" i="13"/>
  <c r="T311" i="13"/>
  <c r="T310" i="13"/>
  <c r="T309" i="13"/>
  <c r="T308" i="13"/>
  <c r="T307" i="13"/>
  <c r="T306" i="13"/>
  <c r="T305" i="13"/>
  <c r="T304" i="13"/>
  <c r="T303" i="13"/>
  <c r="T302" i="13"/>
  <c r="T301" i="13"/>
  <c r="T300" i="13"/>
  <c r="T299" i="13"/>
  <c r="T298" i="13"/>
  <c r="T297" i="13"/>
  <c r="T296" i="13"/>
  <c r="T295" i="13"/>
  <c r="T294" i="13"/>
  <c r="T293" i="13"/>
  <c r="T292" i="13"/>
  <c r="T291" i="13"/>
  <c r="T290" i="13"/>
  <c r="T289" i="13"/>
  <c r="T288" i="13"/>
  <c r="T287" i="13"/>
  <c r="T286" i="13"/>
  <c r="T285" i="13"/>
  <c r="T284" i="13"/>
  <c r="T283" i="13"/>
  <c r="T282" i="13"/>
  <c r="T281" i="13"/>
  <c r="T280" i="13"/>
  <c r="T279" i="13"/>
  <c r="T278" i="13"/>
  <c r="T277" i="13"/>
  <c r="T276" i="13"/>
  <c r="T275" i="13"/>
  <c r="T274" i="13"/>
  <c r="T273" i="13"/>
  <c r="T272" i="13"/>
  <c r="T271" i="13"/>
  <c r="T270" i="13"/>
  <c r="T269" i="13"/>
  <c r="T268" i="13"/>
  <c r="T267" i="13"/>
  <c r="T266" i="13"/>
  <c r="T265" i="13"/>
  <c r="T264" i="13"/>
  <c r="T263" i="13"/>
  <c r="T262" i="13"/>
  <c r="T261" i="13"/>
  <c r="T260" i="13"/>
  <c r="T259" i="13"/>
  <c r="T258" i="13"/>
  <c r="T257" i="13"/>
  <c r="T256" i="13"/>
  <c r="T255" i="13"/>
  <c r="T254" i="13"/>
  <c r="T253" i="13"/>
  <c r="T252" i="13"/>
  <c r="T251" i="13"/>
  <c r="T250" i="13"/>
  <c r="T249" i="13"/>
  <c r="T248" i="13"/>
  <c r="T247" i="13"/>
  <c r="T246" i="13"/>
  <c r="T245" i="13"/>
  <c r="T244" i="13"/>
  <c r="T243" i="13"/>
  <c r="T242" i="13"/>
  <c r="T241" i="13"/>
  <c r="T240" i="13"/>
  <c r="T239" i="13"/>
  <c r="T238" i="13"/>
  <c r="T237" i="13"/>
  <c r="T236" i="13"/>
  <c r="T235" i="13"/>
  <c r="T234" i="13"/>
  <c r="T233" i="13"/>
  <c r="T232" i="13"/>
  <c r="T231" i="13"/>
  <c r="T230" i="13"/>
  <c r="T229" i="13"/>
  <c r="T228" i="13"/>
  <c r="T227" i="13"/>
  <c r="T226" i="13"/>
  <c r="T225" i="13"/>
  <c r="T224" i="13"/>
  <c r="T223" i="13"/>
  <c r="T222" i="13"/>
  <c r="T221" i="13"/>
  <c r="T220" i="13"/>
  <c r="T219" i="13"/>
  <c r="T218" i="13"/>
  <c r="T217" i="13"/>
  <c r="T216" i="13"/>
  <c r="T215" i="13"/>
  <c r="T214" i="13"/>
  <c r="T213" i="13"/>
  <c r="T212" i="13"/>
  <c r="T211" i="13"/>
  <c r="T210" i="13"/>
  <c r="T209" i="13"/>
  <c r="T208" i="13"/>
  <c r="T207" i="13"/>
  <c r="T206" i="13"/>
  <c r="T205" i="13"/>
  <c r="T204" i="13"/>
  <c r="T203" i="13"/>
  <c r="T202" i="13"/>
  <c r="T201" i="13"/>
  <c r="T200" i="13"/>
  <c r="T199" i="13"/>
  <c r="T198" i="13"/>
  <c r="T197" i="13"/>
  <c r="T196" i="13"/>
  <c r="T195" i="13"/>
  <c r="T194" i="13"/>
  <c r="T193" i="13"/>
  <c r="T192" i="13"/>
  <c r="T191" i="13"/>
  <c r="T190" i="13"/>
  <c r="T189" i="13"/>
  <c r="T188" i="13"/>
  <c r="T187" i="13"/>
  <c r="T186" i="13"/>
  <c r="T185" i="13"/>
  <c r="T184" i="13"/>
  <c r="T183" i="13"/>
  <c r="T182" i="13"/>
  <c r="T181" i="13"/>
  <c r="T180" i="13"/>
  <c r="T179" i="13"/>
  <c r="T178" i="13"/>
  <c r="T177" i="13"/>
  <c r="T176" i="13"/>
  <c r="T175" i="13"/>
  <c r="T174" i="13"/>
  <c r="T173" i="13"/>
  <c r="T172" i="13"/>
  <c r="T171" i="13"/>
  <c r="T170" i="13"/>
  <c r="T169" i="13"/>
  <c r="T168" i="13"/>
  <c r="T167" i="13"/>
  <c r="T166" i="13"/>
  <c r="T165" i="13"/>
  <c r="T164" i="13"/>
  <c r="T163" i="13"/>
  <c r="T162" i="13"/>
  <c r="T161" i="13"/>
  <c r="T160" i="13"/>
  <c r="T159" i="13"/>
  <c r="T158" i="13"/>
  <c r="T157" i="13"/>
  <c r="T156" i="13"/>
  <c r="T155" i="13"/>
  <c r="T154" i="13"/>
  <c r="T153" i="13"/>
  <c r="T152" i="13"/>
  <c r="T151" i="13"/>
  <c r="T150" i="13"/>
  <c r="T149" i="13"/>
  <c r="T148" i="13"/>
  <c r="T147" i="13"/>
  <c r="T146" i="13"/>
  <c r="T145" i="13"/>
  <c r="T144" i="13"/>
  <c r="T143" i="13"/>
  <c r="T142" i="13"/>
  <c r="T141" i="13"/>
  <c r="T140" i="13"/>
  <c r="T139" i="13"/>
  <c r="T138" i="13"/>
  <c r="T137" i="13"/>
  <c r="T136" i="13"/>
  <c r="T135" i="13"/>
  <c r="T134" i="13"/>
  <c r="T133" i="13"/>
  <c r="T132" i="13"/>
  <c r="T131" i="13"/>
  <c r="T130" i="13"/>
  <c r="T129" i="13"/>
  <c r="T128" i="13"/>
  <c r="T127" i="13"/>
  <c r="T126" i="13"/>
  <c r="T125" i="13"/>
  <c r="T124" i="13"/>
  <c r="T123" i="13"/>
  <c r="T122" i="13"/>
  <c r="T121" i="13"/>
  <c r="T120" i="13"/>
  <c r="T119" i="13"/>
  <c r="T118" i="13"/>
  <c r="T117" i="13"/>
  <c r="T116" i="13"/>
  <c r="T115" i="13"/>
  <c r="T114" i="13"/>
  <c r="T113" i="13"/>
  <c r="T112" i="13"/>
  <c r="T111" i="13"/>
  <c r="T110" i="13"/>
  <c r="T109" i="13"/>
  <c r="T108" i="13"/>
  <c r="T107" i="13"/>
  <c r="T106" i="13"/>
  <c r="T105" i="13"/>
  <c r="T104" i="13"/>
  <c r="T103" i="13"/>
  <c r="T102" i="13"/>
  <c r="T101" i="13"/>
  <c r="T100" i="13"/>
  <c r="T99" i="13"/>
  <c r="T98" i="13"/>
  <c r="T97" i="13"/>
  <c r="T96" i="13"/>
  <c r="T95" i="13"/>
  <c r="T94" i="13"/>
  <c r="T93" i="13"/>
  <c r="T92" i="13"/>
  <c r="T91" i="13"/>
  <c r="T90" i="13"/>
  <c r="T89" i="13"/>
  <c r="T88" i="13"/>
  <c r="T87" i="13"/>
  <c r="T86" i="13"/>
  <c r="T85" i="13"/>
  <c r="T84" i="13"/>
  <c r="T83" i="13"/>
  <c r="T82" i="13"/>
  <c r="T81" i="13"/>
  <c r="T80" i="13"/>
  <c r="T79" i="13"/>
  <c r="T78" i="13"/>
  <c r="T77" i="13"/>
  <c r="T76" i="13"/>
  <c r="T75" i="13"/>
  <c r="T74" i="13"/>
  <c r="T73" i="13"/>
  <c r="T72" i="13"/>
  <c r="T71" i="13"/>
  <c r="T70" i="13"/>
  <c r="T69" i="13"/>
  <c r="T68" i="13"/>
  <c r="T67" i="13"/>
  <c r="T66" i="13"/>
  <c r="T65" i="13"/>
  <c r="T64" i="13"/>
  <c r="T63" i="13"/>
  <c r="T62" i="13"/>
  <c r="T61" i="13"/>
  <c r="T60" i="13"/>
  <c r="T59" i="13"/>
  <c r="T58" i="13"/>
  <c r="T57" i="13"/>
  <c r="T56" i="13"/>
  <c r="T55" i="13"/>
  <c r="T54" i="13"/>
  <c r="T53" i="13"/>
  <c r="T52" i="13"/>
  <c r="T51" i="13"/>
  <c r="T50" i="13"/>
  <c r="T49" i="13"/>
  <c r="T48" i="13"/>
  <c r="T47" i="13"/>
  <c r="T46" i="13"/>
  <c r="T45" i="13"/>
  <c r="T44" i="13"/>
  <c r="T43" i="13"/>
  <c r="T42" i="13"/>
  <c r="T41" i="13"/>
  <c r="T40" i="13"/>
  <c r="T39" i="13"/>
  <c r="T38" i="13"/>
  <c r="T37" i="13"/>
  <c r="T36" i="13"/>
  <c r="T35" i="13"/>
  <c r="T34" i="13"/>
  <c r="T33" i="13"/>
  <c r="T32" i="13"/>
  <c r="T31" i="13"/>
  <c r="T30" i="13"/>
  <c r="T29" i="13"/>
  <c r="T28" i="13"/>
  <c r="T27" i="13"/>
  <c r="T26" i="13"/>
  <c r="T25" i="13"/>
  <c r="T24" i="13"/>
  <c r="T23" i="13"/>
  <c r="T22" i="13"/>
  <c r="T21" i="13"/>
  <c r="T20" i="13"/>
  <c r="T19" i="13"/>
  <c r="T18" i="13"/>
  <c r="T17" i="13"/>
  <c r="T16" i="13"/>
  <c r="T15" i="13"/>
  <c r="T14" i="13"/>
  <c r="T13" i="13"/>
  <c r="T12" i="13"/>
  <c r="T11" i="13"/>
  <c r="T10" i="13"/>
  <c r="U10" i="13" s="1"/>
  <c r="T5" i="13"/>
  <c r="Z446" i="13" l="1"/>
  <c r="AA446" i="13" s="1"/>
  <c r="V446" i="13"/>
  <c r="AE446" i="13" s="1"/>
  <c r="U446" i="13"/>
  <c r="W446" i="13" s="1"/>
  <c r="Z445" i="13"/>
  <c r="AA445" i="13" s="1"/>
  <c r="V445" i="13"/>
  <c r="AE445" i="13" s="1"/>
  <c r="U445" i="13"/>
  <c r="W445" i="13" s="1"/>
  <c r="Z444" i="13"/>
  <c r="AA444" i="13" s="1"/>
  <c r="V444" i="13"/>
  <c r="AE444" i="13" s="1"/>
  <c r="U444" i="13"/>
  <c r="W444" i="13" s="1"/>
  <c r="Z443" i="13"/>
  <c r="AA443" i="13" s="1"/>
  <c r="V443" i="13"/>
  <c r="AE443" i="13" s="1"/>
  <c r="U443" i="13"/>
  <c r="W443" i="13" s="1"/>
  <c r="Z442" i="13"/>
  <c r="AA442" i="13" s="1"/>
  <c r="V442" i="13"/>
  <c r="AE442" i="13" s="1"/>
  <c r="U442" i="13"/>
  <c r="W442" i="13" s="1"/>
  <c r="AF442" i="13" s="1"/>
  <c r="Z441" i="13"/>
  <c r="AA441" i="13" s="1"/>
  <c r="V441" i="13"/>
  <c r="AE441" i="13" s="1"/>
  <c r="U441" i="13"/>
  <c r="W441" i="13" s="1"/>
  <c r="Z440" i="13"/>
  <c r="AA440" i="13" s="1"/>
  <c r="V440" i="13"/>
  <c r="AE440" i="13" s="1"/>
  <c r="U440" i="13"/>
  <c r="W440" i="13" s="1"/>
  <c r="AF440" i="13" s="1"/>
  <c r="Z439" i="13"/>
  <c r="AA439" i="13" s="1"/>
  <c r="V439" i="13"/>
  <c r="AE439" i="13" s="1"/>
  <c r="U439" i="13"/>
  <c r="W439" i="13" s="1"/>
  <c r="Z438" i="13"/>
  <c r="AA438" i="13" s="1"/>
  <c r="V438" i="13"/>
  <c r="AE438" i="13" s="1"/>
  <c r="U438" i="13"/>
  <c r="W438" i="13" s="1"/>
  <c r="Z437" i="13"/>
  <c r="AA437" i="13" s="1"/>
  <c r="V437" i="13"/>
  <c r="AE437" i="13" s="1"/>
  <c r="U437" i="13"/>
  <c r="W437" i="13" s="1"/>
  <c r="Z436" i="13"/>
  <c r="AA436" i="13" s="1"/>
  <c r="V436" i="13"/>
  <c r="AE436" i="13" s="1"/>
  <c r="U436" i="13"/>
  <c r="W436" i="13" s="1"/>
  <c r="Z435" i="13"/>
  <c r="AA435" i="13" s="1"/>
  <c r="V435" i="13"/>
  <c r="AE435" i="13" s="1"/>
  <c r="U435" i="13"/>
  <c r="W435" i="13" s="1"/>
  <c r="Z434" i="13"/>
  <c r="AA434" i="13" s="1"/>
  <c r="V434" i="13"/>
  <c r="AE434" i="13" s="1"/>
  <c r="U434" i="13"/>
  <c r="W434" i="13" s="1"/>
  <c r="Z433" i="13"/>
  <c r="AA433" i="13" s="1"/>
  <c r="V433" i="13"/>
  <c r="AE433" i="13" s="1"/>
  <c r="U433" i="13"/>
  <c r="W433" i="13" s="1"/>
  <c r="Z432" i="13"/>
  <c r="AA432" i="13" s="1"/>
  <c r="V432" i="13"/>
  <c r="AE432" i="13" s="1"/>
  <c r="U432" i="13"/>
  <c r="W432" i="13" s="1"/>
  <c r="Z431" i="13"/>
  <c r="AA431" i="13" s="1"/>
  <c r="V431" i="13"/>
  <c r="AE431" i="13" s="1"/>
  <c r="U431" i="13"/>
  <c r="W431" i="13" s="1"/>
  <c r="Z430" i="13"/>
  <c r="AA430" i="13" s="1"/>
  <c r="V430" i="13"/>
  <c r="AE430" i="13" s="1"/>
  <c r="U430" i="13"/>
  <c r="W430" i="13" s="1"/>
  <c r="Z429" i="13"/>
  <c r="AA429" i="13" s="1"/>
  <c r="V429" i="13"/>
  <c r="AE429" i="13" s="1"/>
  <c r="U429" i="13"/>
  <c r="W429" i="13" s="1"/>
  <c r="Z428" i="13"/>
  <c r="AA428" i="13" s="1"/>
  <c r="V428" i="13"/>
  <c r="AE428" i="13" s="1"/>
  <c r="U428" i="13"/>
  <c r="W428" i="13" s="1"/>
  <c r="Z427" i="13"/>
  <c r="AA427" i="13" s="1"/>
  <c r="V427" i="13"/>
  <c r="AE427" i="13" s="1"/>
  <c r="U427" i="13"/>
  <c r="W427" i="13" s="1"/>
  <c r="Z426" i="13"/>
  <c r="AA426" i="13" s="1"/>
  <c r="V426" i="13"/>
  <c r="AE426" i="13" s="1"/>
  <c r="U426" i="13"/>
  <c r="W426" i="13" s="1"/>
  <c r="Z425" i="13"/>
  <c r="AA425" i="13" s="1"/>
  <c r="V425" i="13"/>
  <c r="AE425" i="13" s="1"/>
  <c r="U425" i="13"/>
  <c r="W425" i="13" s="1"/>
  <c r="Z424" i="13"/>
  <c r="AA424" i="13" s="1"/>
  <c r="V424" i="13"/>
  <c r="AE424" i="13" s="1"/>
  <c r="U424" i="13"/>
  <c r="W424" i="13" s="1"/>
  <c r="Z423" i="13"/>
  <c r="AA423" i="13" s="1"/>
  <c r="V423" i="13"/>
  <c r="AE423" i="13" s="1"/>
  <c r="U423" i="13"/>
  <c r="W423" i="13" s="1"/>
  <c r="Z422" i="13"/>
  <c r="AA422" i="13" s="1"/>
  <c r="V422" i="13"/>
  <c r="AE422" i="13" s="1"/>
  <c r="U422" i="13"/>
  <c r="W422" i="13" s="1"/>
  <c r="Z421" i="13"/>
  <c r="AA421" i="13" s="1"/>
  <c r="V421" i="13"/>
  <c r="AE421" i="13" s="1"/>
  <c r="U421" i="13"/>
  <c r="W421" i="13" s="1"/>
  <c r="AF421" i="13" s="1"/>
  <c r="Z420" i="13"/>
  <c r="AA420" i="13" s="1"/>
  <c r="V420" i="13"/>
  <c r="AE420" i="13" s="1"/>
  <c r="U420" i="13"/>
  <c r="W420" i="13" s="1"/>
  <c r="Z419" i="13"/>
  <c r="AA419" i="13" s="1"/>
  <c r="V419" i="13"/>
  <c r="AE419" i="13" s="1"/>
  <c r="U419" i="13"/>
  <c r="W419" i="13" s="1"/>
  <c r="Z418" i="13"/>
  <c r="AA418" i="13" s="1"/>
  <c r="V418" i="13"/>
  <c r="AE418" i="13" s="1"/>
  <c r="U418" i="13"/>
  <c r="W418" i="13" s="1"/>
  <c r="Z417" i="13"/>
  <c r="AA417" i="13" s="1"/>
  <c r="V417" i="13"/>
  <c r="AE417" i="13" s="1"/>
  <c r="U417" i="13"/>
  <c r="W417" i="13" s="1"/>
  <c r="Z416" i="13"/>
  <c r="AA416" i="13" s="1"/>
  <c r="V416" i="13"/>
  <c r="AE416" i="13" s="1"/>
  <c r="U416" i="13"/>
  <c r="W416" i="13" s="1"/>
  <c r="Z415" i="13"/>
  <c r="AA415" i="13" s="1"/>
  <c r="V415" i="13"/>
  <c r="AE415" i="13" s="1"/>
  <c r="U415" i="13"/>
  <c r="W415" i="13" s="1"/>
  <c r="Z414" i="13"/>
  <c r="AA414" i="13" s="1"/>
  <c r="V414" i="13"/>
  <c r="AE414" i="13" s="1"/>
  <c r="U414" i="13"/>
  <c r="W414" i="13" s="1"/>
  <c r="Z413" i="13"/>
  <c r="AA413" i="13" s="1"/>
  <c r="V413" i="13"/>
  <c r="AE413" i="13" s="1"/>
  <c r="U413" i="13"/>
  <c r="W413" i="13" s="1"/>
  <c r="Z412" i="13"/>
  <c r="AA412" i="13" s="1"/>
  <c r="V412" i="13"/>
  <c r="AE412" i="13" s="1"/>
  <c r="U412" i="13"/>
  <c r="W412" i="13" s="1"/>
  <c r="Z411" i="13"/>
  <c r="AA411" i="13" s="1"/>
  <c r="V411" i="13"/>
  <c r="AE411" i="13" s="1"/>
  <c r="U411" i="13"/>
  <c r="W411" i="13" s="1"/>
  <c r="Z410" i="13"/>
  <c r="AA410" i="13" s="1"/>
  <c r="V410" i="13"/>
  <c r="AE410" i="13" s="1"/>
  <c r="U410" i="13"/>
  <c r="W410" i="13" s="1"/>
  <c r="Z409" i="13"/>
  <c r="AA409" i="13" s="1"/>
  <c r="V409" i="13"/>
  <c r="AE409" i="13" s="1"/>
  <c r="U409" i="13"/>
  <c r="W409" i="13" s="1"/>
  <c r="Z408" i="13"/>
  <c r="AA408" i="13" s="1"/>
  <c r="V408" i="13"/>
  <c r="AE408" i="13" s="1"/>
  <c r="U408" i="13"/>
  <c r="W408" i="13" s="1"/>
  <c r="Z407" i="13"/>
  <c r="AA407" i="13" s="1"/>
  <c r="V407" i="13"/>
  <c r="AE407" i="13" s="1"/>
  <c r="U407" i="13"/>
  <c r="W407" i="13" s="1"/>
  <c r="Z406" i="13"/>
  <c r="AA406" i="13" s="1"/>
  <c r="V406" i="13"/>
  <c r="AE406" i="13" s="1"/>
  <c r="U406" i="13"/>
  <c r="W406" i="13" s="1"/>
  <c r="Z405" i="13"/>
  <c r="AA405" i="13" s="1"/>
  <c r="V405" i="13"/>
  <c r="AE405" i="13" s="1"/>
  <c r="U405" i="13"/>
  <c r="W405" i="13" s="1"/>
  <c r="Z404" i="13"/>
  <c r="AA404" i="13" s="1"/>
  <c r="V404" i="13"/>
  <c r="AE404" i="13" s="1"/>
  <c r="U404" i="13"/>
  <c r="W404" i="13" s="1"/>
  <c r="Z403" i="13"/>
  <c r="AA403" i="13" s="1"/>
  <c r="V403" i="13"/>
  <c r="AE403" i="13" s="1"/>
  <c r="U403" i="13"/>
  <c r="W403" i="13" s="1"/>
  <c r="Z402" i="13"/>
  <c r="AA402" i="13" s="1"/>
  <c r="V402" i="13"/>
  <c r="AE402" i="13" s="1"/>
  <c r="U402" i="13"/>
  <c r="W402" i="13" s="1"/>
  <c r="AF402" i="13" s="1"/>
  <c r="Z401" i="13"/>
  <c r="AA401" i="13" s="1"/>
  <c r="V401" i="13"/>
  <c r="AE401" i="13" s="1"/>
  <c r="U401" i="13"/>
  <c r="W401" i="13" s="1"/>
  <c r="Z400" i="13"/>
  <c r="AA400" i="13" s="1"/>
  <c r="V400" i="13"/>
  <c r="AE400" i="13" s="1"/>
  <c r="U400" i="13"/>
  <c r="W400" i="13" s="1"/>
  <c r="Z399" i="13"/>
  <c r="AA399" i="13" s="1"/>
  <c r="V399" i="13"/>
  <c r="AE399" i="13" s="1"/>
  <c r="U399" i="13"/>
  <c r="W399" i="13" s="1"/>
  <c r="Z398" i="13"/>
  <c r="AA398" i="13" s="1"/>
  <c r="V398" i="13"/>
  <c r="AE398" i="13" s="1"/>
  <c r="U398" i="13"/>
  <c r="W398" i="13" s="1"/>
  <c r="Z397" i="13"/>
  <c r="AA397" i="13" s="1"/>
  <c r="V397" i="13"/>
  <c r="AE397" i="13" s="1"/>
  <c r="U397" i="13"/>
  <c r="W397" i="13" s="1"/>
  <c r="AF397" i="13" s="1"/>
  <c r="Z396" i="13"/>
  <c r="AA396" i="13" s="1"/>
  <c r="V396" i="13"/>
  <c r="AE396" i="13" s="1"/>
  <c r="U396" i="13"/>
  <c r="W396" i="13" s="1"/>
  <c r="Z395" i="13"/>
  <c r="AA395" i="13" s="1"/>
  <c r="V395" i="13"/>
  <c r="AE395" i="13" s="1"/>
  <c r="U395" i="13"/>
  <c r="W395" i="13" s="1"/>
  <c r="Z394" i="13"/>
  <c r="AA394" i="13" s="1"/>
  <c r="V394" i="13"/>
  <c r="AE394" i="13" s="1"/>
  <c r="U394" i="13"/>
  <c r="W394" i="13" s="1"/>
  <c r="AF394" i="13" s="1"/>
  <c r="Z393" i="13"/>
  <c r="AA393" i="13" s="1"/>
  <c r="V393" i="13"/>
  <c r="AE393" i="13" s="1"/>
  <c r="U393" i="13"/>
  <c r="W393" i="13" s="1"/>
  <c r="Z392" i="13"/>
  <c r="AA392" i="13" s="1"/>
  <c r="V392" i="13"/>
  <c r="AE392" i="13" s="1"/>
  <c r="U392" i="13"/>
  <c r="W392" i="13" s="1"/>
  <c r="Z391" i="13"/>
  <c r="AA391" i="13" s="1"/>
  <c r="V391" i="13"/>
  <c r="AE391" i="13" s="1"/>
  <c r="U391" i="13"/>
  <c r="W391" i="13" s="1"/>
  <c r="AF391" i="13" s="1"/>
  <c r="Z390" i="13"/>
  <c r="AA390" i="13" s="1"/>
  <c r="V390" i="13"/>
  <c r="AE390" i="13" s="1"/>
  <c r="U390" i="13"/>
  <c r="W390" i="13" s="1"/>
  <c r="Z389" i="13"/>
  <c r="AA389" i="13" s="1"/>
  <c r="V389" i="13"/>
  <c r="AE389" i="13" s="1"/>
  <c r="U389" i="13"/>
  <c r="W389" i="13" s="1"/>
  <c r="Z388" i="13"/>
  <c r="AA388" i="13" s="1"/>
  <c r="V388" i="13"/>
  <c r="AE388" i="13" s="1"/>
  <c r="U388" i="13"/>
  <c r="W388" i="13" s="1"/>
  <c r="Z387" i="13"/>
  <c r="AA387" i="13" s="1"/>
  <c r="V387" i="13"/>
  <c r="AE387" i="13" s="1"/>
  <c r="U387" i="13"/>
  <c r="W387" i="13" s="1"/>
  <c r="Z386" i="13"/>
  <c r="AA386" i="13" s="1"/>
  <c r="V386" i="13"/>
  <c r="AE386" i="13" s="1"/>
  <c r="U386" i="13"/>
  <c r="W386" i="13" s="1"/>
  <c r="Z385" i="13"/>
  <c r="AA385" i="13" s="1"/>
  <c r="V385" i="13"/>
  <c r="AE385" i="13" s="1"/>
  <c r="U385" i="13"/>
  <c r="W385" i="13" s="1"/>
  <c r="Z384" i="13"/>
  <c r="AA384" i="13" s="1"/>
  <c r="V384" i="13"/>
  <c r="AE384" i="13" s="1"/>
  <c r="U384" i="13"/>
  <c r="W384" i="13" s="1"/>
  <c r="Z383" i="13"/>
  <c r="AA383" i="13" s="1"/>
  <c r="V383" i="13"/>
  <c r="AE383" i="13" s="1"/>
  <c r="U383" i="13"/>
  <c r="W383" i="13" s="1"/>
  <c r="Z382" i="13"/>
  <c r="AA382" i="13" s="1"/>
  <c r="V382" i="13"/>
  <c r="AE382" i="13" s="1"/>
  <c r="U382" i="13"/>
  <c r="W382" i="13" s="1"/>
  <c r="AF382" i="13" s="1"/>
  <c r="Z381" i="13"/>
  <c r="AA381" i="13" s="1"/>
  <c r="V381" i="13"/>
  <c r="AE381" i="13" s="1"/>
  <c r="U381" i="13"/>
  <c r="W381" i="13" s="1"/>
  <c r="Z380" i="13"/>
  <c r="AA380" i="13" s="1"/>
  <c r="V380" i="13"/>
  <c r="AE380" i="13" s="1"/>
  <c r="U380" i="13"/>
  <c r="W380" i="13" s="1"/>
  <c r="Z379" i="13"/>
  <c r="AA379" i="13" s="1"/>
  <c r="V379" i="13"/>
  <c r="AE379" i="13" s="1"/>
  <c r="U379" i="13"/>
  <c r="W379" i="13" s="1"/>
  <c r="AF379" i="13" s="1"/>
  <c r="Z378" i="13"/>
  <c r="AA378" i="13" s="1"/>
  <c r="V378" i="13"/>
  <c r="AE378" i="13" s="1"/>
  <c r="U378" i="13"/>
  <c r="W378" i="13" s="1"/>
  <c r="Z377" i="13"/>
  <c r="AA377" i="13" s="1"/>
  <c r="V377" i="13"/>
  <c r="AE377" i="13" s="1"/>
  <c r="U377" i="13"/>
  <c r="W377" i="13" s="1"/>
  <c r="Z376" i="13"/>
  <c r="AA376" i="13" s="1"/>
  <c r="V376" i="13"/>
  <c r="AE376" i="13" s="1"/>
  <c r="U376" i="13"/>
  <c r="W376" i="13" s="1"/>
  <c r="Z375" i="13"/>
  <c r="AA375" i="13" s="1"/>
  <c r="V375" i="13"/>
  <c r="AE375" i="13" s="1"/>
  <c r="U375" i="13"/>
  <c r="W375" i="13" s="1"/>
  <c r="AF375" i="13" s="1"/>
  <c r="Z374" i="13"/>
  <c r="AA374" i="13" s="1"/>
  <c r="V374" i="13"/>
  <c r="AE374" i="13" s="1"/>
  <c r="U374" i="13"/>
  <c r="W374" i="13" s="1"/>
  <c r="Z373" i="13"/>
  <c r="AA373" i="13" s="1"/>
  <c r="V373" i="13"/>
  <c r="AE373" i="13" s="1"/>
  <c r="U373" i="13"/>
  <c r="W373" i="13" s="1"/>
  <c r="AF373" i="13" s="1"/>
  <c r="Z372" i="13"/>
  <c r="AA372" i="13" s="1"/>
  <c r="V372" i="13"/>
  <c r="AE372" i="13" s="1"/>
  <c r="U372" i="13"/>
  <c r="W372" i="13" s="1"/>
  <c r="Z371" i="13"/>
  <c r="AA371" i="13" s="1"/>
  <c r="V371" i="13"/>
  <c r="AE371" i="13" s="1"/>
  <c r="U371" i="13"/>
  <c r="W371" i="13" s="1"/>
  <c r="Z370" i="13"/>
  <c r="AA370" i="13" s="1"/>
  <c r="V370" i="13"/>
  <c r="AE370" i="13" s="1"/>
  <c r="U370" i="13"/>
  <c r="W370" i="13" s="1"/>
  <c r="AF370" i="13" s="1"/>
  <c r="Z369" i="13"/>
  <c r="AA369" i="13" s="1"/>
  <c r="V369" i="13"/>
  <c r="AE369" i="13" s="1"/>
  <c r="U369" i="13"/>
  <c r="W369" i="13" s="1"/>
  <c r="AF369" i="13" s="1"/>
  <c r="Z368" i="13"/>
  <c r="AA368" i="13" s="1"/>
  <c r="V368" i="13"/>
  <c r="AE368" i="13" s="1"/>
  <c r="U368" i="13"/>
  <c r="W368" i="13" s="1"/>
  <c r="Z367" i="13"/>
  <c r="AA367" i="13" s="1"/>
  <c r="V367" i="13"/>
  <c r="AE367" i="13" s="1"/>
  <c r="U367" i="13"/>
  <c r="W367" i="13" s="1"/>
  <c r="AF367" i="13" s="1"/>
  <c r="Z366" i="13"/>
  <c r="AA366" i="13" s="1"/>
  <c r="V366" i="13"/>
  <c r="AE366" i="13" s="1"/>
  <c r="U366" i="13"/>
  <c r="W366" i="13" s="1"/>
  <c r="Z365" i="13"/>
  <c r="AA365" i="13" s="1"/>
  <c r="V365" i="13"/>
  <c r="AE365" i="13" s="1"/>
  <c r="U365" i="13"/>
  <c r="W365" i="13" s="1"/>
  <c r="AF365" i="13" s="1"/>
  <c r="Z364" i="13"/>
  <c r="AA364" i="13" s="1"/>
  <c r="V364" i="13"/>
  <c r="AE364" i="13" s="1"/>
  <c r="U364" i="13"/>
  <c r="W364" i="13" s="1"/>
  <c r="Z363" i="13"/>
  <c r="AA363" i="13" s="1"/>
  <c r="V363" i="13"/>
  <c r="AE363" i="13" s="1"/>
  <c r="U363" i="13"/>
  <c r="W363" i="13" s="1"/>
  <c r="AF363" i="13" s="1"/>
  <c r="Z353" i="13"/>
  <c r="AA353" i="13" s="1"/>
  <c r="V353" i="13"/>
  <c r="AE353" i="13" s="1"/>
  <c r="U353" i="13"/>
  <c r="W353" i="13" s="1"/>
  <c r="Z352" i="13"/>
  <c r="AA352" i="13" s="1"/>
  <c r="V352" i="13"/>
  <c r="AE352" i="13" s="1"/>
  <c r="U352" i="13"/>
  <c r="W352" i="13" s="1"/>
  <c r="Z351" i="13"/>
  <c r="AA351" i="13" s="1"/>
  <c r="V351" i="13"/>
  <c r="AE351" i="13" s="1"/>
  <c r="U351" i="13"/>
  <c r="W351" i="13" s="1"/>
  <c r="Z350" i="13"/>
  <c r="AA350" i="13" s="1"/>
  <c r="V350" i="13"/>
  <c r="AE350" i="13" s="1"/>
  <c r="U350" i="13"/>
  <c r="W350" i="13" s="1"/>
  <c r="AF350" i="13" s="1"/>
  <c r="Z349" i="13"/>
  <c r="AA349" i="13" s="1"/>
  <c r="V349" i="13"/>
  <c r="AE349" i="13" s="1"/>
  <c r="U349" i="13"/>
  <c r="W349" i="13" s="1"/>
  <c r="Z348" i="13"/>
  <c r="AA348" i="13" s="1"/>
  <c r="V348" i="13"/>
  <c r="AE348" i="13" s="1"/>
  <c r="U348" i="13"/>
  <c r="W348" i="13" s="1"/>
  <c r="Z347" i="13"/>
  <c r="AA347" i="13" s="1"/>
  <c r="V347" i="13"/>
  <c r="AE347" i="13" s="1"/>
  <c r="U347" i="13"/>
  <c r="W347" i="13" s="1"/>
  <c r="AF347" i="13" s="1"/>
  <c r="Z346" i="13"/>
  <c r="AA346" i="13" s="1"/>
  <c r="V346" i="13"/>
  <c r="AE346" i="13" s="1"/>
  <c r="U346" i="13"/>
  <c r="W346" i="13" s="1"/>
  <c r="AF346" i="13" s="1"/>
  <c r="Z345" i="13"/>
  <c r="AA345" i="13" s="1"/>
  <c r="V345" i="13"/>
  <c r="AE345" i="13" s="1"/>
  <c r="U345" i="13"/>
  <c r="W345" i="13" s="1"/>
  <c r="Z344" i="13"/>
  <c r="AA344" i="13" s="1"/>
  <c r="V344" i="13"/>
  <c r="AE344" i="13" s="1"/>
  <c r="U344" i="13"/>
  <c r="W344" i="13" s="1"/>
  <c r="Z343" i="13"/>
  <c r="AA343" i="13" s="1"/>
  <c r="V343" i="13"/>
  <c r="AE343" i="13" s="1"/>
  <c r="U343" i="13"/>
  <c r="W343" i="13" s="1"/>
  <c r="Z342" i="13"/>
  <c r="AA342" i="13" s="1"/>
  <c r="V342" i="13"/>
  <c r="AE342" i="13" s="1"/>
  <c r="U342" i="13"/>
  <c r="W342" i="13" s="1"/>
  <c r="Z341" i="13"/>
  <c r="AA341" i="13" s="1"/>
  <c r="V341" i="13"/>
  <c r="AE341" i="13" s="1"/>
  <c r="U341" i="13"/>
  <c r="W341" i="13" s="1"/>
  <c r="Z340" i="13"/>
  <c r="AA340" i="13" s="1"/>
  <c r="V340" i="13"/>
  <c r="AE340" i="13" s="1"/>
  <c r="U340" i="13"/>
  <c r="W340" i="13" s="1"/>
  <c r="Z339" i="13"/>
  <c r="AA339" i="13" s="1"/>
  <c r="V339" i="13"/>
  <c r="AE339" i="13" s="1"/>
  <c r="U339" i="13"/>
  <c r="W339" i="13" s="1"/>
  <c r="Z338" i="13"/>
  <c r="AA338" i="13" s="1"/>
  <c r="V338" i="13"/>
  <c r="AE338" i="13" s="1"/>
  <c r="U338" i="13"/>
  <c r="W338" i="13" s="1"/>
  <c r="Z337" i="13"/>
  <c r="AA337" i="13" s="1"/>
  <c r="V337" i="13"/>
  <c r="AE337" i="13" s="1"/>
  <c r="U337" i="13"/>
  <c r="W337" i="13" s="1"/>
  <c r="Z336" i="13"/>
  <c r="AA336" i="13" s="1"/>
  <c r="V336" i="13"/>
  <c r="AE336" i="13" s="1"/>
  <c r="U336" i="13"/>
  <c r="W336" i="13" s="1"/>
  <c r="Z335" i="13"/>
  <c r="AA335" i="13" s="1"/>
  <c r="V335" i="13"/>
  <c r="AE335" i="13" s="1"/>
  <c r="U335" i="13"/>
  <c r="W335" i="13" s="1"/>
  <c r="Z334" i="13"/>
  <c r="AA334" i="13" s="1"/>
  <c r="V334" i="13"/>
  <c r="AE334" i="13" s="1"/>
  <c r="U334" i="13"/>
  <c r="W334" i="13" s="1"/>
  <c r="Z333" i="13"/>
  <c r="AA333" i="13" s="1"/>
  <c r="V333" i="13"/>
  <c r="AE333" i="13" s="1"/>
  <c r="U333" i="13"/>
  <c r="W333" i="13" s="1"/>
  <c r="Z332" i="13"/>
  <c r="AA332" i="13" s="1"/>
  <c r="V332" i="13"/>
  <c r="AE332" i="13" s="1"/>
  <c r="U332" i="13"/>
  <c r="W332" i="13" s="1"/>
  <c r="Z331" i="13"/>
  <c r="AA331" i="13" s="1"/>
  <c r="V331" i="13"/>
  <c r="AE331" i="13" s="1"/>
  <c r="U331" i="13"/>
  <c r="W331" i="13" s="1"/>
  <c r="Z330" i="13"/>
  <c r="AA330" i="13" s="1"/>
  <c r="V330" i="13"/>
  <c r="AE330" i="13" s="1"/>
  <c r="U330" i="13"/>
  <c r="W330" i="13" s="1"/>
  <c r="AF330" i="13" s="1"/>
  <c r="Z329" i="13"/>
  <c r="AA329" i="13" s="1"/>
  <c r="V329" i="13"/>
  <c r="AE329" i="13" s="1"/>
  <c r="U329" i="13"/>
  <c r="W329" i="13" s="1"/>
  <c r="Z328" i="13"/>
  <c r="AA328" i="13" s="1"/>
  <c r="V328" i="13"/>
  <c r="AE328" i="13" s="1"/>
  <c r="U328" i="13"/>
  <c r="W328" i="13" s="1"/>
  <c r="AF328" i="13" s="1"/>
  <c r="Z327" i="13"/>
  <c r="AA327" i="13" s="1"/>
  <c r="V327" i="13"/>
  <c r="AE327" i="13" s="1"/>
  <c r="U327" i="13"/>
  <c r="W327" i="13" s="1"/>
  <c r="Z326" i="13"/>
  <c r="AA326" i="13" s="1"/>
  <c r="V326" i="13"/>
  <c r="AE326" i="13" s="1"/>
  <c r="U326" i="13"/>
  <c r="W326" i="13" s="1"/>
  <c r="Z325" i="13"/>
  <c r="AA325" i="13" s="1"/>
  <c r="V325" i="13"/>
  <c r="AE325" i="13" s="1"/>
  <c r="U325" i="13"/>
  <c r="W325" i="13" s="1"/>
  <c r="AF325" i="13" s="1"/>
  <c r="Z324" i="13"/>
  <c r="AA324" i="13" s="1"/>
  <c r="V324" i="13"/>
  <c r="AE324" i="13" s="1"/>
  <c r="U324" i="13"/>
  <c r="W324" i="13" s="1"/>
  <c r="AF324" i="13" s="1"/>
  <c r="Z323" i="13"/>
  <c r="AA323" i="13" s="1"/>
  <c r="V323" i="13"/>
  <c r="AE323" i="13" s="1"/>
  <c r="U323" i="13"/>
  <c r="W323" i="13" s="1"/>
  <c r="Z322" i="13"/>
  <c r="AA322" i="13" s="1"/>
  <c r="V322" i="13"/>
  <c r="AE322" i="13" s="1"/>
  <c r="U322" i="13"/>
  <c r="W322" i="13" s="1"/>
  <c r="Z321" i="13"/>
  <c r="AA321" i="13" s="1"/>
  <c r="V321" i="13"/>
  <c r="AE321" i="13" s="1"/>
  <c r="U321" i="13"/>
  <c r="W321" i="13" s="1"/>
  <c r="Z320" i="13"/>
  <c r="AA320" i="13" s="1"/>
  <c r="V320" i="13"/>
  <c r="AE320" i="13" s="1"/>
  <c r="U320" i="13"/>
  <c r="W320" i="13" s="1"/>
  <c r="Z319" i="13"/>
  <c r="AA319" i="13" s="1"/>
  <c r="V319" i="13"/>
  <c r="AE319" i="13" s="1"/>
  <c r="U319" i="13"/>
  <c r="W319" i="13" s="1"/>
  <c r="AF319" i="13" s="1"/>
  <c r="Z318" i="13"/>
  <c r="AA318" i="13" s="1"/>
  <c r="V318" i="13"/>
  <c r="AE318" i="13" s="1"/>
  <c r="U318" i="13"/>
  <c r="W318" i="13" s="1"/>
  <c r="AF318" i="13" s="1"/>
  <c r="Z317" i="13"/>
  <c r="AA317" i="13" s="1"/>
  <c r="V317" i="13"/>
  <c r="AE317" i="13" s="1"/>
  <c r="U317" i="13"/>
  <c r="W317" i="13" s="1"/>
  <c r="Z316" i="13"/>
  <c r="AA316" i="13" s="1"/>
  <c r="V316" i="13"/>
  <c r="AE316" i="13" s="1"/>
  <c r="U316" i="13"/>
  <c r="W316" i="13" s="1"/>
  <c r="Z315" i="13"/>
  <c r="AA315" i="13" s="1"/>
  <c r="V315" i="13"/>
  <c r="AE315" i="13" s="1"/>
  <c r="U315" i="13"/>
  <c r="W315" i="13" s="1"/>
  <c r="AF315" i="13" s="1"/>
  <c r="Z314" i="13"/>
  <c r="AA314" i="13" s="1"/>
  <c r="V314" i="13"/>
  <c r="AE314" i="13" s="1"/>
  <c r="U314" i="13"/>
  <c r="W314" i="13" s="1"/>
  <c r="Z313" i="13"/>
  <c r="AA313" i="13" s="1"/>
  <c r="V313" i="13"/>
  <c r="AE313" i="13" s="1"/>
  <c r="U313" i="13"/>
  <c r="W313" i="13" s="1"/>
  <c r="Z312" i="13"/>
  <c r="AA312" i="13" s="1"/>
  <c r="V312" i="13"/>
  <c r="AE312" i="13" s="1"/>
  <c r="U312" i="13"/>
  <c r="W312" i="13" s="1"/>
  <c r="AF312" i="13" s="1"/>
  <c r="Z311" i="13"/>
  <c r="AA311" i="13" s="1"/>
  <c r="V311" i="13"/>
  <c r="AE311" i="13" s="1"/>
  <c r="U311" i="13"/>
  <c r="W311" i="13" s="1"/>
  <c r="Z310" i="13"/>
  <c r="AA310" i="13" s="1"/>
  <c r="V310" i="13"/>
  <c r="AE310" i="13" s="1"/>
  <c r="U310" i="13"/>
  <c r="W310" i="13" s="1"/>
  <c r="AF310" i="13" s="1"/>
  <c r="Z309" i="13"/>
  <c r="AA309" i="13" s="1"/>
  <c r="V309" i="13"/>
  <c r="AE309" i="13" s="1"/>
  <c r="U309" i="13"/>
  <c r="W309" i="13" s="1"/>
  <c r="Z308" i="13"/>
  <c r="AA308" i="13" s="1"/>
  <c r="V308" i="13"/>
  <c r="AE308" i="13" s="1"/>
  <c r="U308" i="13"/>
  <c r="W308" i="13" s="1"/>
  <c r="AF308" i="13" s="1"/>
  <c r="Z307" i="13"/>
  <c r="AA307" i="13" s="1"/>
  <c r="V307" i="13"/>
  <c r="AE307" i="13" s="1"/>
  <c r="U307" i="13"/>
  <c r="W307" i="13" s="1"/>
  <c r="Z306" i="13"/>
  <c r="AA306" i="13" s="1"/>
  <c r="V306" i="13"/>
  <c r="AE306" i="13" s="1"/>
  <c r="U306" i="13"/>
  <c r="W306" i="13" s="1"/>
  <c r="Z305" i="13"/>
  <c r="AA305" i="13" s="1"/>
  <c r="V305" i="13"/>
  <c r="AE305" i="13" s="1"/>
  <c r="U305" i="13"/>
  <c r="W305" i="13" s="1"/>
  <c r="AF305" i="13" s="1"/>
  <c r="Z304" i="13"/>
  <c r="AA304" i="13" s="1"/>
  <c r="V304" i="13"/>
  <c r="AE304" i="13" s="1"/>
  <c r="U304" i="13"/>
  <c r="W304" i="13" s="1"/>
  <c r="AF304" i="13" s="1"/>
  <c r="Z303" i="13"/>
  <c r="AA303" i="13" s="1"/>
  <c r="V303" i="13"/>
  <c r="AE303" i="13" s="1"/>
  <c r="U303" i="13"/>
  <c r="W303" i="13" s="1"/>
  <c r="Z302" i="13"/>
  <c r="AA302" i="13" s="1"/>
  <c r="V302" i="13"/>
  <c r="AE302" i="13" s="1"/>
  <c r="U302" i="13"/>
  <c r="W302" i="13" s="1"/>
  <c r="AF302" i="13" s="1"/>
  <c r="Z301" i="13"/>
  <c r="AA301" i="13" s="1"/>
  <c r="V301" i="13"/>
  <c r="AE301" i="13" s="1"/>
  <c r="U301" i="13"/>
  <c r="W301" i="13" s="1"/>
  <c r="AF301" i="13" s="1"/>
  <c r="Z300" i="13"/>
  <c r="AA300" i="13" s="1"/>
  <c r="V300" i="13"/>
  <c r="AE300" i="13" s="1"/>
  <c r="U300" i="13"/>
  <c r="W300" i="13" s="1"/>
  <c r="Z299" i="13"/>
  <c r="AA299" i="13" s="1"/>
  <c r="V299" i="13"/>
  <c r="AE299" i="13" s="1"/>
  <c r="U299" i="13"/>
  <c r="W299" i="13" s="1"/>
  <c r="Z298" i="13"/>
  <c r="AA298" i="13" s="1"/>
  <c r="V298" i="13"/>
  <c r="AE298" i="13" s="1"/>
  <c r="U298" i="13"/>
  <c r="W298" i="13" s="1"/>
  <c r="AF298" i="13" s="1"/>
  <c r="Z297" i="13"/>
  <c r="AA297" i="13" s="1"/>
  <c r="V297" i="13"/>
  <c r="AE297" i="13" s="1"/>
  <c r="U297" i="13"/>
  <c r="W297" i="13" s="1"/>
  <c r="Z296" i="13"/>
  <c r="AA296" i="13" s="1"/>
  <c r="V296" i="13"/>
  <c r="AE296" i="13" s="1"/>
  <c r="U296" i="13"/>
  <c r="W296" i="13" s="1"/>
  <c r="Z295" i="13"/>
  <c r="AA295" i="13" s="1"/>
  <c r="V295" i="13"/>
  <c r="AE295" i="13" s="1"/>
  <c r="U295" i="13"/>
  <c r="W295" i="13" s="1"/>
  <c r="Z294" i="13"/>
  <c r="AA294" i="13" s="1"/>
  <c r="V294" i="13"/>
  <c r="AE294" i="13" s="1"/>
  <c r="U294" i="13"/>
  <c r="W294" i="13" s="1"/>
  <c r="Z293" i="13"/>
  <c r="AA293" i="13" s="1"/>
  <c r="V293" i="13"/>
  <c r="AE293" i="13" s="1"/>
  <c r="U293" i="13"/>
  <c r="W293" i="13" s="1"/>
  <c r="AF293" i="13" s="1"/>
  <c r="Z292" i="13"/>
  <c r="AA292" i="13" s="1"/>
  <c r="V292" i="13"/>
  <c r="AE292" i="13" s="1"/>
  <c r="U292" i="13"/>
  <c r="W292" i="13" s="1"/>
  <c r="AF292" i="13" s="1"/>
  <c r="Z291" i="13"/>
  <c r="AA291" i="13" s="1"/>
  <c r="V291" i="13"/>
  <c r="AE291" i="13" s="1"/>
  <c r="U291" i="13"/>
  <c r="W291" i="13" s="1"/>
  <c r="Z290" i="13"/>
  <c r="AA290" i="13" s="1"/>
  <c r="V290" i="13"/>
  <c r="AE290" i="13" s="1"/>
  <c r="U290" i="13"/>
  <c r="W290" i="13" s="1"/>
  <c r="AF290" i="13" s="1"/>
  <c r="Z289" i="13"/>
  <c r="AA289" i="13" s="1"/>
  <c r="V289" i="13"/>
  <c r="AE289" i="13" s="1"/>
  <c r="U289" i="13"/>
  <c r="W289" i="13" s="1"/>
  <c r="Z288" i="13"/>
  <c r="AA288" i="13" s="1"/>
  <c r="V288" i="13"/>
  <c r="AE288" i="13" s="1"/>
  <c r="U288" i="13"/>
  <c r="W288" i="13" s="1"/>
  <c r="Z287" i="13"/>
  <c r="AA287" i="13" s="1"/>
  <c r="V287" i="13"/>
  <c r="AE287" i="13" s="1"/>
  <c r="U287" i="13"/>
  <c r="W287" i="13" s="1"/>
  <c r="AF287" i="13" s="1"/>
  <c r="Z286" i="13"/>
  <c r="AA286" i="13" s="1"/>
  <c r="V286" i="13"/>
  <c r="AE286" i="13" s="1"/>
  <c r="U286" i="13"/>
  <c r="W286" i="13" s="1"/>
  <c r="AF286" i="13" s="1"/>
  <c r="Z285" i="13"/>
  <c r="AA285" i="13" s="1"/>
  <c r="V285" i="13"/>
  <c r="AE285" i="13" s="1"/>
  <c r="U285" i="13"/>
  <c r="W285" i="13" s="1"/>
  <c r="Z284" i="13"/>
  <c r="AA284" i="13" s="1"/>
  <c r="V284" i="13"/>
  <c r="AE284" i="13" s="1"/>
  <c r="U284" i="13"/>
  <c r="W284" i="13" s="1"/>
  <c r="Z283" i="13"/>
  <c r="AA283" i="13" s="1"/>
  <c r="V283" i="13"/>
  <c r="AE283" i="13" s="1"/>
  <c r="U283" i="13"/>
  <c r="W283" i="13" s="1"/>
  <c r="Z282" i="13"/>
  <c r="AA282" i="13" s="1"/>
  <c r="V282" i="13"/>
  <c r="AE282" i="13" s="1"/>
  <c r="U282" i="13"/>
  <c r="W282" i="13" s="1"/>
  <c r="Z281" i="13"/>
  <c r="AA281" i="13" s="1"/>
  <c r="V281" i="13"/>
  <c r="AE281" i="13" s="1"/>
  <c r="U281" i="13"/>
  <c r="W281" i="13" s="1"/>
  <c r="Z280" i="13"/>
  <c r="AA280" i="13" s="1"/>
  <c r="V280" i="13"/>
  <c r="AE280" i="13" s="1"/>
  <c r="U280" i="13"/>
  <c r="W280" i="13" s="1"/>
  <c r="AF280" i="13" s="1"/>
  <c r="Z279" i="13"/>
  <c r="AA279" i="13" s="1"/>
  <c r="V279" i="13"/>
  <c r="AE279" i="13" s="1"/>
  <c r="U279" i="13"/>
  <c r="W279" i="13" s="1"/>
  <c r="Z278" i="13"/>
  <c r="AA278" i="13" s="1"/>
  <c r="V278" i="13"/>
  <c r="AE278" i="13" s="1"/>
  <c r="U278" i="13"/>
  <c r="W278" i="13" s="1"/>
  <c r="Z277" i="13"/>
  <c r="AA277" i="13" s="1"/>
  <c r="V277" i="13"/>
  <c r="AE277" i="13" s="1"/>
  <c r="U277" i="13"/>
  <c r="W277" i="13" s="1"/>
  <c r="Z276" i="13"/>
  <c r="AA276" i="13" s="1"/>
  <c r="V276" i="13"/>
  <c r="AE276" i="13" s="1"/>
  <c r="U276" i="13"/>
  <c r="W276" i="13" s="1"/>
  <c r="Z275" i="13"/>
  <c r="AA275" i="13" s="1"/>
  <c r="V275" i="13"/>
  <c r="AE275" i="13" s="1"/>
  <c r="U275" i="13"/>
  <c r="W275" i="13" s="1"/>
  <c r="Z274" i="13"/>
  <c r="AA274" i="13" s="1"/>
  <c r="V274" i="13"/>
  <c r="AE274" i="13" s="1"/>
  <c r="U274" i="13"/>
  <c r="W274" i="13" s="1"/>
  <c r="Z273" i="13"/>
  <c r="AA273" i="13" s="1"/>
  <c r="V273" i="13"/>
  <c r="AE273" i="13" s="1"/>
  <c r="U273" i="13"/>
  <c r="W273" i="13" s="1"/>
  <c r="AF273" i="13" s="1"/>
  <c r="Z272" i="13"/>
  <c r="AA272" i="13" s="1"/>
  <c r="V272" i="13"/>
  <c r="AE272" i="13" s="1"/>
  <c r="U272" i="13"/>
  <c r="W272" i="13" s="1"/>
  <c r="AF272" i="13" s="1"/>
  <c r="Z271" i="13"/>
  <c r="AA271" i="13" s="1"/>
  <c r="V271" i="13"/>
  <c r="AE271" i="13" s="1"/>
  <c r="U271" i="13"/>
  <c r="W271" i="13" s="1"/>
  <c r="Z270" i="13"/>
  <c r="AA270" i="13" s="1"/>
  <c r="V270" i="13"/>
  <c r="AE270" i="13" s="1"/>
  <c r="U270" i="13"/>
  <c r="W270" i="13" s="1"/>
  <c r="AF270" i="13" s="1"/>
  <c r="Z269" i="13"/>
  <c r="AA269" i="13" s="1"/>
  <c r="V269" i="13"/>
  <c r="AE269" i="13" s="1"/>
  <c r="U269" i="13"/>
  <c r="W269" i="13" s="1"/>
  <c r="AF269" i="13" s="1"/>
  <c r="Z268" i="13"/>
  <c r="AA268" i="13" s="1"/>
  <c r="V268" i="13"/>
  <c r="AE268" i="13" s="1"/>
  <c r="U268" i="13"/>
  <c r="W268" i="13" s="1"/>
  <c r="Z267" i="13"/>
  <c r="AA267" i="13" s="1"/>
  <c r="V267" i="13"/>
  <c r="AE267" i="13" s="1"/>
  <c r="U267" i="13"/>
  <c r="W267" i="13" s="1"/>
  <c r="Z266" i="13"/>
  <c r="AA266" i="13" s="1"/>
  <c r="V266" i="13"/>
  <c r="AE266" i="13" s="1"/>
  <c r="U266" i="13"/>
  <c r="W266" i="13" s="1"/>
  <c r="Z265" i="13"/>
  <c r="AA265" i="13" s="1"/>
  <c r="V265" i="13"/>
  <c r="AE265" i="13" s="1"/>
  <c r="U265" i="13"/>
  <c r="W265" i="13" s="1"/>
  <c r="Z264" i="13"/>
  <c r="AA264" i="13" s="1"/>
  <c r="V264" i="13"/>
  <c r="AE264" i="13" s="1"/>
  <c r="U264" i="13"/>
  <c r="W264" i="13" s="1"/>
  <c r="Z263" i="13"/>
  <c r="AA263" i="13" s="1"/>
  <c r="V263" i="13"/>
  <c r="AE263" i="13" s="1"/>
  <c r="U263" i="13"/>
  <c r="W263" i="13" s="1"/>
  <c r="Z262" i="13"/>
  <c r="AA262" i="13" s="1"/>
  <c r="V262" i="13"/>
  <c r="AE262" i="13" s="1"/>
  <c r="U262" i="13"/>
  <c r="W262" i="13" s="1"/>
  <c r="Z261" i="13"/>
  <c r="AA261" i="13" s="1"/>
  <c r="V261" i="13"/>
  <c r="AE261" i="13" s="1"/>
  <c r="U261" i="13"/>
  <c r="W261" i="13" s="1"/>
  <c r="Z260" i="13"/>
  <c r="AA260" i="13" s="1"/>
  <c r="V260" i="13"/>
  <c r="AE260" i="13" s="1"/>
  <c r="U260" i="13"/>
  <c r="W260" i="13" s="1"/>
  <c r="Z259" i="13"/>
  <c r="AA259" i="13" s="1"/>
  <c r="V259" i="13"/>
  <c r="AE259" i="13" s="1"/>
  <c r="U259" i="13"/>
  <c r="W259" i="13" s="1"/>
  <c r="Z258" i="13"/>
  <c r="AA258" i="13" s="1"/>
  <c r="V258" i="13"/>
  <c r="AE258" i="13" s="1"/>
  <c r="U258" i="13"/>
  <c r="W258" i="13" s="1"/>
  <c r="Z257" i="13"/>
  <c r="AA257" i="13" s="1"/>
  <c r="V257" i="13"/>
  <c r="AE257" i="13" s="1"/>
  <c r="U257" i="13"/>
  <c r="W257" i="13" s="1"/>
  <c r="Z256" i="13"/>
  <c r="AA256" i="13" s="1"/>
  <c r="V256" i="13"/>
  <c r="AE256" i="13" s="1"/>
  <c r="U256" i="13"/>
  <c r="W256" i="13" s="1"/>
  <c r="AF256" i="13" s="1"/>
  <c r="Z255" i="13"/>
  <c r="AA255" i="13" s="1"/>
  <c r="V255" i="13"/>
  <c r="AE255" i="13" s="1"/>
  <c r="U255" i="13"/>
  <c r="W255" i="13" s="1"/>
  <c r="Z254" i="13"/>
  <c r="AA254" i="13" s="1"/>
  <c r="V254" i="13"/>
  <c r="AE254" i="13" s="1"/>
  <c r="U254" i="13"/>
  <c r="W254" i="13" s="1"/>
  <c r="AF254" i="13" s="1"/>
  <c r="Z253" i="13"/>
  <c r="AA253" i="13" s="1"/>
  <c r="V253" i="13"/>
  <c r="AE253" i="13" s="1"/>
  <c r="U253" i="13"/>
  <c r="W253" i="13" s="1"/>
  <c r="Z252" i="13"/>
  <c r="AA252" i="13" s="1"/>
  <c r="V252" i="13"/>
  <c r="AE252" i="13" s="1"/>
  <c r="U252" i="13"/>
  <c r="W252" i="13" s="1"/>
  <c r="Z251" i="13"/>
  <c r="AA251" i="13" s="1"/>
  <c r="V251" i="13"/>
  <c r="AE251" i="13" s="1"/>
  <c r="U251" i="13"/>
  <c r="W251" i="13" s="1"/>
  <c r="Z250" i="13"/>
  <c r="AA250" i="13" s="1"/>
  <c r="V250" i="13"/>
  <c r="AE250" i="13" s="1"/>
  <c r="U250" i="13"/>
  <c r="W250" i="13" s="1"/>
  <c r="Z249" i="13"/>
  <c r="AA249" i="13" s="1"/>
  <c r="V249" i="13"/>
  <c r="AE249" i="13" s="1"/>
  <c r="U249" i="13"/>
  <c r="W249" i="13" s="1"/>
  <c r="Z248" i="13"/>
  <c r="AA248" i="13" s="1"/>
  <c r="V248" i="13"/>
  <c r="AE248" i="13" s="1"/>
  <c r="U248" i="13"/>
  <c r="W248" i="13" s="1"/>
  <c r="Z247" i="13"/>
  <c r="AA247" i="13" s="1"/>
  <c r="V247" i="13"/>
  <c r="AE247" i="13" s="1"/>
  <c r="U247" i="13"/>
  <c r="W247" i="13" s="1"/>
  <c r="AF247" i="13" s="1"/>
  <c r="Z246" i="13"/>
  <c r="AA246" i="13" s="1"/>
  <c r="V246" i="13"/>
  <c r="AE246" i="13" s="1"/>
  <c r="U246" i="13"/>
  <c r="W246" i="13" s="1"/>
  <c r="Z245" i="13"/>
  <c r="AA245" i="13" s="1"/>
  <c r="V245" i="13"/>
  <c r="AE245" i="13" s="1"/>
  <c r="U245" i="13"/>
  <c r="W245" i="13" s="1"/>
  <c r="AF245" i="13" s="1"/>
  <c r="Z244" i="13"/>
  <c r="AA244" i="13" s="1"/>
  <c r="V244" i="13"/>
  <c r="AE244" i="13" s="1"/>
  <c r="U244" i="13"/>
  <c r="W244" i="13" s="1"/>
  <c r="Z243" i="13"/>
  <c r="AA243" i="13" s="1"/>
  <c r="V243" i="13"/>
  <c r="AE243" i="13" s="1"/>
  <c r="U243" i="13"/>
  <c r="W243" i="13" s="1"/>
  <c r="AF243" i="13" s="1"/>
  <c r="Z242" i="13"/>
  <c r="AA242" i="13" s="1"/>
  <c r="V242" i="13"/>
  <c r="AE242" i="13" s="1"/>
  <c r="U242" i="13"/>
  <c r="W242" i="13" s="1"/>
  <c r="Z241" i="13"/>
  <c r="AA241" i="13" s="1"/>
  <c r="V241" i="13"/>
  <c r="AE241" i="13" s="1"/>
  <c r="U241" i="13"/>
  <c r="W241" i="13" s="1"/>
  <c r="AF241" i="13" s="1"/>
  <c r="Z240" i="13"/>
  <c r="AA240" i="13" s="1"/>
  <c r="V240" i="13"/>
  <c r="AE240" i="13" s="1"/>
  <c r="U240" i="13"/>
  <c r="W240" i="13" s="1"/>
  <c r="Z239" i="13"/>
  <c r="AA239" i="13" s="1"/>
  <c r="V239" i="13"/>
  <c r="AE239" i="13" s="1"/>
  <c r="U239" i="13"/>
  <c r="W239" i="13" s="1"/>
  <c r="AF239" i="13" s="1"/>
  <c r="Z238" i="13"/>
  <c r="AA238" i="13" s="1"/>
  <c r="V238" i="13"/>
  <c r="AE238" i="13" s="1"/>
  <c r="U238" i="13"/>
  <c r="W238" i="13" s="1"/>
  <c r="AF238" i="13" s="1"/>
  <c r="Z237" i="13"/>
  <c r="AA237" i="13" s="1"/>
  <c r="V237" i="13"/>
  <c r="AE237" i="13" s="1"/>
  <c r="U237" i="13"/>
  <c r="W237" i="13" s="1"/>
  <c r="AF237" i="13" s="1"/>
  <c r="Z236" i="13"/>
  <c r="AA236" i="13" s="1"/>
  <c r="V236" i="13"/>
  <c r="AE236" i="13" s="1"/>
  <c r="U236" i="13"/>
  <c r="W236" i="13" s="1"/>
  <c r="AF236" i="13" s="1"/>
  <c r="Z235" i="13"/>
  <c r="AA235" i="13" s="1"/>
  <c r="V235" i="13"/>
  <c r="AE235" i="13" s="1"/>
  <c r="U235" i="13"/>
  <c r="W235" i="13" s="1"/>
  <c r="Z234" i="13"/>
  <c r="AA234" i="13" s="1"/>
  <c r="V234" i="13"/>
  <c r="AE234" i="13" s="1"/>
  <c r="U234" i="13"/>
  <c r="W234" i="13" s="1"/>
  <c r="AF234" i="13" s="1"/>
  <c r="Z233" i="13"/>
  <c r="AA233" i="13" s="1"/>
  <c r="V233" i="13"/>
  <c r="AE233" i="13" s="1"/>
  <c r="U233" i="13"/>
  <c r="W233" i="13" s="1"/>
  <c r="AF233" i="13" s="1"/>
  <c r="Z232" i="13"/>
  <c r="AA232" i="13" s="1"/>
  <c r="V232" i="13"/>
  <c r="AE232" i="13" s="1"/>
  <c r="U232" i="13"/>
  <c r="W232" i="13" s="1"/>
  <c r="Z231" i="13"/>
  <c r="AA231" i="13" s="1"/>
  <c r="V231" i="13"/>
  <c r="AE231" i="13" s="1"/>
  <c r="U231" i="13"/>
  <c r="W231" i="13" s="1"/>
  <c r="AF231" i="13" s="1"/>
  <c r="Z230" i="13"/>
  <c r="AA230" i="13" s="1"/>
  <c r="V230" i="13"/>
  <c r="AE230" i="13" s="1"/>
  <c r="U230" i="13"/>
  <c r="W230" i="13" s="1"/>
  <c r="Z229" i="13"/>
  <c r="AA229" i="13" s="1"/>
  <c r="V229" i="13"/>
  <c r="AE229" i="13" s="1"/>
  <c r="U229" i="13"/>
  <c r="W229" i="13" s="1"/>
  <c r="Z228" i="13"/>
  <c r="AA228" i="13" s="1"/>
  <c r="V228" i="13"/>
  <c r="AE228" i="13" s="1"/>
  <c r="U228" i="13"/>
  <c r="W228" i="13" s="1"/>
  <c r="AF228" i="13" s="1"/>
  <c r="Z227" i="13"/>
  <c r="AA227" i="13" s="1"/>
  <c r="V227" i="13"/>
  <c r="AE227" i="13" s="1"/>
  <c r="U227" i="13"/>
  <c r="W227" i="13" s="1"/>
  <c r="AF227" i="13" s="1"/>
  <c r="Z226" i="13"/>
  <c r="AA226" i="13" s="1"/>
  <c r="V226" i="13"/>
  <c r="AE226" i="13" s="1"/>
  <c r="U226" i="13"/>
  <c r="W226" i="13" s="1"/>
  <c r="Z225" i="13"/>
  <c r="AA225" i="13" s="1"/>
  <c r="V225" i="13"/>
  <c r="AE225" i="13" s="1"/>
  <c r="U225" i="13"/>
  <c r="W225" i="13" s="1"/>
  <c r="AF225" i="13" s="1"/>
  <c r="Z224" i="13"/>
  <c r="AA224" i="13" s="1"/>
  <c r="V224" i="13"/>
  <c r="AE224" i="13" s="1"/>
  <c r="U224" i="13"/>
  <c r="W224" i="13" s="1"/>
  <c r="Z223" i="13"/>
  <c r="AA223" i="13" s="1"/>
  <c r="V223" i="13"/>
  <c r="AE223" i="13" s="1"/>
  <c r="U223" i="13"/>
  <c r="W223" i="13" s="1"/>
  <c r="Z222" i="13"/>
  <c r="AA222" i="13" s="1"/>
  <c r="V222" i="13"/>
  <c r="AE222" i="13" s="1"/>
  <c r="U222" i="13"/>
  <c r="W222" i="13" s="1"/>
  <c r="Z221" i="13"/>
  <c r="AA221" i="13" s="1"/>
  <c r="V221" i="13"/>
  <c r="AE221" i="13" s="1"/>
  <c r="U221" i="13"/>
  <c r="W221" i="13" s="1"/>
  <c r="AF221" i="13" s="1"/>
  <c r="Z220" i="13"/>
  <c r="AA220" i="13" s="1"/>
  <c r="V220" i="13"/>
  <c r="AE220" i="13" s="1"/>
  <c r="U220" i="13"/>
  <c r="W220" i="13" s="1"/>
  <c r="Z219" i="13"/>
  <c r="AA219" i="13" s="1"/>
  <c r="V219" i="13"/>
  <c r="AE219" i="13" s="1"/>
  <c r="U219" i="13"/>
  <c r="W219" i="13" s="1"/>
  <c r="Z218" i="13"/>
  <c r="AA218" i="13" s="1"/>
  <c r="V218" i="13"/>
  <c r="AE218" i="13" s="1"/>
  <c r="U218" i="13"/>
  <c r="W218" i="13" s="1"/>
  <c r="AF218" i="13" s="1"/>
  <c r="Z217" i="13"/>
  <c r="AA217" i="13" s="1"/>
  <c r="V217" i="13"/>
  <c r="AE217" i="13" s="1"/>
  <c r="U217" i="13"/>
  <c r="W217" i="13" s="1"/>
  <c r="Z216" i="13"/>
  <c r="AA216" i="13" s="1"/>
  <c r="V216" i="13"/>
  <c r="AE216" i="13" s="1"/>
  <c r="U216" i="13"/>
  <c r="W216" i="13" s="1"/>
  <c r="Z215" i="13"/>
  <c r="AA215" i="13" s="1"/>
  <c r="V215" i="13"/>
  <c r="AE215" i="13" s="1"/>
  <c r="U215" i="13"/>
  <c r="W215" i="13" s="1"/>
  <c r="Z214" i="13"/>
  <c r="AA214" i="13" s="1"/>
  <c r="V214" i="13"/>
  <c r="AE214" i="13" s="1"/>
  <c r="U214" i="13"/>
  <c r="W214" i="13" s="1"/>
  <c r="Z213" i="13"/>
  <c r="AA213" i="13" s="1"/>
  <c r="V213" i="13"/>
  <c r="AE213" i="13" s="1"/>
  <c r="U213" i="13"/>
  <c r="W213" i="13" s="1"/>
  <c r="Z212" i="13"/>
  <c r="AA212" i="13" s="1"/>
  <c r="V212" i="13"/>
  <c r="AE212" i="13" s="1"/>
  <c r="U212" i="13"/>
  <c r="W212" i="13" s="1"/>
  <c r="Z211" i="13"/>
  <c r="AA211" i="13" s="1"/>
  <c r="V211" i="13"/>
  <c r="AE211" i="13" s="1"/>
  <c r="U211" i="13"/>
  <c r="W211" i="13" s="1"/>
  <c r="Z210" i="13"/>
  <c r="AA210" i="13" s="1"/>
  <c r="V210" i="13"/>
  <c r="AE210" i="13" s="1"/>
  <c r="U210" i="13"/>
  <c r="W210" i="13" s="1"/>
  <c r="Z209" i="13"/>
  <c r="AA209" i="13" s="1"/>
  <c r="V209" i="13"/>
  <c r="AE209" i="13" s="1"/>
  <c r="U209" i="13"/>
  <c r="W209" i="13" s="1"/>
  <c r="Z208" i="13"/>
  <c r="AA208" i="13" s="1"/>
  <c r="V208" i="13"/>
  <c r="AE208" i="13" s="1"/>
  <c r="U208" i="13"/>
  <c r="W208" i="13" s="1"/>
  <c r="AF208" i="13" s="1"/>
  <c r="Z207" i="13"/>
  <c r="AA207" i="13" s="1"/>
  <c r="V207" i="13"/>
  <c r="AE207" i="13" s="1"/>
  <c r="U207" i="13"/>
  <c r="W207" i="13" s="1"/>
  <c r="AF207" i="13" s="1"/>
  <c r="Z206" i="13"/>
  <c r="AA206" i="13" s="1"/>
  <c r="V206" i="13"/>
  <c r="AE206" i="13" s="1"/>
  <c r="U206" i="13"/>
  <c r="W206" i="13" s="1"/>
  <c r="Z205" i="13"/>
  <c r="AA205" i="13" s="1"/>
  <c r="V205" i="13"/>
  <c r="AE205" i="13" s="1"/>
  <c r="U205" i="13"/>
  <c r="W205" i="13" s="1"/>
  <c r="Z204" i="13"/>
  <c r="AA204" i="13" s="1"/>
  <c r="V204" i="13"/>
  <c r="AE204" i="13" s="1"/>
  <c r="U204" i="13"/>
  <c r="W204" i="13" s="1"/>
  <c r="Z203" i="13"/>
  <c r="AA203" i="13" s="1"/>
  <c r="V203" i="13"/>
  <c r="AE203" i="13" s="1"/>
  <c r="U203" i="13"/>
  <c r="W203" i="13" s="1"/>
  <c r="AF203" i="13" s="1"/>
  <c r="Z202" i="13"/>
  <c r="AA202" i="13" s="1"/>
  <c r="V202" i="13"/>
  <c r="AE202" i="13" s="1"/>
  <c r="U202" i="13"/>
  <c r="W202" i="13" s="1"/>
  <c r="AF202" i="13" s="1"/>
  <c r="Z201" i="13"/>
  <c r="AA201" i="13" s="1"/>
  <c r="V201" i="13"/>
  <c r="AE201" i="13" s="1"/>
  <c r="U201" i="13"/>
  <c r="W201" i="13" s="1"/>
  <c r="Z200" i="13"/>
  <c r="AA200" i="13" s="1"/>
  <c r="V200" i="13"/>
  <c r="AE200" i="13" s="1"/>
  <c r="U200" i="13"/>
  <c r="W200" i="13" s="1"/>
  <c r="Z199" i="13"/>
  <c r="AA199" i="13" s="1"/>
  <c r="V199" i="13"/>
  <c r="AE199" i="13" s="1"/>
  <c r="U199" i="13"/>
  <c r="W199" i="13" s="1"/>
  <c r="AF199" i="13" s="1"/>
  <c r="Z198" i="13"/>
  <c r="AA198" i="13" s="1"/>
  <c r="V198" i="13"/>
  <c r="AE198" i="13" s="1"/>
  <c r="U198" i="13"/>
  <c r="W198" i="13" s="1"/>
  <c r="AF198" i="13" s="1"/>
  <c r="Z197" i="13"/>
  <c r="AA197" i="13" s="1"/>
  <c r="V197" i="13"/>
  <c r="AE197" i="13" s="1"/>
  <c r="U197" i="13"/>
  <c r="W197" i="13" s="1"/>
  <c r="AF197" i="13" s="1"/>
  <c r="Z196" i="13"/>
  <c r="AA196" i="13" s="1"/>
  <c r="V196" i="13"/>
  <c r="AE196" i="13" s="1"/>
  <c r="U196" i="13"/>
  <c r="W196" i="13" s="1"/>
  <c r="AF196" i="13" s="1"/>
  <c r="Z195" i="13"/>
  <c r="AA195" i="13" s="1"/>
  <c r="V195" i="13"/>
  <c r="AE195" i="13" s="1"/>
  <c r="U195" i="13"/>
  <c r="W195" i="13" s="1"/>
  <c r="AF195" i="13" s="1"/>
  <c r="Z194" i="13"/>
  <c r="AA194" i="13" s="1"/>
  <c r="V194" i="13"/>
  <c r="AE194" i="13" s="1"/>
  <c r="U194" i="13"/>
  <c r="W194" i="13" s="1"/>
  <c r="Z193" i="13"/>
  <c r="AA193" i="13" s="1"/>
  <c r="V193" i="13"/>
  <c r="AE193" i="13" s="1"/>
  <c r="U193" i="13"/>
  <c r="W193" i="13" s="1"/>
  <c r="AF193" i="13" s="1"/>
  <c r="Z192" i="13"/>
  <c r="AA192" i="13" s="1"/>
  <c r="V192" i="13"/>
  <c r="AE192" i="13" s="1"/>
  <c r="U192" i="13"/>
  <c r="W192" i="13" s="1"/>
  <c r="Z191" i="13"/>
  <c r="AA191" i="13" s="1"/>
  <c r="V191" i="13"/>
  <c r="AE191" i="13" s="1"/>
  <c r="U191" i="13"/>
  <c r="W191" i="13" s="1"/>
  <c r="Z190" i="13"/>
  <c r="AA190" i="13" s="1"/>
  <c r="V190" i="13"/>
  <c r="AE190" i="13" s="1"/>
  <c r="U190" i="13"/>
  <c r="W190" i="13" s="1"/>
  <c r="Z189" i="13"/>
  <c r="AA189" i="13" s="1"/>
  <c r="V189" i="13"/>
  <c r="AE189" i="13" s="1"/>
  <c r="U189" i="13"/>
  <c r="W189" i="13" s="1"/>
  <c r="Z188" i="13"/>
  <c r="AA188" i="13" s="1"/>
  <c r="V188" i="13"/>
  <c r="AE188" i="13" s="1"/>
  <c r="U188" i="13"/>
  <c r="W188" i="13" s="1"/>
  <c r="AF188" i="13" s="1"/>
  <c r="Z187" i="13"/>
  <c r="AA187" i="13" s="1"/>
  <c r="V187" i="13"/>
  <c r="AE187" i="13" s="1"/>
  <c r="U187" i="13"/>
  <c r="W187" i="13" s="1"/>
  <c r="AF187" i="13" s="1"/>
  <c r="Z186" i="13"/>
  <c r="AA186" i="13" s="1"/>
  <c r="V186" i="13"/>
  <c r="AE186" i="13" s="1"/>
  <c r="U186" i="13"/>
  <c r="W186" i="13" s="1"/>
  <c r="Z185" i="13"/>
  <c r="AA185" i="13" s="1"/>
  <c r="V185" i="13"/>
  <c r="AE185" i="13" s="1"/>
  <c r="U185" i="13"/>
  <c r="W185" i="13" s="1"/>
  <c r="Z184" i="13"/>
  <c r="AA184" i="13" s="1"/>
  <c r="V184" i="13"/>
  <c r="AE184" i="13" s="1"/>
  <c r="U184" i="13"/>
  <c r="W184" i="13" s="1"/>
  <c r="AF184" i="13" s="1"/>
  <c r="Z183" i="13"/>
  <c r="AA183" i="13" s="1"/>
  <c r="V183" i="13"/>
  <c r="AE183" i="13" s="1"/>
  <c r="U183" i="13"/>
  <c r="W183" i="13" s="1"/>
  <c r="Z182" i="13"/>
  <c r="AA182" i="13" s="1"/>
  <c r="V182" i="13"/>
  <c r="AE182" i="13" s="1"/>
  <c r="U182" i="13"/>
  <c r="W182" i="13" s="1"/>
  <c r="Z181" i="13"/>
  <c r="AA181" i="13" s="1"/>
  <c r="V181" i="13"/>
  <c r="AE181" i="13" s="1"/>
  <c r="U181" i="13"/>
  <c r="W181" i="13" s="1"/>
  <c r="Z180" i="13"/>
  <c r="AA180" i="13" s="1"/>
  <c r="V180" i="13"/>
  <c r="AE180" i="13" s="1"/>
  <c r="U180" i="13"/>
  <c r="W180" i="13" s="1"/>
  <c r="AF180" i="13" s="1"/>
  <c r="Z179" i="13"/>
  <c r="AA179" i="13" s="1"/>
  <c r="V179" i="13"/>
  <c r="AE179" i="13" s="1"/>
  <c r="U179" i="13"/>
  <c r="W179" i="13" s="1"/>
  <c r="Z178" i="13"/>
  <c r="AA178" i="13" s="1"/>
  <c r="V178" i="13"/>
  <c r="AE178" i="13" s="1"/>
  <c r="U178" i="13"/>
  <c r="W178" i="13" s="1"/>
  <c r="Z177" i="13"/>
  <c r="AA177" i="13" s="1"/>
  <c r="V177" i="13"/>
  <c r="AE177" i="13" s="1"/>
  <c r="U177" i="13"/>
  <c r="W177" i="13" s="1"/>
  <c r="Z176" i="13"/>
  <c r="AA176" i="13" s="1"/>
  <c r="V176" i="13"/>
  <c r="AE176" i="13" s="1"/>
  <c r="U176" i="13"/>
  <c r="W176" i="13" s="1"/>
  <c r="AF176" i="13" s="1"/>
  <c r="Z175" i="13"/>
  <c r="AA175" i="13" s="1"/>
  <c r="V175" i="13"/>
  <c r="AE175" i="13" s="1"/>
  <c r="U175" i="13"/>
  <c r="W175" i="13" s="1"/>
  <c r="Z174" i="13"/>
  <c r="AA174" i="13" s="1"/>
  <c r="V174" i="13"/>
  <c r="AE174" i="13" s="1"/>
  <c r="U174" i="13"/>
  <c r="W174" i="13" s="1"/>
  <c r="Z173" i="13"/>
  <c r="AA173" i="13" s="1"/>
  <c r="V173" i="13"/>
  <c r="AE173" i="13" s="1"/>
  <c r="U173" i="13"/>
  <c r="W173" i="13" s="1"/>
  <c r="Z172" i="13"/>
  <c r="AA172" i="13" s="1"/>
  <c r="V172" i="13"/>
  <c r="AE172" i="13" s="1"/>
  <c r="U172" i="13"/>
  <c r="W172" i="13" s="1"/>
  <c r="Z171" i="13"/>
  <c r="AA171" i="13" s="1"/>
  <c r="V171" i="13"/>
  <c r="AE171" i="13" s="1"/>
  <c r="U171" i="13"/>
  <c r="W171" i="13" s="1"/>
  <c r="Z170" i="13"/>
  <c r="AA170" i="13" s="1"/>
  <c r="V170" i="13"/>
  <c r="AE170" i="13" s="1"/>
  <c r="U170" i="13"/>
  <c r="W170" i="13" s="1"/>
  <c r="Z169" i="13"/>
  <c r="AA169" i="13" s="1"/>
  <c r="V169" i="13"/>
  <c r="AE169" i="13" s="1"/>
  <c r="U169" i="13"/>
  <c r="W169" i="13" s="1"/>
  <c r="Z168" i="13"/>
  <c r="AA168" i="13" s="1"/>
  <c r="V168" i="13"/>
  <c r="AE168" i="13" s="1"/>
  <c r="U168" i="13"/>
  <c r="W168" i="13" s="1"/>
  <c r="Z167" i="13"/>
  <c r="AA167" i="13" s="1"/>
  <c r="V167" i="13"/>
  <c r="AE167" i="13" s="1"/>
  <c r="U167" i="13"/>
  <c r="W167" i="13" s="1"/>
  <c r="AF167" i="13" s="1"/>
  <c r="Z166" i="13"/>
  <c r="AA166" i="13" s="1"/>
  <c r="V166" i="13"/>
  <c r="AE166" i="13" s="1"/>
  <c r="U166" i="13"/>
  <c r="W166" i="13" s="1"/>
  <c r="Z165" i="13"/>
  <c r="AA165" i="13" s="1"/>
  <c r="V165" i="13"/>
  <c r="AE165" i="13" s="1"/>
  <c r="U165" i="13"/>
  <c r="W165" i="13" s="1"/>
  <c r="Z164" i="13"/>
  <c r="AA164" i="13" s="1"/>
  <c r="V164" i="13"/>
  <c r="AE164" i="13" s="1"/>
  <c r="U164" i="13"/>
  <c r="W164" i="13" s="1"/>
  <c r="Z163" i="13"/>
  <c r="AA163" i="13" s="1"/>
  <c r="V163" i="13"/>
  <c r="AE163" i="13" s="1"/>
  <c r="U163" i="13"/>
  <c r="W163" i="13" s="1"/>
  <c r="Z162" i="13"/>
  <c r="AA162" i="13" s="1"/>
  <c r="V162" i="13"/>
  <c r="AE162" i="13" s="1"/>
  <c r="U162" i="13"/>
  <c r="W162" i="13" s="1"/>
  <c r="Z161" i="13"/>
  <c r="AA161" i="13" s="1"/>
  <c r="V161" i="13"/>
  <c r="AE161" i="13" s="1"/>
  <c r="U161" i="13"/>
  <c r="W161" i="13" s="1"/>
  <c r="Z160" i="13"/>
  <c r="AA160" i="13" s="1"/>
  <c r="V160" i="13"/>
  <c r="AE160" i="13" s="1"/>
  <c r="U160" i="13"/>
  <c r="W160" i="13" s="1"/>
  <c r="Z159" i="13"/>
  <c r="AA159" i="13" s="1"/>
  <c r="V159" i="13"/>
  <c r="AE159" i="13" s="1"/>
  <c r="U159" i="13"/>
  <c r="W159" i="13" s="1"/>
  <c r="Z158" i="13"/>
  <c r="AA158" i="13" s="1"/>
  <c r="V158" i="13"/>
  <c r="AE158" i="13" s="1"/>
  <c r="U158" i="13"/>
  <c r="W158" i="13" s="1"/>
  <c r="Z157" i="13"/>
  <c r="AA157" i="13" s="1"/>
  <c r="V157" i="13"/>
  <c r="AE157" i="13" s="1"/>
  <c r="U157" i="13"/>
  <c r="W157" i="13" s="1"/>
  <c r="Z156" i="13"/>
  <c r="AA156" i="13" s="1"/>
  <c r="V156" i="13"/>
  <c r="AE156" i="13" s="1"/>
  <c r="U156" i="13"/>
  <c r="W156" i="13" s="1"/>
  <c r="Z155" i="13"/>
  <c r="AA155" i="13" s="1"/>
  <c r="V155" i="13"/>
  <c r="AE155" i="13" s="1"/>
  <c r="U155" i="13"/>
  <c r="W155" i="13" s="1"/>
  <c r="Z154" i="13"/>
  <c r="AA154" i="13" s="1"/>
  <c r="V154" i="13"/>
  <c r="AE154" i="13" s="1"/>
  <c r="U154" i="13"/>
  <c r="W154" i="13" s="1"/>
  <c r="Z153" i="13"/>
  <c r="AA153" i="13" s="1"/>
  <c r="V153" i="13"/>
  <c r="AE153" i="13" s="1"/>
  <c r="U153" i="13"/>
  <c r="W153" i="13" s="1"/>
  <c r="Z152" i="13"/>
  <c r="AA152" i="13" s="1"/>
  <c r="V152" i="13"/>
  <c r="AE152" i="13" s="1"/>
  <c r="U152" i="13"/>
  <c r="W152" i="13" s="1"/>
  <c r="Z151" i="13"/>
  <c r="AA151" i="13" s="1"/>
  <c r="V151" i="13"/>
  <c r="AE151" i="13" s="1"/>
  <c r="U151" i="13"/>
  <c r="W151" i="13" s="1"/>
  <c r="Z150" i="13"/>
  <c r="AA150" i="13" s="1"/>
  <c r="V150" i="13"/>
  <c r="AE150" i="13" s="1"/>
  <c r="U150" i="13"/>
  <c r="W150" i="13" s="1"/>
  <c r="AF150" i="13" s="1"/>
  <c r="Z149" i="13"/>
  <c r="AA149" i="13" s="1"/>
  <c r="V149" i="13"/>
  <c r="AE149" i="13" s="1"/>
  <c r="U149" i="13"/>
  <c r="W149" i="13" s="1"/>
  <c r="Z148" i="13"/>
  <c r="AA148" i="13" s="1"/>
  <c r="V148" i="13"/>
  <c r="AE148" i="13" s="1"/>
  <c r="U148" i="13"/>
  <c r="W148" i="13" s="1"/>
  <c r="Z147" i="13"/>
  <c r="AA147" i="13" s="1"/>
  <c r="V147" i="13"/>
  <c r="AE147" i="13" s="1"/>
  <c r="U147" i="13"/>
  <c r="W147" i="13" s="1"/>
  <c r="Z146" i="13"/>
  <c r="AA146" i="13" s="1"/>
  <c r="V146" i="13"/>
  <c r="AE146" i="13" s="1"/>
  <c r="U146" i="13"/>
  <c r="W146" i="13" s="1"/>
  <c r="AF146" i="13" s="1"/>
  <c r="Z145" i="13"/>
  <c r="AA145" i="13" s="1"/>
  <c r="V145" i="13"/>
  <c r="AE145" i="13" s="1"/>
  <c r="U145" i="13"/>
  <c r="W145" i="13" s="1"/>
  <c r="Z144" i="13"/>
  <c r="AA144" i="13" s="1"/>
  <c r="V144" i="13"/>
  <c r="AE144" i="13" s="1"/>
  <c r="U144" i="13"/>
  <c r="W144" i="13" s="1"/>
  <c r="Z143" i="13"/>
  <c r="AA143" i="13" s="1"/>
  <c r="V143" i="13"/>
  <c r="AE143" i="13" s="1"/>
  <c r="U143" i="13"/>
  <c r="W143" i="13" s="1"/>
  <c r="AF143" i="13" s="1"/>
  <c r="Z142" i="13"/>
  <c r="AA142" i="13" s="1"/>
  <c r="V142" i="13"/>
  <c r="AE142" i="13" s="1"/>
  <c r="U142" i="13"/>
  <c r="W142" i="13" s="1"/>
  <c r="Z141" i="13"/>
  <c r="AA141" i="13" s="1"/>
  <c r="V141" i="13"/>
  <c r="AE141" i="13" s="1"/>
  <c r="U141" i="13"/>
  <c r="W141" i="13" s="1"/>
  <c r="Z140" i="13"/>
  <c r="AA140" i="13" s="1"/>
  <c r="V140" i="13"/>
  <c r="AE140" i="13" s="1"/>
  <c r="U140" i="13"/>
  <c r="W140" i="13" s="1"/>
  <c r="Z139" i="13"/>
  <c r="AA139" i="13" s="1"/>
  <c r="V139" i="13"/>
  <c r="AE139" i="13" s="1"/>
  <c r="U139" i="13"/>
  <c r="W139" i="13" s="1"/>
  <c r="Z138" i="13"/>
  <c r="AA138" i="13" s="1"/>
  <c r="V138" i="13"/>
  <c r="AE138" i="13" s="1"/>
  <c r="U138" i="13"/>
  <c r="W138" i="13" s="1"/>
  <c r="Z137" i="13"/>
  <c r="AA137" i="13" s="1"/>
  <c r="V137" i="13"/>
  <c r="AE137" i="13" s="1"/>
  <c r="U137" i="13"/>
  <c r="W137" i="13" s="1"/>
  <c r="Z136" i="13"/>
  <c r="AA136" i="13" s="1"/>
  <c r="V136" i="13"/>
  <c r="AE136" i="13" s="1"/>
  <c r="U136" i="13"/>
  <c r="W136" i="13" s="1"/>
  <c r="Z135" i="13"/>
  <c r="AA135" i="13" s="1"/>
  <c r="V135" i="13"/>
  <c r="AE135" i="13" s="1"/>
  <c r="U135" i="13"/>
  <c r="W135" i="13" s="1"/>
  <c r="Z134" i="13"/>
  <c r="AA134" i="13" s="1"/>
  <c r="V134" i="13"/>
  <c r="AE134" i="13" s="1"/>
  <c r="U134" i="13"/>
  <c r="W134" i="13" s="1"/>
  <c r="Z133" i="13"/>
  <c r="AA133" i="13" s="1"/>
  <c r="V133" i="13"/>
  <c r="AE133" i="13" s="1"/>
  <c r="U133" i="13"/>
  <c r="W133" i="13" s="1"/>
  <c r="Z132" i="13"/>
  <c r="AA132" i="13" s="1"/>
  <c r="V132" i="13"/>
  <c r="AE132" i="13" s="1"/>
  <c r="U132" i="13"/>
  <c r="W132" i="13" s="1"/>
  <c r="Z131" i="13"/>
  <c r="AA131" i="13" s="1"/>
  <c r="V131" i="13"/>
  <c r="AE131" i="13" s="1"/>
  <c r="U131" i="13"/>
  <c r="W131" i="13" s="1"/>
  <c r="AF131" i="13" s="1"/>
  <c r="Z130" i="13"/>
  <c r="AA130" i="13" s="1"/>
  <c r="V130" i="13"/>
  <c r="AE130" i="13" s="1"/>
  <c r="U130" i="13"/>
  <c r="W130" i="13" s="1"/>
  <c r="Z129" i="13"/>
  <c r="AA129" i="13" s="1"/>
  <c r="V129" i="13"/>
  <c r="AE129" i="13" s="1"/>
  <c r="U129" i="13"/>
  <c r="W129" i="13" s="1"/>
  <c r="Z128" i="13"/>
  <c r="AA128" i="13" s="1"/>
  <c r="V128" i="13"/>
  <c r="AE128" i="13" s="1"/>
  <c r="U128" i="13"/>
  <c r="W128" i="13" s="1"/>
  <c r="Z127" i="13"/>
  <c r="AA127" i="13" s="1"/>
  <c r="V127" i="13"/>
  <c r="AE127" i="13" s="1"/>
  <c r="U127" i="13"/>
  <c r="W127" i="13" s="1"/>
  <c r="Z126" i="13"/>
  <c r="AA126" i="13" s="1"/>
  <c r="V126" i="13"/>
  <c r="AE126" i="13" s="1"/>
  <c r="U126" i="13"/>
  <c r="W126" i="13" s="1"/>
  <c r="Z125" i="13"/>
  <c r="AA125" i="13" s="1"/>
  <c r="V125" i="13"/>
  <c r="AE125" i="13" s="1"/>
  <c r="U125" i="13"/>
  <c r="W125" i="13" s="1"/>
  <c r="Z124" i="13"/>
  <c r="AA124" i="13" s="1"/>
  <c r="V124" i="13"/>
  <c r="AE124" i="13" s="1"/>
  <c r="U124" i="13"/>
  <c r="W124" i="13" s="1"/>
  <c r="Z123" i="13"/>
  <c r="AA123" i="13" s="1"/>
  <c r="V123" i="13"/>
  <c r="AE123" i="13" s="1"/>
  <c r="U123" i="13"/>
  <c r="W123" i="13" s="1"/>
  <c r="Z122" i="13"/>
  <c r="AA122" i="13" s="1"/>
  <c r="V122" i="13"/>
  <c r="AE122" i="13" s="1"/>
  <c r="U122" i="13"/>
  <c r="W122" i="13" s="1"/>
  <c r="Z121" i="13"/>
  <c r="AA121" i="13" s="1"/>
  <c r="V121" i="13"/>
  <c r="AE121" i="13" s="1"/>
  <c r="U121" i="13"/>
  <c r="W121" i="13" s="1"/>
  <c r="AF121" i="13" s="1"/>
  <c r="Z120" i="13"/>
  <c r="AA120" i="13" s="1"/>
  <c r="V120" i="13"/>
  <c r="AE120" i="13" s="1"/>
  <c r="U120" i="13"/>
  <c r="W120" i="13" s="1"/>
  <c r="Z119" i="13"/>
  <c r="AA119" i="13" s="1"/>
  <c r="V119" i="13"/>
  <c r="AE119" i="13" s="1"/>
  <c r="U119" i="13"/>
  <c r="W119" i="13" s="1"/>
  <c r="Z118" i="13"/>
  <c r="AA118" i="13" s="1"/>
  <c r="V118" i="13"/>
  <c r="AE118" i="13" s="1"/>
  <c r="U118" i="13"/>
  <c r="W118" i="13" s="1"/>
  <c r="Z117" i="13"/>
  <c r="AA117" i="13" s="1"/>
  <c r="V117" i="13"/>
  <c r="AE117" i="13" s="1"/>
  <c r="U117" i="13"/>
  <c r="W117" i="13" s="1"/>
  <c r="Z116" i="13"/>
  <c r="AA116" i="13" s="1"/>
  <c r="V116" i="13"/>
  <c r="AE116" i="13" s="1"/>
  <c r="U116" i="13"/>
  <c r="W116" i="13" s="1"/>
  <c r="AF116" i="13" s="1"/>
  <c r="Z115" i="13"/>
  <c r="AA115" i="13" s="1"/>
  <c r="V115" i="13"/>
  <c r="AE115" i="13" s="1"/>
  <c r="U115" i="13"/>
  <c r="W115" i="13" s="1"/>
  <c r="Z114" i="13"/>
  <c r="AA114" i="13" s="1"/>
  <c r="V114" i="13"/>
  <c r="AE114" i="13" s="1"/>
  <c r="U114" i="13"/>
  <c r="W114" i="13" s="1"/>
  <c r="Z113" i="13"/>
  <c r="AA113" i="13" s="1"/>
  <c r="V113" i="13"/>
  <c r="AE113" i="13" s="1"/>
  <c r="U113" i="13"/>
  <c r="W113" i="13" s="1"/>
  <c r="Z112" i="13"/>
  <c r="AA112" i="13" s="1"/>
  <c r="V112" i="13"/>
  <c r="AE112" i="13" s="1"/>
  <c r="U112" i="13"/>
  <c r="W112" i="13" s="1"/>
  <c r="Z111" i="13"/>
  <c r="AA111" i="13" s="1"/>
  <c r="V111" i="13"/>
  <c r="AE111" i="13" s="1"/>
  <c r="U111" i="13"/>
  <c r="W111" i="13" s="1"/>
  <c r="Z110" i="13"/>
  <c r="AA110" i="13" s="1"/>
  <c r="V110" i="13"/>
  <c r="AE110" i="13" s="1"/>
  <c r="U110" i="13"/>
  <c r="W110" i="13" s="1"/>
  <c r="Z109" i="13"/>
  <c r="AA109" i="13" s="1"/>
  <c r="V109" i="13"/>
  <c r="AE109" i="13" s="1"/>
  <c r="U109" i="13"/>
  <c r="W109" i="13" s="1"/>
  <c r="Z108" i="13"/>
  <c r="AA108" i="13" s="1"/>
  <c r="V108" i="13"/>
  <c r="AE108" i="13" s="1"/>
  <c r="U108" i="13"/>
  <c r="W108" i="13" s="1"/>
  <c r="Z107" i="13"/>
  <c r="AA107" i="13" s="1"/>
  <c r="V107" i="13"/>
  <c r="AE107" i="13" s="1"/>
  <c r="U107" i="13"/>
  <c r="W107" i="13" s="1"/>
  <c r="Z106" i="13"/>
  <c r="AA106" i="13" s="1"/>
  <c r="V106" i="13"/>
  <c r="AE106" i="13" s="1"/>
  <c r="U106" i="13"/>
  <c r="W106" i="13" s="1"/>
  <c r="Z105" i="13"/>
  <c r="AA105" i="13" s="1"/>
  <c r="V105" i="13"/>
  <c r="AE105" i="13" s="1"/>
  <c r="U105" i="13"/>
  <c r="W105" i="13" s="1"/>
  <c r="Z104" i="13"/>
  <c r="AA104" i="13" s="1"/>
  <c r="V104" i="13"/>
  <c r="AE104" i="13" s="1"/>
  <c r="U104" i="13"/>
  <c r="W104" i="13" s="1"/>
  <c r="AF104" i="13" s="1"/>
  <c r="Z103" i="13"/>
  <c r="AA103" i="13" s="1"/>
  <c r="V103" i="13"/>
  <c r="AE103" i="13" s="1"/>
  <c r="U103" i="13"/>
  <c r="W103" i="13" s="1"/>
  <c r="Z102" i="13"/>
  <c r="AA102" i="13" s="1"/>
  <c r="V102" i="13"/>
  <c r="AE102" i="13" s="1"/>
  <c r="U102" i="13"/>
  <c r="W102" i="13" s="1"/>
  <c r="Z101" i="13"/>
  <c r="AA101" i="13" s="1"/>
  <c r="V101" i="13"/>
  <c r="AE101" i="13" s="1"/>
  <c r="U101" i="13"/>
  <c r="W101" i="13" s="1"/>
  <c r="AF101" i="13" s="1"/>
  <c r="Z100" i="13"/>
  <c r="AA100" i="13" s="1"/>
  <c r="V100" i="13"/>
  <c r="AE100" i="13" s="1"/>
  <c r="U100" i="13"/>
  <c r="W100" i="13" s="1"/>
  <c r="Z99" i="13"/>
  <c r="AA99" i="13" s="1"/>
  <c r="V99" i="13"/>
  <c r="AE99" i="13" s="1"/>
  <c r="U99" i="13"/>
  <c r="W99" i="13" s="1"/>
  <c r="Z98" i="13"/>
  <c r="AA98" i="13" s="1"/>
  <c r="V98" i="13"/>
  <c r="AE98" i="13" s="1"/>
  <c r="U98" i="13"/>
  <c r="W98" i="13" s="1"/>
  <c r="Z97" i="13"/>
  <c r="AA97" i="13" s="1"/>
  <c r="V97" i="13"/>
  <c r="AE97" i="13" s="1"/>
  <c r="U97" i="13"/>
  <c r="W97" i="13" s="1"/>
  <c r="Z96" i="13"/>
  <c r="AA96" i="13" s="1"/>
  <c r="V96" i="13"/>
  <c r="AE96" i="13" s="1"/>
  <c r="U96" i="13"/>
  <c r="W96" i="13" s="1"/>
  <c r="Z95" i="13"/>
  <c r="AA95" i="13" s="1"/>
  <c r="V95" i="13"/>
  <c r="AE95" i="13" s="1"/>
  <c r="U95" i="13"/>
  <c r="W95" i="13" s="1"/>
  <c r="Z94" i="13"/>
  <c r="AA94" i="13" s="1"/>
  <c r="V94" i="13"/>
  <c r="AE94" i="13" s="1"/>
  <c r="U94" i="13"/>
  <c r="W94" i="13" s="1"/>
  <c r="Z93" i="13"/>
  <c r="AA93" i="13" s="1"/>
  <c r="V93" i="13"/>
  <c r="AE93" i="13" s="1"/>
  <c r="U93" i="13"/>
  <c r="W93" i="13" s="1"/>
  <c r="Z92" i="13"/>
  <c r="AA92" i="13" s="1"/>
  <c r="V92" i="13"/>
  <c r="AE92" i="13" s="1"/>
  <c r="U92" i="13"/>
  <c r="W92" i="13" s="1"/>
  <c r="AF92" i="13" s="1"/>
  <c r="Z91" i="13"/>
  <c r="AA91" i="13" s="1"/>
  <c r="V91" i="13"/>
  <c r="AE91" i="13" s="1"/>
  <c r="U91" i="13"/>
  <c r="W91" i="13" s="1"/>
  <c r="Z90" i="13"/>
  <c r="AA90" i="13" s="1"/>
  <c r="V90" i="13"/>
  <c r="AE90" i="13" s="1"/>
  <c r="U90" i="13"/>
  <c r="W90" i="13" s="1"/>
  <c r="Z89" i="13"/>
  <c r="AA89" i="13" s="1"/>
  <c r="V89" i="13"/>
  <c r="AE89" i="13" s="1"/>
  <c r="U89" i="13"/>
  <c r="W89" i="13" s="1"/>
  <c r="Z88" i="13"/>
  <c r="AA88" i="13" s="1"/>
  <c r="V88" i="13"/>
  <c r="AE88" i="13" s="1"/>
  <c r="U88" i="13"/>
  <c r="W88" i="13" s="1"/>
  <c r="Z87" i="13"/>
  <c r="AA87" i="13" s="1"/>
  <c r="V87" i="13"/>
  <c r="AE87" i="13" s="1"/>
  <c r="U87" i="13"/>
  <c r="W87" i="13" s="1"/>
  <c r="Z86" i="13"/>
  <c r="AA86" i="13" s="1"/>
  <c r="V86" i="13"/>
  <c r="AE86" i="13" s="1"/>
  <c r="U86" i="13"/>
  <c r="W86" i="13" s="1"/>
  <c r="AF86" i="13" s="1"/>
  <c r="Z85" i="13"/>
  <c r="AA85" i="13" s="1"/>
  <c r="V85" i="13"/>
  <c r="AE85" i="13" s="1"/>
  <c r="U85" i="13"/>
  <c r="W85" i="13" s="1"/>
  <c r="Z84" i="13"/>
  <c r="AA84" i="13" s="1"/>
  <c r="V84" i="13"/>
  <c r="AE84" i="13" s="1"/>
  <c r="U84" i="13"/>
  <c r="W84" i="13" s="1"/>
  <c r="Z83" i="13"/>
  <c r="AA83" i="13" s="1"/>
  <c r="V83" i="13"/>
  <c r="AE83" i="13" s="1"/>
  <c r="U83" i="13"/>
  <c r="W83" i="13" s="1"/>
  <c r="Z82" i="13"/>
  <c r="AA82" i="13" s="1"/>
  <c r="V82" i="13"/>
  <c r="AE82" i="13" s="1"/>
  <c r="U82" i="13"/>
  <c r="W82" i="13" s="1"/>
  <c r="Z81" i="13"/>
  <c r="AA81" i="13" s="1"/>
  <c r="V81" i="13"/>
  <c r="AE81" i="13" s="1"/>
  <c r="U81" i="13"/>
  <c r="W81" i="13" s="1"/>
  <c r="Z80" i="13"/>
  <c r="AA80" i="13" s="1"/>
  <c r="V80" i="13"/>
  <c r="AE80" i="13" s="1"/>
  <c r="U80" i="13"/>
  <c r="W80" i="13" s="1"/>
  <c r="Z79" i="13"/>
  <c r="AA79" i="13" s="1"/>
  <c r="V79" i="13"/>
  <c r="AE79" i="13" s="1"/>
  <c r="U79" i="13"/>
  <c r="W79" i="13" s="1"/>
  <c r="Z78" i="13"/>
  <c r="AA78" i="13" s="1"/>
  <c r="V78" i="13"/>
  <c r="AE78" i="13" s="1"/>
  <c r="U78" i="13"/>
  <c r="W78" i="13" s="1"/>
  <c r="Z77" i="13"/>
  <c r="AA77" i="13" s="1"/>
  <c r="V77" i="13"/>
  <c r="AE77" i="13" s="1"/>
  <c r="U77" i="13"/>
  <c r="W77" i="13" s="1"/>
  <c r="Z76" i="13"/>
  <c r="AA76" i="13" s="1"/>
  <c r="V76" i="13"/>
  <c r="AE76" i="13" s="1"/>
  <c r="U76" i="13"/>
  <c r="W76" i="13" s="1"/>
  <c r="Z75" i="13"/>
  <c r="AA75" i="13" s="1"/>
  <c r="V75" i="13"/>
  <c r="AE75" i="13" s="1"/>
  <c r="U75" i="13"/>
  <c r="W75" i="13" s="1"/>
  <c r="Z74" i="13"/>
  <c r="AA74" i="13" s="1"/>
  <c r="V74" i="13"/>
  <c r="AE74" i="13" s="1"/>
  <c r="U74" i="13"/>
  <c r="W74" i="13" s="1"/>
  <c r="AF74" i="13" s="1"/>
  <c r="Z73" i="13"/>
  <c r="AA73" i="13" s="1"/>
  <c r="V73" i="13"/>
  <c r="AE73" i="13" s="1"/>
  <c r="U73" i="13"/>
  <c r="W73" i="13" s="1"/>
  <c r="Z72" i="13"/>
  <c r="AA72" i="13" s="1"/>
  <c r="V72" i="13"/>
  <c r="AE72" i="13" s="1"/>
  <c r="U72" i="13"/>
  <c r="W72" i="13" s="1"/>
  <c r="Z71" i="13"/>
  <c r="AA71" i="13" s="1"/>
  <c r="V71" i="13"/>
  <c r="AE71" i="13" s="1"/>
  <c r="U71" i="13"/>
  <c r="W71" i="13" s="1"/>
  <c r="AF71" i="13" s="1"/>
  <c r="Z70" i="13"/>
  <c r="AA70" i="13" s="1"/>
  <c r="V70" i="13"/>
  <c r="AE70" i="13" s="1"/>
  <c r="U70" i="13"/>
  <c r="W70" i="13" s="1"/>
  <c r="Z69" i="13"/>
  <c r="AA69" i="13" s="1"/>
  <c r="V69" i="13"/>
  <c r="AE69" i="13" s="1"/>
  <c r="U69" i="13"/>
  <c r="W69" i="13" s="1"/>
  <c r="Z68" i="13"/>
  <c r="AA68" i="13" s="1"/>
  <c r="V68" i="13"/>
  <c r="AE68" i="13" s="1"/>
  <c r="U68" i="13"/>
  <c r="W68" i="13" s="1"/>
  <c r="Z67" i="13"/>
  <c r="AA67" i="13" s="1"/>
  <c r="V67" i="13"/>
  <c r="AE67" i="13" s="1"/>
  <c r="U67" i="13"/>
  <c r="W67" i="13" s="1"/>
  <c r="Z66" i="13"/>
  <c r="AA66" i="13" s="1"/>
  <c r="V66" i="13"/>
  <c r="AE66" i="13" s="1"/>
  <c r="U66" i="13"/>
  <c r="W66" i="13" s="1"/>
  <c r="Z65" i="13"/>
  <c r="AA65" i="13" s="1"/>
  <c r="V65" i="13"/>
  <c r="AE65" i="13" s="1"/>
  <c r="U65" i="13"/>
  <c r="W65" i="13" s="1"/>
  <c r="Z64" i="13"/>
  <c r="AA64" i="13" s="1"/>
  <c r="V64" i="13"/>
  <c r="AE64" i="13" s="1"/>
  <c r="U64" i="13"/>
  <c r="W64" i="13" s="1"/>
  <c r="Z63" i="13"/>
  <c r="AA63" i="13" s="1"/>
  <c r="V63" i="13"/>
  <c r="AE63" i="13" s="1"/>
  <c r="U63" i="13"/>
  <c r="W63" i="13" s="1"/>
  <c r="Z62" i="13"/>
  <c r="AA62" i="13" s="1"/>
  <c r="V62" i="13"/>
  <c r="AE62" i="13" s="1"/>
  <c r="U62" i="13"/>
  <c r="W62" i="13" s="1"/>
  <c r="AF62" i="13" s="1"/>
  <c r="Z61" i="13"/>
  <c r="AA61" i="13" s="1"/>
  <c r="V61" i="13"/>
  <c r="AE61" i="13" s="1"/>
  <c r="U61" i="13"/>
  <c r="W61" i="13" s="1"/>
  <c r="Z60" i="13"/>
  <c r="AA60" i="13" s="1"/>
  <c r="V60" i="13"/>
  <c r="AE60" i="13" s="1"/>
  <c r="U60" i="13"/>
  <c r="W60" i="13" s="1"/>
  <c r="Z59" i="13"/>
  <c r="AA59" i="13" s="1"/>
  <c r="V59" i="13"/>
  <c r="AE59" i="13" s="1"/>
  <c r="U59" i="13"/>
  <c r="W59" i="13" s="1"/>
  <c r="Z58" i="13"/>
  <c r="AA58" i="13" s="1"/>
  <c r="V58" i="13"/>
  <c r="AE58" i="13" s="1"/>
  <c r="U58" i="13"/>
  <c r="W58" i="13" s="1"/>
  <c r="Z57" i="13"/>
  <c r="AA57" i="13" s="1"/>
  <c r="V57" i="13"/>
  <c r="AE57" i="13" s="1"/>
  <c r="U57" i="13"/>
  <c r="W57" i="13" s="1"/>
  <c r="Z56" i="13"/>
  <c r="AA56" i="13" s="1"/>
  <c r="V56" i="13"/>
  <c r="AE56" i="13" s="1"/>
  <c r="U56" i="13"/>
  <c r="W56" i="13" s="1"/>
  <c r="AF56" i="13" s="1"/>
  <c r="Z55" i="13"/>
  <c r="AA55" i="13" s="1"/>
  <c r="V55" i="13"/>
  <c r="AE55" i="13" s="1"/>
  <c r="U55" i="13"/>
  <c r="W55" i="13" s="1"/>
  <c r="Z54" i="13"/>
  <c r="AA54" i="13" s="1"/>
  <c r="V54" i="13"/>
  <c r="AE54" i="13" s="1"/>
  <c r="U54" i="13"/>
  <c r="W54" i="13" s="1"/>
  <c r="Z53" i="13"/>
  <c r="AA53" i="13" s="1"/>
  <c r="V53" i="13"/>
  <c r="AE53" i="13" s="1"/>
  <c r="U53" i="13"/>
  <c r="W53" i="13" s="1"/>
  <c r="AF53" i="13" s="1"/>
  <c r="Z52" i="13"/>
  <c r="AA52" i="13" s="1"/>
  <c r="V52" i="13"/>
  <c r="AE52" i="13" s="1"/>
  <c r="U52" i="13"/>
  <c r="W52" i="13" s="1"/>
  <c r="Z51" i="13"/>
  <c r="AA51" i="13" s="1"/>
  <c r="V51" i="13"/>
  <c r="AE51" i="13" s="1"/>
  <c r="U51" i="13"/>
  <c r="W51" i="13" s="1"/>
  <c r="Z50" i="13"/>
  <c r="AA50" i="13" s="1"/>
  <c r="V50" i="13"/>
  <c r="AE50" i="13" s="1"/>
  <c r="U50" i="13"/>
  <c r="W50" i="13" s="1"/>
  <c r="Z49" i="13"/>
  <c r="AA49" i="13" s="1"/>
  <c r="V49" i="13"/>
  <c r="AE49" i="13" s="1"/>
  <c r="U49" i="13"/>
  <c r="W49" i="13" s="1"/>
  <c r="Z48" i="13"/>
  <c r="AA48" i="13" s="1"/>
  <c r="V48" i="13"/>
  <c r="AE48" i="13" s="1"/>
  <c r="U48" i="13"/>
  <c r="W48" i="13" s="1"/>
  <c r="Z47" i="13"/>
  <c r="AA47" i="13" s="1"/>
  <c r="V47" i="13"/>
  <c r="AE47" i="13" s="1"/>
  <c r="U47" i="13"/>
  <c r="W47" i="13" s="1"/>
  <c r="Z46" i="13"/>
  <c r="AA46" i="13" s="1"/>
  <c r="V46" i="13"/>
  <c r="AE46" i="13" s="1"/>
  <c r="U46" i="13"/>
  <c r="W46" i="13" s="1"/>
  <c r="Z45" i="13"/>
  <c r="AA45" i="13" s="1"/>
  <c r="V45" i="13"/>
  <c r="AE45" i="13" s="1"/>
  <c r="U45" i="13"/>
  <c r="W45" i="13" s="1"/>
  <c r="Z44" i="13"/>
  <c r="AA44" i="13" s="1"/>
  <c r="V44" i="13"/>
  <c r="AE44" i="13" s="1"/>
  <c r="U44" i="13"/>
  <c r="W44" i="13" s="1"/>
  <c r="AF44" i="13" s="1"/>
  <c r="Z43" i="13"/>
  <c r="AA43" i="13" s="1"/>
  <c r="V43" i="13"/>
  <c r="AE43" i="13" s="1"/>
  <c r="U43" i="13"/>
  <c r="W43" i="13" s="1"/>
  <c r="Z42" i="13"/>
  <c r="AA42" i="13" s="1"/>
  <c r="V42" i="13"/>
  <c r="AE42" i="13" s="1"/>
  <c r="U42" i="13"/>
  <c r="W42" i="13" s="1"/>
  <c r="Z41" i="13"/>
  <c r="AA41" i="13" s="1"/>
  <c r="V41" i="13"/>
  <c r="AE41" i="13" s="1"/>
  <c r="U41" i="13"/>
  <c r="W41" i="13" s="1"/>
  <c r="Z40" i="13"/>
  <c r="AA40" i="13" s="1"/>
  <c r="V40" i="13"/>
  <c r="AE40" i="13" s="1"/>
  <c r="U40" i="13"/>
  <c r="W40" i="13" s="1"/>
  <c r="Z39" i="13"/>
  <c r="AA39" i="13" s="1"/>
  <c r="V39" i="13"/>
  <c r="AE39" i="13" s="1"/>
  <c r="U39" i="13"/>
  <c r="W39" i="13" s="1"/>
  <c r="Z38" i="13"/>
  <c r="AA38" i="13" s="1"/>
  <c r="V38" i="13"/>
  <c r="AE38" i="13" s="1"/>
  <c r="U38" i="13"/>
  <c r="W38" i="13" s="1"/>
  <c r="AF38" i="13" s="1"/>
  <c r="Z37" i="13"/>
  <c r="AA37" i="13" s="1"/>
  <c r="V37" i="13"/>
  <c r="AE37" i="13" s="1"/>
  <c r="U37" i="13"/>
  <c r="W37" i="13" s="1"/>
  <c r="Z36" i="13"/>
  <c r="AA36" i="13" s="1"/>
  <c r="V36" i="13"/>
  <c r="AE36" i="13" s="1"/>
  <c r="U36" i="13"/>
  <c r="W36" i="13" s="1"/>
  <c r="Z35" i="13"/>
  <c r="AA35" i="13" s="1"/>
  <c r="V35" i="13"/>
  <c r="AE35" i="13" s="1"/>
  <c r="U35" i="13"/>
  <c r="W35" i="13" s="1"/>
  <c r="AF35" i="13" s="1"/>
  <c r="Z34" i="13"/>
  <c r="AA34" i="13" s="1"/>
  <c r="V34" i="13"/>
  <c r="AE34" i="13" s="1"/>
  <c r="U34" i="13"/>
  <c r="W34" i="13" s="1"/>
  <c r="Z33" i="13"/>
  <c r="AA33" i="13" s="1"/>
  <c r="V33" i="13"/>
  <c r="AE33" i="13" s="1"/>
  <c r="U33" i="13"/>
  <c r="W33" i="13" s="1"/>
  <c r="Z32" i="13"/>
  <c r="AA32" i="13" s="1"/>
  <c r="V32" i="13"/>
  <c r="AE32" i="13" s="1"/>
  <c r="U32" i="13"/>
  <c r="W32" i="13" s="1"/>
  <c r="Z31" i="13"/>
  <c r="AA31" i="13" s="1"/>
  <c r="V31" i="13"/>
  <c r="AE31" i="13" s="1"/>
  <c r="U31" i="13"/>
  <c r="W31" i="13" s="1"/>
  <c r="Z30" i="13"/>
  <c r="AA30" i="13" s="1"/>
  <c r="V30" i="13"/>
  <c r="AE30" i="13" s="1"/>
  <c r="U30" i="13"/>
  <c r="W30" i="13" s="1"/>
  <c r="Z29" i="13"/>
  <c r="AA29" i="13" s="1"/>
  <c r="V29" i="13"/>
  <c r="AE29" i="13" s="1"/>
  <c r="U29" i="13"/>
  <c r="W29" i="13" s="1"/>
  <c r="Z28" i="13"/>
  <c r="AA28" i="13" s="1"/>
  <c r="V28" i="13"/>
  <c r="AE28" i="13" s="1"/>
  <c r="U28" i="13"/>
  <c r="W28" i="13" s="1"/>
  <c r="Z27" i="13"/>
  <c r="AA27" i="13" s="1"/>
  <c r="V27" i="13"/>
  <c r="AE27" i="13" s="1"/>
  <c r="U27" i="13"/>
  <c r="W27" i="13" s="1"/>
  <c r="Z26" i="13"/>
  <c r="AA26" i="13" s="1"/>
  <c r="V26" i="13"/>
  <c r="AE26" i="13" s="1"/>
  <c r="U26" i="13"/>
  <c r="W26" i="13" s="1"/>
  <c r="AF26" i="13" s="1"/>
  <c r="Z25" i="13"/>
  <c r="AA25" i="13" s="1"/>
  <c r="V25" i="13"/>
  <c r="AE25" i="13" s="1"/>
  <c r="U25" i="13"/>
  <c r="W25" i="13" s="1"/>
  <c r="Z24" i="13"/>
  <c r="AA24" i="13" s="1"/>
  <c r="V24" i="13"/>
  <c r="AE24" i="13" s="1"/>
  <c r="U24" i="13"/>
  <c r="W24" i="13" s="1"/>
  <c r="Z23" i="13"/>
  <c r="AA23" i="13" s="1"/>
  <c r="V23" i="13"/>
  <c r="AE23" i="13" s="1"/>
  <c r="U23" i="13"/>
  <c r="W23" i="13" s="1"/>
  <c r="Z22" i="13"/>
  <c r="AA22" i="13" s="1"/>
  <c r="V22" i="13"/>
  <c r="AE22" i="13" s="1"/>
  <c r="U22" i="13"/>
  <c r="W22" i="13" s="1"/>
  <c r="Z21" i="13"/>
  <c r="AA21" i="13" s="1"/>
  <c r="V21" i="13"/>
  <c r="AE21" i="13" s="1"/>
  <c r="U21" i="13"/>
  <c r="W21" i="13" s="1"/>
  <c r="Z20" i="13"/>
  <c r="AA20" i="13" s="1"/>
  <c r="V20" i="13"/>
  <c r="AE20" i="13" s="1"/>
  <c r="U20" i="13"/>
  <c r="W20" i="13" s="1"/>
  <c r="AF20" i="13" s="1"/>
  <c r="Z19" i="13"/>
  <c r="AA19" i="13" s="1"/>
  <c r="V19" i="13"/>
  <c r="AE19" i="13" s="1"/>
  <c r="U19" i="13"/>
  <c r="W19" i="13" s="1"/>
  <c r="Z18" i="13"/>
  <c r="AA18" i="13" s="1"/>
  <c r="V18" i="13"/>
  <c r="AE18" i="13" s="1"/>
  <c r="U18" i="13"/>
  <c r="W18" i="13" s="1"/>
  <c r="Z17" i="13"/>
  <c r="AA17" i="13" s="1"/>
  <c r="V17" i="13"/>
  <c r="AE17" i="13" s="1"/>
  <c r="U17" i="13"/>
  <c r="W17" i="13" s="1"/>
  <c r="AF17" i="13" s="1"/>
  <c r="Z16" i="13"/>
  <c r="AA16" i="13" s="1"/>
  <c r="V16" i="13"/>
  <c r="AE16" i="13" s="1"/>
  <c r="U16" i="13"/>
  <c r="W16" i="13" s="1"/>
  <c r="Z15" i="13"/>
  <c r="AA15" i="13" s="1"/>
  <c r="V15" i="13"/>
  <c r="AE15" i="13" s="1"/>
  <c r="U15" i="13"/>
  <c r="W15" i="13" s="1"/>
  <c r="Z14" i="13"/>
  <c r="AA14" i="13" s="1"/>
  <c r="V14" i="13"/>
  <c r="AE14" i="13" s="1"/>
  <c r="U14" i="13"/>
  <c r="W14" i="13" s="1"/>
  <c r="Z13" i="13"/>
  <c r="AA13" i="13" s="1"/>
  <c r="V13" i="13"/>
  <c r="AE13" i="13" s="1"/>
  <c r="U13" i="13"/>
  <c r="W13" i="13" s="1"/>
  <c r="Z12" i="13"/>
  <c r="AA12" i="13" s="1"/>
  <c r="V12" i="13"/>
  <c r="AE12" i="13" s="1"/>
  <c r="U12" i="13"/>
  <c r="W12" i="13" s="1"/>
  <c r="Z11" i="13"/>
  <c r="AA11" i="13" s="1"/>
  <c r="V11" i="13"/>
  <c r="AE11" i="13" s="1"/>
  <c r="U11" i="13"/>
  <c r="W11" i="13" s="1"/>
  <c r="Z10" i="13"/>
  <c r="AA10" i="13" s="1"/>
  <c r="V10" i="13"/>
  <c r="AE10" i="13" s="1"/>
  <c r="W10" i="13"/>
  <c r="Z9" i="13"/>
  <c r="AA9" i="13" s="1"/>
  <c r="V9" i="13"/>
  <c r="AE9" i="13" s="1"/>
  <c r="U9" i="13"/>
  <c r="W9" i="13" s="1"/>
  <c r="Z8" i="13"/>
  <c r="AA8" i="13" s="1"/>
  <c r="V8" i="13"/>
  <c r="AE8" i="13" s="1"/>
  <c r="U8" i="13"/>
  <c r="W8" i="13" s="1"/>
  <c r="AF8" i="13" s="1"/>
  <c r="Z7" i="13"/>
  <c r="AA7" i="13" s="1"/>
  <c r="V7" i="13"/>
  <c r="AE7" i="13" s="1"/>
  <c r="U7" i="13"/>
  <c r="W7" i="13" s="1"/>
  <c r="Z6" i="13"/>
  <c r="AA6" i="13" s="1"/>
  <c r="V6" i="13"/>
  <c r="AE6" i="13" s="1"/>
  <c r="U6" i="13"/>
  <c r="W6" i="13" s="1"/>
  <c r="F36" i="25"/>
  <c r="H36" i="25" s="1"/>
  <c r="D36" i="25"/>
  <c r="B36" i="25"/>
  <c r="F35" i="25"/>
  <c r="H35" i="25" s="1"/>
  <c r="D35" i="25"/>
  <c r="B35" i="25"/>
  <c r="F34" i="25"/>
  <c r="H34" i="25" s="1"/>
  <c r="D34" i="25"/>
  <c r="B34" i="25"/>
  <c r="F33" i="25"/>
  <c r="H33" i="25" s="1"/>
  <c r="D33" i="25"/>
  <c r="B33" i="25"/>
  <c r="F32" i="25"/>
  <c r="H32" i="25" s="1"/>
  <c r="D32" i="25"/>
  <c r="B32" i="25"/>
  <c r="F31" i="25"/>
  <c r="H31" i="25" s="1"/>
  <c r="D31" i="25"/>
  <c r="B31" i="25"/>
  <c r="F30" i="25"/>
  <c r="H30" i="25" s="1"/>
  <c r="D30" i="25"/>
  <c r="B30" i="25"/>
  <c r="F29" i="25"/>
  <c r="H29" i="25" s="1"/>
  <c r="D29" i="25"/>
  <c r="B29" i="25"/>
  <c r="F28" i="25"/>
  <c r="H28" i="25" s="1"/>
  <c r="D28" i="25"/>
  <c r="B28" i="25"/>
  <c r="F27" i="25"/>
  <c r="H27" i="25" s="1"/>
  <c r="D27" i="25"/>
  <c r="B27" i="25"/>
  <c r="F26" i="25"/>
  <c r="H26" i="25" s="1"/>
  <c r="D26" i="25"/>
  <c r="B26" i="25"/>
  <c r="F25" i="25"/>
  <c r="H25" i="25" s="1"/>
  <c r="D25" i="25"/>
  <c r="B25" i="25"/>
  <c r="F24" i="25"/>
  <c r="H24" i="25" s="1"/>
  <c r="D24" i="25"/>
  <c r="B24" i="25"/>
  <c r="F21" i="25"/>
  <c r="H21" i="25" s="1"/>
  <c r="D21" i="25"/>
  <c r="B21" i="25"/>
  <c r="AF118" i="13" l="1"/>
  <c r="AF164" i="13"/>
  <c r="AF211" i="13"/>
  <c r="AF80" i="13"/>
  <c r="AF145" i="13"/>
  <c r="AF171" i="13"/>
  <c r="AF148" i="13"/>
  <c r="AF98" i="13"/>
  <c r="AF409" i="13"/>
  <c r="AF416" i="13"/>
  <c r="AF390" i="13"/>
  <c r="AF297" i="13"/>
  <c r="AF323" i="13"/>
  <c r="AF285" i="13"/>
  <c r="AF47" i="13"/>
  <c r="AF65" i="13"/>
  <c r="AF181" i="13"/>
  <c r="AF41" i="13"/>
  <c r="AF50" i="13"/>
  <c r="AF68" i="13"/>
  <c r="AF77" i="13"/>
  <c r="AF83" i="13"/>
  <c r="AF191" i="13"/>
  <c r="AF95" i="13"/>
  <c r="AF113" i="13"/>
  <c r="AF14" i="13"/>
  <c r="AF29" i="13"/>
  <c r="AF59" i="13"/>
  <c r="AF11" i="13"/>
  <c r="AF23" i="13"/>
  <c r="AF32" i="13"/>
  <c r="AF201" i="13"/>
  <c r="AF205" i="13"/>
  <c r="AF214" i="13"/>
  <c r="AF223" i="13"/>
  <c r="AF268" i="13"/>
  <c r="AF275" i="13"/>
  <c r="AF295" i="13"/>
  <c r="AF327" i="13"/>
  <c r="AF342" i="13"/>
  <c r="AF134" i="13"/>
  <c r="AF200" i="13"/>
  <c r="AF212" i="13"/>
  <c r="AF230" i="13"/>
  <c r="AF232" i="13"/>
  <c r="AF261" i="13"/>
  <c r="AF267" i="13"/>
  <c r="AF322" i="13"/>
  <c r="AF124" i="13"/>
  <c r="AF127" i="13"/>
  <c r="AF137" i="13"/>
  <c r="AF142" i="13"/>
  <c r="AF154" i="13"/>
  <c r="AF204" i="13"/>
  <c r="AF229" i="13"/>
  <c r="AF266" i="13"/>
  <c r="AF277" i="13"/>
  <c r="AF321" i="13"/>
  <c r="AF338" i="13"/>
  <c r="AF427" i="13"/>
  <c r="AF107" i="13"/>
  <c r="AF110" i="13"/>
  <c r="AF136" i="13"/>
  <c r="AF153" i="13"/>
  <c r="AF182" i="13"/>
  <c r="AF215" i="13"/>
  <c r="AF246" i="13"/>
  <c r="AF248" i="13"/>
  <c r="AF252" i="13"/>
  <c r="AF259" i="13"/>
  <c r="AF284" i="13"/>
  <c r="AF335" i="13"/>
  <c r="AF432" i="13"/>
  <c r="AF436" i="13"/>
  <c r="AF89" i="13"/>
  <c r="AF140" i="13"/>
  <c r="AF151" i="13"/>
  <c r="AF178" i="13"/>
  <c r="AF226" i="13"/>
  <c r="AF263" i="13"/>
  <c r="AF337" i="13"/>
  <c r="AF387" i="13"/>
  <c r="AF412" i="13"/>
  <c r="AF426" i="13"/>
  <c r="AF430" i="13"/>
  <c r="AF434" i="13"/>
  <c r="AF139" i="13"/>
  <c r="AF159" i="13"/>
  <c r="AF206" i="13"/>
  <c r="AF220" i="13"/>
  <c r="AF250" i="13"/>
  <c r="AF255" i="13"/>
  <c r="AF257" i="13"/>
  <c r="AF279" i="13"/>
  <c r="AF340" i="13"/>
  <c r="AF417" i="13"/>
  <c r="AF289" i="13"/>
  <c r="AF303" i="13"/>
  <c r="AF336" i="13"/>
  <c r="AF345" i="13"/>
  <c r="AF349" i="13"/>
  <c r="AF393" i="13"/>
  <c r="AF307" i="13"/>
  <c r="AF309" i="13"/>
  <c r="AF320" i="13"/>
  <c r="AF332" i="13"/>
  <c r="AF339" i="13"/>
  <c r="AF433" i="13"/>
  <c r="AF283" i="13"/>
  <c r="AF348" i="13"/>
  <c r="AF352" i="13"/>
  <c r="AF400" i="13"/>
  <c r="AF418" i="13"/>
  <c r="AF420" i="13"/>
  <c r="AF429" i="13"/>
  <c r="AF314" i="13"/>
  <c r="AF24" i="13"/>
  <c r="AF42" i="13"/>
  <c r="AF78" i="13"/>
  <c r="AF21" i="13"/>
  <c r="AF39" i="13"/>
  <c r="AF57" i="13"/>
  <c r="AF75" i="13"/>
  <c r="AF93" i="13"/>
  <c r="AF111" i="13"/>
  <c r="AF128" i="13"/>
  <c r="AF161" i="13"/>
  <c r="AF12" i="13"/>
  <c r="AF18" i="13"/>
  <c r="AF36" i="13"/>
  <c r="AF54" i="13"/>
  <c r="AF72" i="13"/>
  <c r="AF90" i="13"/>
  <c r="AF108" i="13"/>
  <c r="AF125" i="13"/>
  <c r="AF15" i="13"/>
  <c r="AF33" i="13"/>
  <c r="AF51" i="13"/>
  <c r="AF69" i="13"/>
  <c r="AF87" i="13"/>
  <c r="AF105" i="13"/>
  <c r="AF122" i="13"/>
  <c r="AF102" i="13"/>
  <c r="AF119" i="13"/>
  <c r="AF30" i="13"/>
  <c r="AF48" i="13"/>
  <c r="AF66" i="13"/>
  <c r="AF84" i="13"/>
  <c r="AF9" i="13"/>
  <c r="AF27" i="13"/>
  <c r="AF45" i="13"/>
  <c r="AF63" i="13"/>
  <c r="AF81" i="13"/>
  <c r="AF99" i="13"/>
  <c r="AF6" i="13"/>
  <c r="AF60" i="13"/>
  <c r="AF96" i="13"/>
  <c r="AF114" i="13"/>
  <c r="AF130" i="13"/>
  <c r="AF132" i="13"/>
  <c r="AF7" i="13"/>
  <c r="AF10" i="13"/>
  <c r="AF13" i="13"/>
  <c r="AF16" i="13"/>
  <c r="AF19" i="13"/>
  <c r="AF22" i="13"/>
  <c r="AF25" i="13"/>
  <c r="AF28" i="13"/>
  <c r="AF31" i="13"/>
  <c r="AF34" i="13"/>
  <c r="AF37" i="13"/>
  <c r="AF40" i="13"/>
  <c r="AF43" i="13"/>
  <c r="AF46" i="13"/>
  <c r="AF49" i="13"/>
  <c r="AF52" i="13"/>
  <c r="AF55" i="13"/>
  <c r="AF58" i="13"/>
  <c r="AF61" i="13"/>
  <c r="AF64" i="13"/>
  <c r="AF67" i="13"/>
  <c r="AF70" i="13"/>
  <c r="AF73" i="13"/>
  <c r="AF76" i="13"/>
  <c r="AF79" i="13"/>
  <c r="AF82" i="13"/>
  <c r="AF85" i="13"/>
  <c r="AF88" i="13"/>
  <c r="AF91" i="13"/>
  <c r="AF94" i="13"/>
  <c r="AF97" i="13"/>
  <c r="AF100" i="13"/>
  <c r="AF103" i="13"/>
  <c r="AF106" i="13"/>
  <c r="AF109" i="13"/>
  <c r="AF112" i="13"/>
  <c r="AF115" i="13"/>
  <c r="AF117" i="13"/>
  <c r="AF120" i="13"/>
  <c r="AF123" i="13"/>
  <c r="AF126" i="13"/>
  <c r="AF160" i="13"/>
  <c r="AF209" i="13"/>
  <c r="AF210" i="13"/>
  <c r="AF313" i="13"/>
  <c r="AF156" i="13"/>
  <c r="AF163" i="13"/>
  <c r="AF170" i="13"/>
  <c r="AF186" i="13"/>
  <c r="AF253" i="13"/>
  <c r="AF271" i="13"/>
  <c r="AF343" i="13"/>
  <c r="AF133" i="13"/>
  <c r="AF138" i="13"/>
  <c r="AF141" i="13"/>
  <c r="AF144" i="13"/>
  <c r="AF147" i="13"/>
  <c r="AF149" i="13"/>
  <c r="AF152" i="13"/>
  <c r="AF155" i="13"/>
  <c r="AF166" i="13"/>
  <c r="AF179" i="13"/>
  <c r="AF135" i="13"/>
  <c r="AF157" i="13"/>
  <c r="AF168" i="13"/>
  <c r="AF172" i="13"/>
  <c r="AF177" i="13"/>
  <c r="AF185" i="13"/>
  <c r="AF129" i="13"/>
  <c r="AF158" i="13"/>
  <c r="AF169" i="13"/>
  <c r="AF174" i="13"/>
  <c r="AF192" i="13"/>
  <c r="AF291" i="13"/>
  <c r="AF331" i="13"/>
  <c r="AF333" i="13"/>
  <c r="AF190" i="13"/>
  <c r="AF244" i="13"/>
  <c r="AF216" i="13"/>
  <c r="AF274" i="13"/>
  <c r="AF296" i="13"/>
  <c r="AF306" i="13"/>
  <c r="AF316" i="13"/>
  <c r="AF173" i="13"/>
  <c r="AF175" i="13"/>
  <c r="AF183" i="13"/>
  <c r="AF194" i="13"/>
  <c r="AF213" i="13"/>
  <c r="AF217" i="13"/>
  <c r="AF222" i="13"/>
  <c r="AF278" i="13"/>
  <c r="AF288" i="13"/>
  <c r="AF299" i="13"/>
  <c r="AF351" i="13"/>
  <c r="AF162" i="13"/>
  <c r="AF165" i="13"/>
  <c r="AF189" i="13"/>
  <c r="AF219" i="13"/>
  <c r="AF242" i="13"/>
  <c r="AF251" i="13"/>
  <c r="AF260" i="13"/>
  <c r="AF281" i="13"/>
  <c r="AF224" i="13"/>
  <c r="AF262" i="13"/>
  <c r="AF264" i="13"/>
  <c r="AF326" i="13"/>
  <c r="AF341" i="13"/>
  <c r="AF368" i="13"/>
  <c r="AF371" i="13"/>
  <c r="AF384" i="13"/>
  <c r="AF405" i="13"/>
  <c r="AF265" i="13"/>
  <c r="AF282" i="13"/>
  <c r="AF300" i="13"/>
  <c r="AF317" i="13"/>
  <c r="AF334" i="13"/>
  <c r="AF344" i="13"/>
  <c r="AF353" i="13"/>
  <c r="AF389" i="13"/>
  <c r="AF235" i="13"/>
  <c r="AF240" i="13"/>
  <c r="AF249" i="13"/>
  <c r="AF258" i="13"/>
  <c r="AF386" i="13"/>
  <c r="AF388" i="13"/>
  <c r="AF404" i="13"/>
  <c r="AF424" i="13"/>
  <c r="AF276" i="13"/>
  <c r="AF294" i="13"/>
  <c r="AF311" i="13"/>
  <c r="AF329" i="13"/>
  <c r="AF413" i="13"/>
  <c r="AF414" i="13"/>
  <c r="AF364" i="13"/>
  <c r="AF385" i="13"/>
  <c r="AF407" i="13"/>
  <c r="AF408" i="13"/>
  <c r="AF366" i="13"/>
  <c r="AF372" i="13"/>
  <c r="AF392" i="13"/>
  <c r="AF446" i="13"/>
  <c r="AF376" i="13"/>
  <c r="AF377" i="13"/>
  <c r="AF378" i="13"/>
  <c r="AF395" i="13"/>
  <c r="AF396" i="13"/>
  <c r="AF403" i="13"/>
  <c r="AF380" i="13"/>
  <c r="AF381" i="13"/>
  <c r="AF398" i="13"/>
  <c r="AF411" i="13"/>
  <c r="AF415" i="13"/>
  <c r="AF422" i="13"/>
  <c r="AF423" i="13"/>
  <c r="AF425" i="13"/>
  <c r="AF374" i="13"/>
  <c r="AF383" i="13"/>
  <c r="AF399" i="13"/>
  <c r="AF406" i="13"/>
  <c r="AF401" i="13"/>
  <c r="AF410" i="13"/>
  <c r="AF419" i="13"/>
  <c r="AF428" i="13"/>
  <c r="AF431" i="13"/>
  <c r="AF435" i="13"/>
  <c r="AF438" i="13"/>
  <c r="AF437" i="13"/>
  <c r="AF439" i="13"/>
  <c r="AF444" i="13"/>
  <c r="AF441" i="13"/>
  <c r="AF443" i="13"/>
  <c r="AF445" i="13"/>
  <c r="C446" i="13"/>
  <c r="B446" i="13"/>
  <c r="C445" i="13"/>
  <c r="B445" i="13"/>
  <c r="C444" i="13"/>
  <c r="B444" i="13"/>
  <c r="C443" i="13"/>
  <c r="B443" i="13"/>
  <c r="C442" i="13"/>
  <c r="B442" i="13"/>
  <c r="C441" i="13"/>
  <c r="B441" i="13"/>
  <c r="C440" i="13"/>
  <c r="B440" i="13"/>
  <c r="C439" i="13"/>
  <c r="B439" i="13"/>
  <c r="C438" i="13"/>
  <c r="B438" i="13"/>
  <c r="C437" i="13"/>
  <c r="B437" i="13"/>
  <c r="C436" i="13"/>
  <c r="B436" i="13"/>
  <c r="C435" i="13"/>
  <c r="B435" i="13"/>
  <c r="C434" i="13"/>
  <c r="B434" i="13"/>
  <c r="C433" i="13"/>
  <c r="B433" i="13"/>
  <c r="C432" i="13"/>
  <c r="B432" i="13"/>
  <c r="C431" i="13"/>
  <c r="B431" i="13"/>
  <c r="C430" i="13"/>
  <c r="B430" i="13"/>
  <c r="C429" i="13"/>
  <c r="B429" i="13"/>
  <c r="C428" i="13"/>
  <c r="B428" i="13"/>
  <c r="C427" i="13"/>
  <c r="B427" i="13"/>
  <c r="C426" i="13"/>
  <c r="B426" i="13"/>
  <c r="C425" i="13"/>
  <c r="B425" i="13"/>
  <c r="C424" i="13"/>
  <c r="B424" i="13"/>
  <c r="C423" i="13"/>
  <c r="B423" i="13"/>
  <c r="C422" i="13"/>
  <c r="B422" i="13"/>
  <c r="C421" i="13"/>
  <c r="B421" i="13"/>
  <c r="C420" i="13"/>
  <c r="B420" i="13"/>
  <c r="C419" i="13"/>
  <c r="B419" i="13"/>
  <c r="C418" i="13"/>
  <c r="B418" i="13"/>
  <c r="C417" i="13"/>
  <c r="B417" i="13"/>
  <c r="C416" i="13"/>
  <c r="B416" i="13"/>
  <c r="C415" i="13"/>
  <c r="B415" i="13"/>
  <c r="C414" i="13"/>
  <c r="B414" i="13"/>
  <c r="C413" i="13"/>
  <c r="B413" i="13"/>
  <c r="C412" i="13"/>
  <c r="B412" i="13"/>
  <c r="C411" i="13"/>
  <c r="B411" i="13"/>
  <c r="C410" i="13"/>
  <c r="B410" i="13"/>
  <c r="C409" i="13"/>
  <c r="B409" i="13"/>
  <c r="C408" i="13"/>
  <c r="B408" i="13"/>
  <c r="C407" i="13"/>
  <c r="B407" i="13"/>
  <c r="C406" i="13"/>
  <c r="B406" i="13"/>
  <c r="C405" i="13"/>
  <c r="B405" i="13"/>
  <c r="C404" i="13"/>
  <c r="B404" i="13"/>
  <c r="C403" i="13"/>
  <c r="B403" i="13"/>
  <c r="C402" i="13"/>
  <c r="B402" i="13"/>
  <c r="C401" i="13"/>
  <c r="B401" i="13"/>
  <c r="C400" i="13"/>
  <c r="B400" i="13"/>
  <c r="C399" i="13"/>
  <c r="B399" i="13"/>
  <c r="C398" i="13"/>
  <c r="B398" i="13"/>
  <c r="C397" i="13"/>
  <c r="B397" i="13"/>
  <c r="C396" i="13"/>
  <c r="B396" i="13"/>
  <c r="C395" i="13"/>
  <c r="B395" i="13"/>
  <c r="C394" i="13"/>
  <c r="B394" i="13"/>
  <c r="C393" i="13"/>
  <c r="B393" i="13"/>
  <c r="C392" i="13"/>
  <c r="B392" i="13"/>
  <c r="C391" i="13"/>
  <c r="B391" i="13"/>
  <c r="C390" i="13"/>
  <c r="B390" i="13"/>
  <c r="C389" i="13"/>
  <c r="B389" i="13"/>
  <c r="C388" i="13"/>
  <c r="B388" i="13"/>
  <c r="C387" i="13"/>
  <c r="B387" i="13"/>
  <c r="C386" i="13"/>
  <c r="B386" i="13"/>
  <c r="C385" i="13"/>
  <c r="B385" i="13"/>
  <c r="C384" i="13"/>
  <c r="B384" i="13"/>
  <c r="C383" i="13"/>
  <c r="B383" i="13"/>
  <c r="C382" i="13"/>
  <c r="B382" i="13"/>
  <c r="C381" i="13"/>
  <c r="B381" i="13"/>
  <c r="C380" i="13"/>
  <c r="B380" i="13"/>
  <c r="C379" i="13"/>
  <c r="B379" i="13"/>
  <c r="C378" i="13"/>
  <c r="B378" i="13"/>
  <c r="C377" i="13"/>
  <c r="B377" i="13"/>
  <c r="C376" i="13"/>
  <c r="B376" i="13"/>
  <c r="C375" i="13"/>
  <c r="B375" i="13"/>
  <c r="C374" i="13"/>
  <c r="B374" i="13"/>
  <c r="C373" i="13"/>
  <c r="B373" i="13"/>
  <c r="C372" i="13"/>
  <c r="B372" i="13"/>
  <c r="C371" i="13"/>
  <c r="B371" i="13"/>
  <c r="C370" i="13"/>
  <c r="B370" i="13"/>
  <c r="C369" i="13"/>
  <c r="B369" i="13"/>
  <c r="C368" i="13"/>
  <c r="B368" i="13"/>
  <c r="C367" i="13"/>
  <c r="B367" i="13"/>
  <c r="C366" i="13"/>
  <c r="B366" i="13"/>
  <c r="C365" i="13"/>
  <c r="B365" i="13"/>
  <c r="C364" i="13"/>
  <c r="B364" i="13"/>
  <c r="D406" i="13"/>
  <c r="D407" i="13"/>
  <c r="D408" i="13"/>
  <c r="D409" i="13"/>
  <c r="D410" i="13"/>
  <c r="D411" i="13"/>
  <c r="D412" i="13"/>
  <c r="D413" i="13"/>
  <c r="D414" i="13"/>
  <c r="D415" i="13"/>
  <c r="D416" i="13"/>
  <c r="D417" i="13"/>
  <c r="D418" i="13"/>
  <c r="D419" i="13"/>
  <c r="D420" i="13"/>
  <c r="D421" i="13"/>
  <c r="D422" i="13"/>
  <c r="D423" i="13"/>
  <c r="D424" i="13"/>
  <c r="D425" i="13"/>
  <c r="D426" i="13"/>
  <c r="D427" i="13"/>
  <c r="D428" i="13"/>
  <c r="D429" i="13"/>
  <c r="D430" i="13"/>
  <c r="D431" i="13"/>
  <c r="D432" i="13"/>
  <c r="D433" i="13"/>
  <c r="D434" i="13"/>
  <c r="D435" i="13"/>
  <c r="D436" i="13"/>
  <c r="D437" i="13"/>
  <c r="D438" i="13"/>
  <c r="D439" i="13"/>
  <c r="D440" i="13"/>
  <c r="D441" i="13"/>
  <c r="D442" i="13"/>
  <c r="D443" i="13"/>
  <c r="D444" i="13"/>
  <c r="D445" i="13"/>
  <c r="D446" i="13"/>
  <c r="E406" i="13"/>
  <c r="E407" i="13"/>
  <c r="E408" i="13"/>
  <c r="E409" i="13"/>
  <c r="E410" i="13"/>
  <c r="E411" i="13"/>
  <c r="E412" i="13"/>
  <c r="E413" i="13"/>
  <c r="E414" i="13"/>
  <c r="E415" i="13"/>
  <c r="E416" i="13"/>
  <c r="E417" i="13"/>
  <c r="E418" i="13"/>
  <c r="E419" i="13"/>
  <c r="E420" i="13"/>
  <c r="E421" i="13"/>
  <c r="E422" i="13"/>
  <c r="E423" i="13"/>
  <c r="E424" i="13"/>
  <c r="E425" i="13"/>
  <c r="E426" i="13"/>
  <c r="E427" i="13"/>
  <c r="E428" i="13"/>
  <c r="E429" i="13"/>
  <c r="E430" i="13"/>
  <c r="E431" i="13"/>
  <c r="E432" i="13"/>
  <c r="E433" i="13"/>
  <c r="E434" i="13"/>
  <c r="E435" i="13"/>
  <c r="E436" i="13"/>
  <c r="E437" i="13"/>
  <c r="E438" i="13"/>
  <c r="E439" i="13"/>
  <c r="E440" i="13"/>
  <c r="E441" i="13"/>
  <c r="E442" i="13"/>
  <c r="E443" i="13"/>
  <c r="E444" i="13"/>
  <c r="E445" i="13"/>
  <c r="E446" i="13"/>
  <c r="C353" i="13"/>
  <c r="B353" i="13"/>
  <c r="C352" i="13"/>
  <c r="B352" i="13"/>
  <c r="C351" i="13"/>
  <c r="B351" i="13"/>
  <c r="C350" i="13"/>
  <c r="B350" i="13"/>
  <c r="C349" i="13"/>
  <c r="B349" i="13"/>
  <c r="C348" i="13"/>
  <c r="B348" i="13"/>
  <c r="C347" i="13"/>
  <c r="B347" i="13"/>
  <c r="C346" i="13"/>
  <c r="B346" i="13"/>
  <c r="C345" i="13"/>
  <c r="B345" i="13"/>
  <c r="C344" i="13"/>
  <c r="B344" i="13"/>
  <c r="C343" i="13"/>
  <c r="B343" i="13"/>
  <c r="C342" i="13"/>
  <c r="B342" i="13"/>
  <c r="C341" i="13"/>
  <c r="B341" i="13"/>
  <c r="C340" i="13"/>
  <c r="B340" i="13"/>
  <c r="C339" i="13"/>
  <c r="B339" i="13"/>
  <c r="C338" i="13"/>
  <c r="B338" i="13"/>
  <c r="C337" i="13"/>
  <c r="B337" i="13"/>
  <c r="C336" i="13"/>
  <c r="B336" i="13"/>
  <c r="C335" i="13"/>
  <c r="B335" i="13"/>
  <c r="C334" i="13"/>
  <c r="B334" i="13"/>
  <c r="C333" i="13"/>
  <c r="B333" i="13"/>
  <c r="C332" i="13"/>
  <c r="B332" i="13"/>
  <c r="C331" i="13"/>
  <c r="B331" i="13"/>
  <c r="C330" i="13"/>
  <c r="B330" i="13"/>
  <c r="C329" i="13"/>
  <c r="B329" i="13"/>
  <c r="C328" i="13"/>
  <c r="B328" i="13"/>
  <c r="C327" i="13"/>
  <c r="B327" i="13"/>
  <c r="C326" i="13"/>
  <c r="B326" i="13"/>
  <c r="C325" i="13"/>
  <c r="B325" i="13"/>
  <c r="C324" i="13"/>
  <c r="B324" i="13"/>
  <c r="C323" i="13"/>
  <c r="B323" i="13"/>
  <c r="C322" i="13"/>
  <c r="B322" i="13"/>
  <c r="C321" i="13"/>
  <c r="B321" i="13"/>
  <c r="C320" i="13"/>
  <c r="B320" i="13"/>
  <c r="C319" i="13"/>
  <c r="B319" i="13"/>
  <c r="C318" i="13"/>
  <c r="B318" i="13"/>
  <c r="C317" i="13"/>
  <c r="B317" i="13"/>
  <c r="C316" i="13"/>
  <c r="B316" i="13"/>
  <c r="C315" i="13"/>
  <c r="B315" i="13"/>
  <c r="C314" i="13"/>
  <c r="B314" i="13"/>
  <c r="C313" i="13"/>
  <c r="B313" i="13"/>
  <c r="C312" i="13"/>
  <c r="B312" i="13"/>
  <c r="C311" i="13"/>
  <c r="B311" i="13"/>
  <c r="C310" i="13"/>
  <c r="B310" i="13"/>
  <c r="C309" i="13"/>
  <c r="B309" i="13"/>
  <c r="C308" i="13"/>
  <c r="B308" i="13"/>
  <c r="C307" i="13"/>
  <c r="B307" i="13"/>
  <c r="C306" i="13"/>
  <c r="B306" i="13"/>
  <c r="C305" i="13"/>
  <c r="B305" i="13"/>
  <c r="C304" i="13"/>
  <c r="B304" i="13"/>
  <c r="C303" i="13"/>
  <c r="B303" i="13"/>
  <c r="C302" i="13"/>
  <c r="B302" i="13"/>
  <c r="C301" i="13"/>
  <c r="B301" i="13"/>
  <c r="C300" i="13"/>
  <c r="B300" i="13"/>
  <c r="C299" i="13"/>
  <c r="B299" i="13"/>
  <c r="C298" i="13"/>
  <c r="B298" i="13"/>
  <c r="C297" i="13"/>
  <c r="B297" i="13"/>
  <c r="C296" i="13"/>
  <c r="B296" i="13"/>
  <c r="C295" i="13"/>
  <c r="B295" i="13"/>
  <c r="C294" i="13"/>
  <c r="B294" i="13"/>
  <c r="C293" i="13"/>
  <c r="B293" i="13"/>
  <c r="C292" i="13"/>
  <c r="B292" i="13"/>
  <c r="C291" i="13"/>
  <c r="B291" i="13"/>
  <c r="C290" i="13"/>
  <c r="B290" i="13"/>
  <c r="C289" i="13"/>
  <c r="B289" i="13"/>
  <c r="C288" i="13"/>
  <c r="B288" i="13"/>
  <c r="C287" i="13"/>
  <c r="B287" i="13"/>
  <c r="C286" i="13"/>
  <c r="B286" i="13"/>
  <c r="C285" i="13"/>
  <c r="B285" i="13"/>
  <c r="C284" i="13"/>
  <c r="B284" i="13"/>
  <c r="C283" i="13"/>
  <c r="B283" i="13"/>
  <c r="C282" i="13"/>
  <c r="B282" i="13"/>
  <c r="C281" i="13"/>
  <c r="B281" i="13"/>
  <c r="C280" i="13"/>
  <c r="B280" i="13"/>
  <c r="C279" i="13"/>
  <c r="B279" i="13"/>
  <c r="C278" i="13"/>
  <c r="B278" i="13"/>
  <c r="C277" i="13"/>
  <c r="B277" i="13"/>
  <c r="C276" i="13"/>
  <c r="B276" i="13"/>
  <c r="C275" i="13"/>
  <c r="B275" i="13"/>
  <c r="C274" i="13"/>
  <c r="B274" i="13"/>
  <c r="C273" i="13"/>
  <c r="B273" i="13"/>
  <c r="C272" i="13"/>
  <c r="B272" i="13"/>
  <c r="C271" i="13"/>
  <c r="B271" i="13"/>
  <c r="C270" i="13"/>
  <c r="B270" i="13"/>
  <c r="C269" i="13"/>
  <c r="B269" i="13"/>
  <c r="C268" i="13"/>
  <c r="B268" i="13"/>
  <c r="C267" i="13"/>
  <c r="B267" i="13"/>
  <c r="C266" i="13"/>
  <c r="B266" i="13"/>
  <c r="C265" i="13"/>
  <c r="B265" i="13"/>
  <c r="C264" i="13"/>
  <c r="B264" i="13"/>
  <c r="C263" i="13"/>
  <c r="B263" i="13"/>
  <c r="C262" i="13"/>
  <c r="B262" i="13"/>
  <c r="C261" i="13"/>
  <c r="B261" i="13"/>
  <c r="C260" i="13"/>
  <c r="B260" i="13"/>
  <c r="C259" i="13"/>
  <c r="B259" i="13"/>
  <c r="C258" i="13"/>
  <c r="B258" i="13"/>
  <c r="C257" i="13"/>
  <c r="B257" i="13"/>
  <c r="C256" i="13"/>
  <c r="B256" i="13"/>
  <c r="C255" i="13"/>
  <c r="B255" i="13"/>
  <c r="C254" i="13"/>
  <c r="B254" i="13"/>
  <c r="C253" i="13"/>
  <c r="B253" i="13"/>
  <c r="C252" i="13"/>
  <c r="B252" i="13"/>
  <c r="C251" i="13"/>
  <c r="B251" i="13"/>
  <c r="C250" i="13"/>
  <c r="B250" i="13"/>
  <c r="C249" i="13"/>
  <c r="B249" i="13"/>
  <c r="C248" i="13"/>
  <c r="B248" i="13"/>
  <c r="C247" i="13"/>
  <c r="B247" i="13"/>
  <c r="C246" i="13"/>
  <c r="B246" i="13"/>
  <c r="C245" i="13"/>
  <c r="B245" i="13"/>
  <c r="C244" i="13"/>
  <c r="B244" i="13"/>
  <c r="C243" i="13"/>
  <c r="B243" i="13"/>
  <c r="C242" i="13"/>
  <c r="B242" i="13"/>
  <c r="C241" i="13"/>
  <c r="B241" i="13"/>
  <c r="C240" i="13"/>
  <c r="B240" i="13"/>
  <c r="C239" i="13"/>
  <c r="B239" i="13"/>
  <c r="C238" i="13"/>
  <c r="B238" i="13"/>
  <c r="C237" i="13"/>
  <c r="B237" i="13"/>
  <c r="C236" i="13"/>
  <c r="B236" i="13"/>
  <c r="C235" i="13"/>
  <c r="B235" i="13"/>
  <c r="C234" i="13"/>
  <c r="B234" i="13"/>
  <c r="C233" i="13"/>
  <c r="B233" i="13"/>
  <c r="C232" i="13"/>
  <c r="B232" i="13"/>
  <c r="C231" i="13"/>
  <c r="B231" i="13"/>
  <c r="C230" i="13"/>
  <c r="B230" i="13"/>
  <c r="C229" i="13"/>
  <c r="B229" i="13"/>
  <c r="C228" i="13"/>
  <c r="B228" i="13"/>
  <c r="C227" i="13"/>
  <c r="B227" i="13"/>
  <c r="C226" i="13"/>
  <c r="B226" i="13"/>
  <c r="C224" i="13"/>
  <c r="B224" i="13"/>
  <c r="C223" i="13"/>
  <c r="B223" i="13"/>
  <c r="C222" i="13"/>
  <c r="B222" i="13"/>
  <c r="C221" i="13"/>
  <c r="B221" i="13"/>
  <c r="C220" i="13"/>
  <c r="B220" i="13"/>
  <c r="C219" i="13"/>
  <c r="B219" i="13"/>
  <c r="C218" i="13"/>
  <c r="B218" i="13"/>
  <c r="C217" i="13"/>
  <c r="B217" i="13"/>
  <c r="C216" i="13"/>
  <c r="B216" i="13"/>
  <c r="C215" i="13"/>
  <c r="B215" i="13"/>
  <c r="C214" i="13"/>
  <c r="B214" i="13"/>
  <c r="C213" i="13"/>
  <c r="B213" i="13"/>
  <c r="C212" i="13"/>
  <c r="B212" i="13"/>
  <c r="C211" i="13"/>
  <c r="B211" i="13"/>
  <c r="C210" i="13"/>
  <c r="B210" i="13"/>
  <c r="C209" i="13"/>
  <c r="B209" i="13"/>
  <c r="C208" i="13"/>
  <c r="B208" i="13"/>
  <c r="C207" i="13"/>
  <c r="B207" i="13"/>
  <c r="C206" i="13"/>
  <c r="B206" i="13"/>
  <c r="C205" i="13"/>
  <c r="B205" i="13"/>
  <c r="C204" i="13"/>
  <c r="B204" i="13"/>
  <c r="C202" i="13"/>
  <c r="B202" i="13"/>
  <c r="C201" i="13"/>
  <c r="B201" i="13"/>
  <c r="C200" i="13"/>
  <c r="B200" i="13"/>
  <c r="C199" i="13"/>
  <c r="B199" i="13"/>
  <c r="C198" i="13"/>
  <c r="B198" i="13"/>
  <c r="C197" i="13"/>
  <c r="B197" i="13"/>
  <c r="C196" i="13"/>
  <c r="B196" i="13"/>
  <c r="C195" i="13"/>
  <c r="B195" i="13"/>
  <c r="C194" i="13"/>
  <c r="B194" i="13"/>
  <c r="C193" i="13"/>
  <c r="B193" i="13"/>
  <c r="C192" i="13"/>
  <c r="B192" i="13"/>
  <c r="C191" i="13"/>
  <c r="B191" i="13"/>
  <c r="C190" i="13"/>
  <c r="B190" i="13"/>
  <c r="C189" i="13"/>
  <c r="B189" i="13"/>
  <c r="C188" i="13"/>
  <c r="B188" i="13"/>
  <c r="C187" i="13"/>
  <c r="B187" i="13"/>
  <c r="C186" i="13"/>
  <c r="B186" i="13"/>
  <c r="C185" i="13"/>
  <c r="B185" i="13"/>
  <c r="C184" i="13"/>
  <c r="B184" i="13"/>
  <c r="C183" i="13"/>
  <c r="B183" i="13"/>
  <c r="C182" i="13"/>
  <c r="B182" i="13"/>
  <c r="C181" i="13"/>
  <c r="B181" i="13"/>
  <c r="C180" i="13"/>
  <c r="B180" i="13"/>
  <c r="C179" i="13"/>
  <c r="B179" i="13"/>
  <c r="C178" i="13"/>
  <c r="B178" i="13"/>
  <c r="C177" i="13"/>
  <c r="B177" i="13"/>
  <c r="C176" i="13"/>
  <c r="B176" i="13"/>
  <c r="C175" i="13"/>
  <c r="B175" i="13"/>
  <c r="C174" i="13"/>
  <c r="B174" i="13"/>
  <c r="C173" i="13"/>
  <c r="B173" i="13"/>
  <c r="C172" i="13"/>
  <c r="B172" i="13"/>
  <c r="C171" i="13"/>
  <c r="B171" i="13"/>
  <c r="C170" i="13"/>
  <c r="B170" i="13"/>
  <c r="C169" i="13"/>
  <c r="B169" i="13"/>
  <c r="C168" i="13"/>
  <c r="B168" i="13"/>
  <c r="C167" i="13"/>
  <c r="B167" i="13"/>
  <c r="C166" i="13"/>
  <c r="B166" i="13"/>
  <c r="C165" i="13"/>
  <c r="B165" i="13"/>
  <c r="C164" i="13"/>
  <c r="B164" i="13"/>
  <c r="C163" i="13"/>
  <c r="B163" i="13"/>
  <c r="C162" i="13"/>
  <c r="B162" i="13"/>
  <c r="C161" i="13"/>
  <c r="B161" i="13"/>
  <c r="C160" i="13"/>
  <c r="B160" i="13"/>
  <c r="C159" i="13"/>
  <c r="B159" i="13"/>
  <c r="C158" i="13"/>
  <c r="B158" i="13"/>
  <c r="C157" i="13"/>
  <c r="B157" i="13"/>
  <c r="C156" i="13"/>
  <c r="B156" i="13"/>
  <c r="C155" i="13"/>
  <c r="B155" i="13"/>
  <c r="C154" i="13"/>
  <c r="B154" i="13"/>
  <c r="C153" i="13"/>
  <c r="B153" i="13"/>
  <c r="C152" i="13"/>
  <c r="B152" i="13"/>
  <c r="C151" i="13"/>
  <c r="B151" i="13"/>
  <c r="C150" i="13"/>
  <c r="B150" i="13"/>
  <c r="C149" i="13"/>
  <c r="B149" i="13"/>
  <c r="C148" i="13"/>
  <c r="B148" i="13"/>
  <c r="C147" i="13"/>
  <c r="B147" i="13"/>
  <c r="C146" i="13"/>
  <c r="B146" i="13"/>
  <c r="C145" i="13"/>
  <c r="B145" i="13"/>
  <c r="C144" i="13"/>
  <c r="B144" i="13"/>
  <c r="C143" i="13"/>
  <c r="B143" i="13"/>
  <c r="C142" i="13"/>
  <c r="B142" i="13"/>
  <c r="C141" i="13"/>
  <c r="B141" i="13"/>
  <c r="C140" i="13"/>
  <c r="B140" i="13"/>
  <c r="C139" i="13"/>
  <c r="B139" i="13"/>
  <c r="C138" i="13"/>
  <c r="B138" i="13"/>
  <c r="C137" i="13"/>
  <c r="B137" i="13"/>
  <c r="C136" i="13"/>
  <c r="B136" i="13"/>
  <c r="C135" i="13"/>
  <c r="B135" i="13"/>
  <c r="C134" i="13"/>
  <c r="B134" i="13"/>
  <c r="C133" i="13"/>
  <c r="B133" i="13"/>
  <c r="C132" i="13"/>
  <c r="B132" i="13"/>
  <c r="C131" i="13"/>
  <c r="B131" i="13"/>
  <c r="C130" i="13"/>
  <c r="B130" i="13"/>
  <c r="C129" i="13"/>
  <c r="B129" i="13"/>
  <c r="C128" i="13"/>
  <c r="B128" i="13"/>
  <c r="C127" i="13"/>
  <c r="B127" i="13"/>
  <c r="C126" i="13"/>
  <c r="B126" i="13"/>
  <c r="C125" i="13"/>
  <c r="B125" i="13"/>
  <c r="C124" i="13"/>
  <c r="B124" i="13"/>
  <c r="C123" i="13"/>
  <c r="B123" i="13"/>
  <c r="C122" i="13"/>
  <c r="B122" i="13"/>
  <c r="C121" i="13"/>
  <c r="B121" i="13"/>
  <c r="C120" i="13"/>
  <c r="B120" i="13"/>
  <c r="C119" i="13"/>
  <c r="B119" i="13"/>
  <c r="C118" i="13"/>
  <c r="B118" i="13"/>
  <c r="C117" i="13"/>
  <c r="B117" i="13"/>
  <c r="C116" i="13"/>
  <c r="B116" i="13"/>
  <c r="C115" i="13"/>
  <c r="B115" i="13"/>
  <c r="C114" i="13"/>
  <c r="B114" i="13"/>
  <c r="C113" i="13"/>
  <c r="B113" i="13"/>
  <c r="C112" i="13"/>
  <c r="B112" i="13"/>
  <c r="C111" i="13"/>
  <c r="B111" i="13"/>
  <c r="C110" i="13"/>
  <c r="B110" i="13"/>
  <c r="C109" i="13"/>
  <c r="B109" i="13"/>
  <c r="C108" i="13"/>
  <c r="B108" i="13"/>
  <c r="C107" i="13"/>
  <c r="B107" i="13"/>
  <c r="C106" i="13"/>
  <c r="B106" i="13"/>
  <c r="C105" i="13"/>
  <c r="B105" i="13"/>
  <c r="C104" i="13"/>
  <c r="B104" i="13"/>
  <c r="C103" i="13"/>
  <c r="B103" i="13"/>
  <c r="C102" i="13"/>
  <c r="B102" i="13"/>
  <c r="C101" i="13"/>
  <c r="B101" i="13"/>
  <c r="C100" i="13"/>
  <c r="B100" i="13"/>
  <c r="C99" i="13"/>
  <c r="B99" i="13"/>
  <c r="C98" i="13"/>
  <c r="B98" i="13"/>
  <c r="C97" i="13"/>
  <c r="B97" i="13"/>
  <c r="C96" i="13"/>
  <c r="B96" i="13"/>
  <c r="C95" i="13"/>
  <c r="B95" i="13"/>
  <c r="C94" i="13"/>
  <c r="B94" i="13"/>
  <c r="C93" i="13"/>
  <c r="B93" i="13"/>
  <c r="C92" i="13"/>
  <c r="B92" i="13"/>
  <c r="C91" i="13"/>
  <c r="B91" i="13"/>
  <c r="C90" i="13"/>
  <c r="B90" i="13"/>
  <c r="C89" i="13"/>
  <c r="B89" i="13"/>
  <c r="C88" i="13"/>
  <c r="B88" i="13"/>
  <c r="C87" i="13"/>
  <c r="B87" i="13"/>
  <c r="C86" i="13"/>
  <c r="B86" i="13"/>
  <c r="C85" i="13"/>
  <c r="B85" i="13"/>
  <c r="C84" i="13"/>
  <c r="B84" i="13"/>
  <c r="C83" i="13"/>
  <c r="B83" i="13"/>
  <c r="C82" i="13"/>
  <c r="B82" i="13"/>
  <c r="C81" i="13"/>
  <c r="B81" i="13"/>
  <c r="C80" i="13"/>
  <c r="B80" i="13"/>
  <c r="C79" i="13"/>
  <c r="B79" i="13"/>
  <c r="C78" i="13"/>
  <c r="B78" i="13"/>
  <c r="C77" i="13"/>
  <c r="B77" i="13"/>
  <c r="C76" i="13"/>
  <c r="B76" i="13"/>
  <c r="C75" i="13"/>
  <c r="B75" i="13"/>
  <c r="C74" i="13"/>
  <c r="B74" i="13"/>
  <c r="C73" i="13"/>
  <c r="B73" i="13"/>
  <c r="C72" i="13"/>
  <c r="B72" i="13"/>
  <c r="C71" i="13"/>
  <c r="B71" i="13"/>
  <c r="C70" i="13"/>
  <c r="B70" i="13"/>
  <c r="C69" i="13"/>
  <c r="B69" i="13"/>
  <c r="C68" i="13"/>
  <c r="B68" i="13"/>
  <c r="C67" i="13"/>
  <c r="B67" i="13"/>
  <c r="C66" i="13"/>
  <c r="B66" i="13"/>
  <c r="C65" i="13"/>
  <c r="B65" i="13"/>
  <c r="C64" i="13"/>
  <c r="B64" i="13"/>
  <c r="C63" i="13"/>
  <c r="B63" i="13"/>
  <c r="C62" i="13"/>
  <c r="B62" i="13"/>
  <c r="C61" i="13"/>
  <c r="B61" i="13"/>
  <c r="C60" i="13"/>
  <c r="B60" i="13"/>
  <c r="C59" i="13"/>
  <c r="B59" i="13"/>
  <c r="C58" i="13"/>
  <c r="B58" i="13"/>
  <c r="C57" i="13"/>
  <c r="B57" i="13"/>
  <c r="C56" i="13"/>
  <c r="B56" i="13"/>
  <c r="C55" i="13"/>
  <c r="B55" i="13"/>
  <c r="C54" i="13"/>
  <c r="B54" i="13"/>
  <c r="C53" i="13"/>
  <c r="B53" i="13"/>
  <c r="C52" i="13"/>
  <c r="B52" i="13"/>
  <c r="C51" i="13"/>
  <c r="B51" i="13"/>
  <c r="C50" i="13"/>
  <c r="B50" i="13"/>
  <c r="C49" i="13"/>
  <c r="B49" i="13"/>
  <c r="C48" i="13"/>
  <c r="B48" i="13"/>
  <c r="C47" i="13"/>
  <c r="B47" i="13"/>
  <c r="C46" i="13"/>
  <c r="B46" i="13"/>
  <c r="C45" i="13"/>
  <c r="B45" i="13"/>
  <c r="C44" i="13"/>
  <c r="B44" i="13"/>
  <c r="C43" i="13"/>
  <c r="B43" i="13"/>
  <c r="C42" i="13"/>
  <c r="B42" i="13"/>
  <c r="C41" i="13"/>
  <c r="B41" i="13"/>
  <c r="C40" i="13"/>
  <c r="B40" i="13"/>
  <c r="C39" i="13"/>
  <c r="B39" i="13"/>
  <c r="C38" i="13"/>
  <c r="B38" i="13"/>
  <c r="C37" i="13"/>
  <c r="B37" i="13"/>
  <c r="C36" i="13"/>
  <c r="B36" i="13"/>
  <c r="C35" i="13"/>
  <c r="B35" i="13"/>
  <c r="C34" i="13"/>
  <c r="B34" i="13"/>
  <c r="C33" i="13"/>
  <c r="B33" i="13"/>
  <c r="C32" i="13"/>
  <c r="B32" i="13"/>
  <c r="C31" i="13"/>
  <c r="B31" i="13"/>
  <c r="C30" i="13"/>
  <c r="B30" i="13"/>
  <c r="C29" i="13"/>
  <c r="B29" i="13"/>
  <c r="C28" i="13"/>
  <c r="B28" i="13"/>
  <c r="C27" i="13"/>
  <c r="B27" i="13"/>
  <c r="C26" i="13"/>
  <c r="B26" i="13"/>
  <c r="C25" i="13"/>
  <c r="B25" i="13"/>
  <c r="C24" i="13"/>
  <c r="B24" i="13"/>
  <c r="C23" i="13"/>
  <c r="B23" i="13"/>
  <c r="C22" i="13"/>
  <c r="B22" i="13"/>
  <c r="C21" i="13"/>
  <c r="B21" i="13"/>
  <c r="C20" i="13"/>
  <c r="B20" i="13"/>
  <c r="C19" i="13"/>
  <c r="B19" i="13"/>
  <c r="C18" i="13"/>
  <c r="B18" i="13"/>
  <c r="C17" i="13"/>
  <c r="B17" i="13"/>
  <c r="C16" i="13"/>
  <c r="B16" i="13"/>
  <c r="C15" i="13"/>
  <c r="B15" i="13"/>
  <c r="C14" i="13"/>
  <c r="B14" i="13"/>
  <c r="C13" i="13"/>
  <c r="B13" i="13"/>
  <c r="C12" i="13"/>
  <c r="B12" i="13"/>
  <c r="C11" i="13"/>
  <c r="B11" i="13"/>
  <c r="C10" i="13"/>
  <c r="B10" i="13"/>
  <c r="C9" i="13"/>
  <c r="B9" i="13"/>
  <c r="C8" i="13"/>
  <c r="B8" i="13"/>
  <c r="C7" i="13"/>
  <c r="B7" i="13"/>
  <c r="C5" i="13"/>
  <c r="B5" i="13"/>
  <c r="E405" i="13" l="1"/>
  <c r="D405" i="13"/>
  <c r="E404" i="13"/>
  <c r="D404" i="13"/>
  <c r="E403" i="13"/>
  <c r="D403" i="13"/>
  <c r="E402" i="13"/>
  <c r="D402" i="13"/>
  <c r="E401" i="13"/>
  <c r="D401" i="13"/>
  <c r="E400" i="13"/>
  <c r="D400" i="13"/>
  <c r="E399" i="13"/>
  <c r="D399" i="13"/>
  <c r="E398" i="13"/>
  <c r="D398" i="13"/>
  <c r="E397" i="13"/>
  <c r="D397" i="13"/>
  <c r="E396" i="13"/>
  <c r="D396" i="13"/>
  <c r="E395" i="13"/>
  <c r="D395" i="13"/>
  <c r="E394" i="13"/>
  <c r="D394" i="13"/>
  <c r="E393" i="13"/>
  <c r="D393" i="13"/>
  <c r="E392" i="13"/>
  <c r="D392" i="13"/>
  <c r="E115" i="13" l="1"/>
  <c r="D115" i="13"/>
  <c r="E114" i="13"/>
  <c r="D114" i="13"/>
  <c r="E113" i="13"/>
  <c r="D113" i="13"/>
  <c r="E364" i="13" l="1"/>
  <c r="D364" i="13"/>
  <c r="E363" i="13"/>
  <c r="D363" i="13"/>
  <c r="C363" i="13"/>
  <c r="B363" i="13"/>
  <c r="E353" i="13"/>
  <c r="D353" i="13"/>
  <c r="B7" i="19" l="1"/>
  <c r="B8" i="19"/>
  <c r="B9" i="19"/>
  <c r="B10" i="19"/>
  <c r="D29" i="13" l="1"/>
  <c r="E29" i="13"/>
  <c r="D30" i="13"/>
  <c r="E30" i="13"/>
  <c r="B18" i="19" l="1"/>
  <c r="B17" i="19"/>
  <c r="B16" i="19"/>
  <c r="B15" i="19"/>
  <c r="C10" i="19"/>
  <c r="C9" i="19"/>
  <c r="C8" i="19"/>
  <c r="C7" i="19"/>
  <c r="F23" i="25"/>
  <c r="H23" i="25" s="1"/>
  <c r="D23" i="25"/>
  <c r="B23" i="25"/>
  <c r="F22" i="25"/>
  <c r="H22" i="25" s="1"/>
  <c r="D22" i="25"/>
  <c r="B22" i="25"/>
  <c r="F20" i="25"/>
  <c r="H20" i="25" s="1"/>
  <c r="D20" i="25"/>
  <c r="B20" i="25"/>
  <c r="F19" i="25"/>
  <c r="H19" i="25" s="1"/>
  <c r="D19" i="25"/>
  <c r="B19" i="25"/>
  <c r="G38" i="22"/>
  <c r="D38" i="22"/>
  <c r="B38" i="22"/>
  <c r="G37" i="22"/>
  <c r="B37" i="22"/>
  <c r="G36" i="22"/>
  <c r="D36" i="22"/>
  <c r="B36" i="22"/>
  <c r="G34" i="22"/>
  <c r="D34" i="22"/>
  <c r="B34" i="22"/>
  <c r="G33" i="22"/>
  <c r="D33" i="22"/>
  <c r="B33" i="22"/>
  <c r="G32" i="22"/>
  <c r="D32" i="22"/>
  <c r="B32" i="22"/>
  <c r="G31" i="22"/>
  <c r="D31" i="22"/>
  <c r="B31" i="22"/>
  <c r="G30" i="22"/>
  <c r="D30" i="22"/>
  <c r="B30" i="22"/>
  <c r="G29" i="22"/>
  <c r="D29" i="22"/>
  <c r="B29" i="22"/>
  <c r="G28" i="22"/>
  <c r="D28" i="22"/>
  <c r="B28" i="22"/>
  <c r="G26" i="22"/>
  <c r="D26" i="22"/>
  <c r="B26" i="22"/>
  <c r="G25" i="22"/>
  <c r="D25" i="22"/>
  <c r="B25" i="22"/>
  <c r="D24" i="22"/>
  <c r="B24" i="22"/>
  <c r="G23" i="22"/>
  <c r="D23" i="22"/>
  <c r="B23" i="22"/>
  <c r="D17" i="19" l="1"/>
  <c r="D16" i="19"/>
  <c r="D18" i="19"/>
  <c r="E16" i="19"/>
  <c r="E17" i="19"/>
  <c r="E18" i="19"/>
  <c r="E15" i="19"/>
  <c r="G24" i="22"/>
  <c r="D15" i="19" s="1"/>
  <c r="E12" i="13"/>
  <c r="E391" i="13"/>
  <c r="D391" i="13"/>
  <c r="E390" i="13"/>
  <c r="D390" i="13"/>
  <c r="E389" i="13"/>
  <c r="D389" i="13"/>
  <c r="E388" i="13"/>
  <c r="D388" i="13"/>
  <c r="E387" i="13"/>
  <c r="D387" i="13"/>
  <c r="E386" i="13"/>
  <c r="D386" i="13"/>
  <c r="E385" i="13"/>
  <c r="D385" i="13"/>
  <c r="E384" i="13"/>
  <c r="D384" i="13"/>
  <c r="E383" i="13"/>
  <c r="D383" i="13"/>
  <c r="E382" i="13"/>
  <c r="D382" i="13"/>
  <c r="E381" i="13"/>
  <c r="D381" i="13"/>
  <c r="E380" i="13"/>
  <c r="D380" i="13"/>
  <c r="E379" i="13"/>
  <c r="D379" i="13"/>
  <c r="E378" i="13"/>
  <c r="D378" i="13"/>
  <c r="E377" i="13"/>
  <c r="D377" i="13"/>
  <c r="E376" i="13"/>
  <c r="D376" i="13"/>
  <c r="E375" i="13"/>
  <c r="D375" i="13"/>
  <c r="E374" i="13"/>
  <c r="D374" i="13"/>
  <c r="E373" i="13"/>
  <c r="D373" i="13"/>
  <c r="E372" i="13"/>
  <c r="D372" i="13"/>
  <c r="E371" i="13"/>
  <c r="D371" i="13"/>
  <c r="E370" i="13"/>
  <c r="D370" i="13"/>
  <c r="E369" i="13"/>
  <c r="D369" i="13"/>
  <c r="E368" i="13"/>
  <c r="D368" i="13"/>
  <c r="E367" i="13"/>
  <c r="D367" i="13"/>
  <c r="E366" i="13"/>
  <c r="D366" i="13"/>
  <c r="E365" i="13"/>
  <c r="D365" i="13"/>
  <c r="E352" i="13"/>
  <c r="D352" i="13"/>
  <c r="E351" i="13"/>
  <c r="D351" i="13"/>
  <c r="E350" i="13"/>
  <c r="D350" i="13"/>
  <c r="E349" i="13"/>
  <c r="D349" i="13"/>
  <c r="E348" i="13"/>
  <c r="D348" i="13"/>
  <c r="E347" i="13"/>
  <c r="D347" i="13"/>
  <c r="E346" i="13"/>
  <c r="D346" i="13"/>
  <c r="E345" i="13"/>
  <c r="D345" i="13"/>
  <c r="E344" i="13"/>
  <c r="D344" i="13"/>
  <c r="E343" i="13"/>
  <c r="D343" i="13"/>
  <c r="E342" i="13"/>
  <c r="D342" i="13"/>
  <c r="E341" i="13"/>
  <c r="D341" i="13"/>
  <c r="E340" i="13"/>
  <c r="D340" i="13"/>
  <c r="E339" i="13"/>
  <c r="D339" i="13"/>
  <c r="E338" i="13"/>
  <c r="D338" i="13"/>
  <c r="E337" i="13"/>
  <c r="D337" i="13"/>
  <c r="E336" i="13"/>
  <c r="D336" i="13"/>
  <c r="E335" i="13"/>
  <c r="D335" i="13"/>
  <c r="E334" i="13"/>
  <c r="D334" i="13"/>
  <c r="E333" i="13"/>
  <c r="D333" i="13"/>
  <c r="E332" i="13"/>
  <c r="D332" i="13"/>
  <c r="E331" i="13"/>
  <c r="D331" i="13"/>
  <c r="E330" i="13"/>
  <c r="D330" i="13"/>
  <c r="E329" i="13"/>
  <c r="D329" i="13"/>
  <c r="E328" i="13"/>
  <c r="D328" i="13"/>
  <c r="E327" i="13"/>
  <c r="D327" i="13"/>
  <c r="E326" i="13"/>
  <c r="D326" i="13"/>
  <c r="E325" i="13"/>
  <c r="D325" i="13"/>
  <c r="E324" i="13"/>
  <c r="D324" i="13"/>
  <c r="E323" i="13"/>
  <c r="D323" i="13"/>
  <c r="E322" i="13"/>
  <c r="D322" i="13"/>
  <c r="E321" i="13"/>
  <c r="D321" i="13"/>
  <c r="E320" i="13"/>
  <c r="D320" i="13"/>
  <c r="E319" i="13"/>
  <c r="D319" i="13"/>
  <c r="E318" i="13"/>
  <c r="D318" i="13"/>
  <c r="E317" i="13"/>
  <c r="D317" i="13"/>
  <c r="E316" i="13"/>
  <c r="D316" i="13"/>
  <c r="E315" i="13"/>
  <c r="D315" i="13"/>
  <c r="E314" i="13"/>
  <c r="D314" i="13"/>
  <c r="E313" i="13"/>
  <c r="D313" i="13"/>
  <c r="E312" i="13"/>
  <c r="D312" i="13"/>
  <c r="E311" i="13"/>
  <c r="D311" i="13"/>
  <c r="E5" i="31" l="1"/>
  <c r="E6" i="31"/>
  <c r="E7" i="31"/>
  <c r="E8" i="31"/>
  <c r="D9" i="31"/>
  <c r="I21" i="31"/>
  <c r="K21" i="31" s="1"/>
  <c r="M21" i="31" s="1"/>
  <c r="O21" i="31" s="1"/>
  <c r="I22" i="31"/>
  <c r="K22" i="31" s="1"/>
  <c r="M22" i="31" s="1"/>
  <c r="O22" i="31" s="1"/>
  <c r="Q22" i="31" s="1"/>
  <c r="I23" i="31"/>
  <c r="K23" i="31" s="1"/>
  <c r="M23" i="31" s="1"/>
  <c r="O23" i="31" s="1"/>
  <c r="Q23" i="31" s="1"/>
  <c r="I25" i="31"/>
  <c r="K25" i="31" s="1"/>
  <c r="M25" i="31" s="1"/>
  <c r="O25" i="31" s="1"/>
  <c r="Q25" i="31" s="1"/>
  <c r="I30" i="31"/>
  <c r="K30" i="31" s="1"/>
  <c r="M30" i="31" s="1"/>
  <c r="O30" i="31" s="1"/>
  <c r="Q30" i="31" s="1"/>
  <c r="I31" i="31"/>
  <c r="K31" i="31" s="1"/>
  <c r="M31" i="31" s="1"/>
  <c r="O31" i="31" s="1"/>
  <c r="Q31" i="31" s="1"/>
  <c r="I32" i="31"/>
  <c r="K32" i="31" s="1"/>
  <c r="M32" i="31" s="1"/>
  <c r="O32" i="31" s="1"/>
  <c r="Q32" i="31" s="1"/>
  <c r="E9" i="31" l="1"/>
  <c r="E10" i="31" s="1"/>
  <c r="E13" i="31" s="1"/>
  <c r="I13" i="31" s="1"/>
  <c r="Q21" i="31"/>
  <c r="E16" i="31" l="1"/>
  <c r="I16" i="31" s="1"/>
  <c r="K16" i="31" s="1"/>
  <c r="M16" i="31" s="1"/>
  <c r="O16" i="31" s="1"/>
  <c r="Q16" i="31" s="1"/>
  <c r="E14" i="31"/>
  <c r="I14" i="31" s="1"/>
  <c r="K14" i="31" s="1"/>
  <c r="M14" i="31" s="1"/>
  <c r="O14" i="31" s="1"/>
  <c r="Q14" i="31" s="1"/>
  <c r="E24" i="31"/>
  <c r="I24" i="31" s="1"/>
  <c r="E15" i="31"/>
  <c r="I15" i="31" s="1"/>
  <c r="K15" i="31" s="1"/>
  <c r="M15" i="31" s="1"/>
  <c r="O15" i="31" s="1"/>
  <c r="Q15" i="31" s="1"/>
  <c r="I10" i="31"/>
  <c r="K10" i="31" s="1"/>
  <c r="M10" i="31" s="1"/>
  <c r="O10" i="31" s="1"/>
  <c r="Q10" i="31" s="1"/>
  <c r="E17" i="31"/>
  <c r="I17" i="31" s="1"/>
  <c r="K17" i="31" s="1"/>
  <c r="M17" i="31" s="1"/>
  <c r="O17" i="31" s="1"/>
  <c r="Q17" i="31" s="1"/>
  <c r="K13" i="31"/>
  <c r="I18" i="31" l="1"/>
  <c r="E18" i="31"/>
  <c r="E29" i="31" s="1"/>
  <c r="E26" i="31"/>
  <c r="K24" i="31"/>
  <c r="I26" i="31"/>
  <c r="K18" i="31"/>
  <c r="M13" i="31"/>
  <c r="M24" i="31" l="1"/>
  <c r="K26" i="31"/>
  <c r="E33" i="31"/>
  <c r="I29" i="31"/>
  <c r="O13" i="31"/>
  <c r="M18" i="31"/>
  <c r="O24" i="31" l="1"/>
  <c r="M26" i="31"/>
  <c r="O18" i="31"/>
  <c r="Q13" i="31"/>
  <c r="Q18" i="31" s="1"/>
  <c r="I33" i="31"/>
  <c r="I35" i="31" s="1"/>
  <c r="K29" i="31"/>
  <c r="E35" i="31"/>
  <c r="D38" i="31"/>
  <c r="D39" i="31"/>
  <c r="D41" i="31"/>
  <c r="D40" i="31"/>
  <c r="AD360" i="13" l="1"/>
  <c r="AD356" i="13"/>
  <c r="AD355" i="13"/>
  <c r="AD362" i="13"/>
  <c r="AD361" i="13"/>
  <c r="AD359" i="13"/>
  <c r="AD358" i="13"/>
  <c r="AD357" i="13"/>
  <c r="AD354" i="13"/>
  <c r="AD446" i="13"/>
  <c r="AD445" i="13"/>
  <c r="AD444" i="13"/>
  <c r="AD443" i="13"/>
  <c r="AD442" i="13"/>
  <c r="AD441" i="13"/>
  <c r="AD440" i="13"/>
  <c r="AD439" i="13"/>
  <c r="AD438" i="13"/>
  <c r="AD437" i="13"/>
  <c r="AD436" i="13"/>
  <c r="AD435" i="13"/>
  <c r="AD434" i="13"/>
  <c r="AD433" i="13"/>
  <c r="AD432" i="13"/>
  <c r="AD431" i="13"/>
  <c r="AD430" i="13"/>
  <c r="AD429" i="13"/>
  <c r="AD428" i="13"/>
  <c r="AD427" i="13"/>
  <c r="AD426" i="13"/>
  <c r="AD425" i="13"/>
  <c r="AD424" i="13"/>
  <c r="AD423" i="13"/>
  <c r="AD422" i="13"/>
  <c r="AD421" i="13"/>
  <c r="AD420" i="13"/>
  <c r="AD419" i="13"/>
  <c r="AD418" i="13"/>
  <c r="AD417" i="13"/>
  <c r="AD416" i="13"/>
  <c r="AG416" i="13" s="1"/>
  <c r="AD415" i="13"/>
  <c r="AD414" i="13"/>
  <c r="AD413" i="13"/>
  <c r="AD412" i="13"/>
  <c r="AD411" i="13"/>
  <c r="AD410" i="13"/>
  <c r="AD409" i="13"/>
  <c r="AD408" i="13"/>
  <c r="AD407" i="13"/>
  <c r="AD406" i="13"/>
  <c r="AD405" i="13"/>
  <c r="AD404" i="13"/>
  <c r="AD403" i="13"/>
  <c r="AD402" i="13"/>
  <c r="AD401" i="13"/>
  <c r="AD400" i="13"/>
  <c r="AD399" i="13"/>
  <c r="AD398" i="13"/>
  <c r="AD397" i="13"/>
  <c r="AD396" i="13"/>
  <c r="AD395" i="13"/>
  <c r="AD394" i="13"/>
  <c r="AD393" i="13"/>
  <c r="AD392" i="13"/>
  <c r="AD391" i="13"/>
  <c r="AD390" i="13"/>
  <c r="AD389" i="13"/>
  <c r="AD388" i="13"/>
  <c r="AD387" i="13"/>
  <c r="AD386" i="13"/>
  <c r="AD385" i="13"/>
  <c r="AD384" i="13"/>
  <c r="AD383" i="13"/>
  <c r="AD382" i="13"/>
  <c r="AD381" i="13"/>
  <c r="AD380" i="13"/>
  <c r="AD379" i="13"/>
  <c r="AD378" i="13"/>
  <c r="AD377" i="13"/>
  <c r="AD376" i="13"/>
  <c r="AD375" i="13"/>
  <c r="AD374" i="13"/>
  <c r="AD373" i="13"/>
  <c r="AD372" i="13"/>
  <c r="AG372" i="13" s="1"/>
  <c r="AD371" i="13"/>
  <c r="AD370" i="13"/>
  <c r="AD369" i="13"/>
  <c r="AD368" i="13"/>
  <c r="AD367" i="13"/>
  <c r="AD366" i="13"/>
  <c r="AD365" i="13"/>
  <c r="AD364" i="13"/>
  <c r="AD363" i="13"/>
  <c r="AD353" i="13"/>
  <c r="AD342" i="13"/>
  <c r="AD352" i="13"/>
  <c r="AD350" i="13"/>
  <c r="AD347" i="13"/>
  <c r="AD345" i="13"/>
  <c r="AD343" i="13"/>
  <c r="AD340" i="13"/>
  <c r="AD338" i="13"/>
  <c r="AD336" i="13"/>
  <c r="AD334" i="13"/>
  <c r="AG334" i="13" s="1"/>
  <c r="AD332" i="13"/>
  <c r="AD330" i="13"/>
  <c r="AD328" i="13"/>
  <c r="AD327" i="13"/>
  <c r="AD324" i="13"/>
  <c r="AD351" i="13"/>
  <c r="AD349" i="13"/>
  <c r="AD348" i="13"/>
  <c r="AD346" i="13"/>
  <c r="AD344" i="13"/>
  <c r="AD341" i="13"/>
  <c r="AD339" i="13"/>
  <c r="AD337" i="13"/>
  <c r="AD335" i="13"/>
  <c r="AD333" i="13"/>
  <c r="AD331" i="13"/>
  <c r="AD329" i="13"/>
  <c r="AD326" i="13"/>
  <c r="AD325" i="13"/>
  <c r="AD286" i="13"/>
  <c r="AD252" i="13"/>
  <c r="AD229" i="13"/>
  <c r="AD212" i="13"/>
  <c r="AD198" i="13"/>
  <c r="AD185" i="13"/>
  <c r="AD174" i="13"/>
  <c r="AD164" i="13"/>
  <c r="AD156" i="13"/>
  <c r="AG156" i="13" s="1"/>
  <c r="AD322" i="13"/>
  <c r="AD320" i="13"/>
  <c r="AD318" i="13"/>
  <c r="AD316" i="13"/>
  <c r="AD314" i="13"/>
  <c r="AD312" i="13"/>
  <c r="AD310" i="13"/>
  <c r="AD308" i="13"/>
  <c r="AD306" i="13"/>
  <c r="AD304" i="13"/>
  <c r="AD302" i="13"/>
  <c r="AD300" i="13"/>
  <c r="AD298" i="13"/>
  <c r="AD296" i="13"/>
  <c r="AD294" i="13"/>
  <c r="AD292" i="13"/>
  <c r="AD290" i="13"/>
  <c r="AD288" i="13"/>
  <c r="AD285" i="13"/>
  <c r="AD283" i="13"/>
  <c r="AD281" i="13"/>
  <c r="AD279" i="13"/>
  <c r="AD277" i="13"/>
  <c r="AD275" i="13"/>
  <c r="AD273" i="13"/>
  <c r="AD271" i="13"/>
  <c r="AD269" i="13"/>
  <c r="AD267" i="13"/>
  <c r="AD265" i="13"/>
  <c r="AD263" i="13"/>
  <c r="AD261" i="13"/>
  <c r="AD259" i="13"/>
  <c r="AD257" i="13"/>
  <c r="AD255" i="13"/>
  <c r="AD253" i="13"/>
  <c r="AD250" i="13"/>
  <c r="AD248" i="13"/>
  <c r="AD246" i="13"/>
  <c r="AD244" i="13"/>
  <c r="AD242" i="13"/>
  <c r="AD240" i="13"/>
  <c r="AD238" i="13"/>
  <c r="AD236" i="13"/>
  <c r="AD234" i="13"/>
  <c r="AD232" i="13"/>
  <c r="AD230" i="13"/>
  <c r="AD227" i="13"/>
  <c r="AD225" i="13"/>
  <c r="AD223" i="13"/>
  <c r="AD221" i="13"/>
  <c r="AD219" i="13"/>
  <c r="AD217" i="13"/>
  <c r="AG217" i="13" s="1"/>
  <c r="AD215" i="13"/>
  <c r="AD213" i="13"/>
  <c r="AD210" i="13"/>
  <c r="AD209" i="13"/>
  <c r="AD207" i="13"/>
  <c r="AD205" i="13"/>
  <c r="AD203" i="13"/>
  <c r="AD201" i="13"/>
  <c r="AD199" i="13"/>
  <c r="AD196" i="13"/>
  <c r="AD195" i="13"/>
  <c r="AD193" i="13"/>
  <c r="AD191" i="13"/>
  <c r="AD188" i="13"/>
  <c r="AD186" i="13"/>
  <c r="AD183" i="13"/>
  <c r="AD181" i="13"/>
  <c r="AD179" i="13"/>
  <c r="AD177" i="13"/>
  <c r="AD175" i="13"/>
  <c r="AD172" i="13"/>
  <c r="AD170" i="13"/>
  <c r="AD168" i="13"/>
  <c r="AD166" i="13"/>
  <c r="AD163" i="13"/>
  <c r="AD161" i="13"/>
  <c r="AD159" i="13"/>
  <c r="AD157" i="13"/>
  <c r="AG157" i="13" s="1"/>
  <c r="AD154" i="13"/>
  <c r="AD152" i="13"/>
  <c r="AD150" i="13"/>
  <c r="AD148" i="13"/>
  <c r="AD145" i="13"/>
  <c r="AD323" i="13"/>
  <c r="AD321" i="13"/>
  <c r="AD319" i="13"/>
  <c r="AD317" i="13"/>
  <c r="AD315" i="13"/>
  <c r="AD313" i="13"/>
  <c r="AD311" i="13"/>
  <c r="AG311" i="13" s="1"/>
  <c r="AD309" i="13"/>
  <c r="AD307" i="13"/>
  <c r="AD305" i="13"/>
  <c r="AD303" i="13"/>
  <c r="AD301" i="13"/>
  <c r="AD299" i="13"/>
  <c r="AD297" i="13"/>
  <c r="AD295" i="13"/>
  <c r="AD293" i="13"/>
  <c r="AD291" i="13"/>
  <c r="AD289" i="13"/>
  <c r="AD287" i="13"/>
  <c r="AD284" i="13"/>
  <c r="AD282" i="13"/>
  <c r="AD280" i="13"/>
  <c r="AD278" i="13"/>
  <c r="AD276" i="13"/>
  <c r="AD274" i="13"/>
  <c r="AD272" i="13"/>
  <c r="AD270" i="13"/>
  <c r="AD268" i="13"/>
  <c r="AD266" i="13"/>
  <c r="AD264" i="13"/>
  <c r="AD262" i="13"/>
  <c r="AD260" i="13"/>
  <c r="AD258" i="13"/>
  <c r="AD256" i="13"/>
  <c r="AD254" i="13"/>
  <c r="AD251" i="13"/>
  <c r="AD249" i="13"/>
  <c r="AD247" i="13"/>
  <c r="AD245" i="13"/>
  <c r="AD243" i="13"/>
  <c r="AD241" i="13"/>
  <c r="AD239" i="13"/>
  <c r="AD237" i="13"/>
  <c r="AD235" i="13"/>
  <c r="AD233" i="13"/>
  <c r="AD231" i="13"/>
  <c r="AD228" i="13"/>
  <c r="AD226" i="13"/>
  <c r="AD224" i="13"/>
  <c r="AD222" i="13"/>
  <c r="AD220" i="13"/>
  <c r="AD218" i="13"/>
  <c r="AD216" i="13"/>
  <c r="AD214" i="13"/>
  <c r="AD211" i="13"/>
  <c r="AD208" i="13"/>
  <c r="AD206" i="13"/>
  <c r="AD204" i="13"/>
  <c r="AD202" i="13"/>
  <c r="AD200" i="13"/>
  <c r="AD197" i="13"/>
  <c r="AD194" i="13"/>
  <c r="AD192" i="13"/>
  <c r="AD190" i="13"/>
  <c r="AD189" i="13"/>
  <c r="AD187" i="13"/>
  <c r="AD184" i="13"/>
  <c r="AD182" i="13"/>
  <c r="AD180" i="13"/>
  <c r="AD178" i="13"/>
  <c r="AD176" i="13"/>
  <c r="AD173" i="13"/>
  <c r="AD171" i="13"/>
  <c r="AD169" i="13"/>
  <c r="AD167" i="13"/>
  <c r="AD165" i="13"/>
  <c r="AD162" i="13"/>
  <c r="AD160" i="13"/>
  <c r="AD158" i="13"/>
  <c r="AD155" i="13"/>
  <c r="AD153" i="13"/>
  <c r="AD151" i="13"/>
  <c r="AD149" i="13"/>
  <c r="AD146" i="13"/>
  <c r="AD144" i="13"/>
  <c r="AD147" i="13"/>
  <c r="AD141" i="13"/>
  <c r="AD100" i="13"/>
  <c r="AD74" i="13"/>
  <c r="AD57" i="13"/>
  <c r="AD44" i="13"/>
  <c r="AD35" i="13"/>
  <c r="AD26" i="13"/>
  <c r="AD18" i="13"/>
  <c r="AD10" i="13"/>
  <c r="AG10" i="13" s="1"/>
  <c r="AD143" i="13"/>
  <c r="AD139" i="13"/>
  <c r="AD137" i="13"/>
  <c r="AD135" i="13"/>
  <c r="AD133" i="13"/>
  <c r="AD131" i="13"/>
  <c r="AD129" i="13"/>
  <c r="AD127" i="13"/>
  <c r="AD126" i="13"/>
  <c r="AD124" i="13"/>
  <c r="AD122" i="13"/>
  <c r="AD120" i="13"/>
  <c r="AG120" i="13" s="1"/>
  <c r="AD118" i="13"/>
  <c r="AD116" i="13"/>
  <c r="AD114" i="13"/>
  <c r="AD112" i="13"/>
  <c r="AG112" i="13" s="1"/>
  <c r="AD110" i="13"/>
  <c r="AD108" i="13"/>
  <c r="AD106" i="13"/>
  <c r="AD104" i="13"/>
  <c r="AD102" i="13"/>
  <c r="AD99" i="13"/>
  <c r="AD97" i="13"/>
  <c r="AD95" i="13"/>
  <c r="AD93" i="13"/>
  <c r="AD91" i="13"/>
  <c r="AD89" i="13"/>
  <c r="AD87" i="13"/>
  <c r="AD85" i="13"/>
  <c r="AD83" i="13"/>
  <c r="AD81" i="13"/>
  <c r="AD79" i="13"/>
  <c r="AG79" i="13" s="1"/>
  <c r="AD77" i="13"/>
  <c r="AD75" i="13"/>
  <c r="AD72" i="13"/>
  <c r="AD70" i="13"/>
  <c r="AG70" i="13" s="1"/>
  <c r="AD68" i="13"/>
  <c r="AD66" i="13"/>
  <c r="AD64" i="13"/>
  <c r="AD62" i="13"/>
  <c r="AD60" i="13"/>
  <c r="AD58" i="13"/>
  <c r="AD55" i="13"/>
  <c r="AD53" i="13"/>
  <c r="AD51" i="13"/>
  <c r="AD50" i="13"/>
  <c r="AD48" i="13"/>
  <c r="AD46" i="13"/>
  <c r="AD43" i="13"/>
  <c r="AD41" i="13"/>
  <c r="AD39" i="13"/>
  <c r="AD37" i="13"/>
  <c r="AD34" i="13"/>
  <c r="AD32" i="13"/>
  <c r="AD30" i="13"/>
  <c r="AD28" i="13"/>
  <c r="AG28" i="13" s="1"/>
  <c r="AD25" i="13"/>
  <c r="AD23" i="13"/>
  <c r="AD21" i="13"/>
  <c r="AD19" i="13"/>
  <c r="AG19" i="13" s="1"/>
  <c r="AD16" i="13"/>
  <c r="AD14" i="13"/>
  <c r="AD12" i="13"/>
  <c r="AD9" i="13"/>
  <c r="AD7" i="13"/>
  <c r="AD142" i="13"/>
  <c r="AD140" i="13"/>
  <c r="AD138" i="13"/>
  <c r="AD136" i="13"/>
  <c r="AD134" i="13"/>
  <c r="AD132" i="13"/>
  <c r="AD130" i="13"/>
  <c r="AD128" i="13"/>
  <c r="AD125" i="13"/>
  <c r="AD123" i="13"/>
  <c r="AD121" i="13"/>
  <c r="AD119" i="13"/>
  <c r="AD117" i="13"/>
  <c r="AD115" i="13"/>
  <c r="AD113" i="13"/>
  <c r="AD111" i="13"/>
  <c r="AD109" i="13"/>
  <c r="AD107" i="13"/>
  <c r="AD105" i="13"/>
  <c r="AD103" i="13"/>
  <c r="AD101" i="13"/>
  <c r="AD98" i="13"/>
  <c r="AD96" i="13"/>
  <c r="AD94" i="13"/>
  <c r="AD92" i="13"/>
  <c r="AD90" i="13"/>
  <c r="AD88" i="13"/>
  <c r="AG88" i="13" s="1"/>
  <c r="AD86" i="13"/>
  <c r="AD84" i="13"/>
  <c r="AD82" i="13"/>
  <c r="AD80" i="13"/>
  <c r="AD78" i="13"/>
  <c r="AD76" i="13"/>
  <c r="AD73" i="13"/>
  <c r="AD71" i="13"/>
  <c r="AD69" i="13"/>
  <c r="AD67" i="13"/>
  <c r="AD65" i="13"/>
  <c r="AD63" i="13"/>
  <c r="AD61" i="13"/>
  <c r="AD59" i="13"/>
  <c r="AD56" i="13"/>
  <c r="AD54" i="13"/>
  <c r="AD52" i="13"/>
  <c r="AD49" i="13"/>
  <c r="AD47" i="13"/>
  <c r="AD45" i="13"/>
  <c r="AD42" i="13"/>
  <c r="AD40" i="13"/>
  <c r="AD38" i="13"/>
  <c r="AD36" i="13"/>
  <c r="AD33" i="13"/>
  <c r="AD31" i="13"/>
  <c r="AD29" i="13"/>
  <c r="AD27" i="13"/>
  <c r="AD24" i="13"/>
  <c r="AD22" i="13"/>
  <c r="AD20" i="13"/>
  <c r="AD17" i="13"/>
  <c r="AD15" i="13"/>
  <c r="AD13" i="13"/>
  <c r="AD11" i="13"/>
  <c r="AD8" i="13"/>
  <c r="AD6" i="13"/>
  <c r="X354" i="13"/>
  <c r="AG354" i="13" s="1"/>
  <c r="X359" i="13"/>
  <c r="AG359" i="13" s="1"/>
  <c r="X360" i="13"/>
  <c r="AG360" i="13" s="1"/>
  <c r="X358" i="13"/>
  <c r="AG358" i="13" s="1"/>
  <c r="X362" i="13"/>
  <c r="X356" i="13"/>
  <c r="AG356" i="13" s="1"/>
  <c r="X355" i="13"/>
  <c r="AG355" i="13" s="1"/>
  <c r="X361" i="13"/>
  <c r="AG361" i="13" s="1"/>
  <c r="X357" i="13"/>
  <c r="X13" i="13"/>
  <c r="X46" i="13"/>
  <c r="X76" i="13"/>
  <c r="X100" i="13"/>
  <c r="X115" i="13"/>
  <c r="X126" i="13"/>
  <c r="X139" i="13"/>
  <c r="X154" i="13"/>
  <c r="X162" i="13"/>
  <c r="X173" i="13"/>
  <c r="X179" i="13"/>
  <c r="X240" i="13"/>
  <c r="X258" i="13"/>
  <c r="X282" i="13"/>
  <c r="X297" i="13"/>
  <c r="X314" i="13"/>
  <c r="X334" i="13"/>
  <c r="X378" i="13"/>
  <c r="X419" i="13"/>
  <c r="X22" i="13"/>
  <c r="X49" i="13"/>
  <c r="X73" i="13"/>
  <c r="X94" i="13"/>
  <c r="X401" i="13"/>
  <c r="X34" i="13"/>
  <c r="X396" i="13"/>
  <c r="X164" i="13"/>
  <c r="AG164" i="13" s="1"/>
  <c r="X211" i="13"/>
  <c r="X287" i="13"/>
  <c r="X121" i="13"/>
  <c r="AG121" i="13" s="1"/>
  <c r="X188" i="13"/>
  <c r="AG188" i="13" s="1"/>
  <c r="X347" i="13"/>
  <c r="AG347" i="13" s="1"/>
  <c r="X286" i="13"/>
  <c r="X181" i="13"/>
  <c r="AG181" i="13" s="1"/>
  <c r="X268" i="13"/>
  <c r="AG268" i="13" s="1"/>
  <c r="X20" i="13"/>
  <c r="AG20" i="13" s="1"/>
  <c r="X134" i="13"/>
  <c r="X200" i="13"/>
  <c r="AG200" i="13" s="1"/>
  <c r="X230" i="13"/>
  <c r="AG230" i="13" s="1"/>
  <c r="X272" i="13"/>
  <c r="AG272" i="13" s="1"/>
  <c r="X35" i="13"/>
  <c r="AG35" i="13" s="1"/>
  <c r="X104" i="13"/>
  <c r="AG104" i="13" s="1"/>
  <c r="X127" i="13"/>
  <c r="X204" i="13"/>
  <c r="AG204" i="13" s="1"/>
  <c r="X280" i="13"/>
  <c r="AG280" i="13" s="1"/>
  <c r="X338" i="13"/>
  <c r="AG338" i="13" s="1"/>
  <c r="X107" i="13"/>
  <c r="AG107" i="13" s="1"/>
  <c r="X215" i="13"/>
  <c r="AG215" i="13" s="1"/>
  <c r="X432" i="13"/>
  <c r="X387" i="13"/>
  <c r="AG387" i="13" s="1"/>
  <c r="X426" i="13"/>
  <c r="AG426" i="13" s="1"/>
  <c r="X434" i="13"/>
  <c r="AG434" i="13" s="1"/>
  <c r="X26" i="13"/>
  <c r="X62" i="13"/>
  <c r="AG62" i="13" s="1"/>
  <c r="X146" i="13"/>
  <c r="AG146" i="13" s="1"/>
  <c r="X257" i="13"/>
  <c r="AG257" i="13" s="1"/>
  <c r="X340" i="13"/>
  <c r="AG340" i="13" s="1"/>
  <c r="X303" i="13"/>
  <c r="AG303" i="13" s="1"/>
  <c r="X393" i="13"/>
  <c r="AG393" i="13" s="1"/>
  <c r="X184" i="13"/>
  <c r="X292" i="13"/>
  <c r="X348" i="13"/>
  <c r="AG348" i="13" s="1"/>
  <c r="X400" i="13"/>
  <c r="X420" i="13"/>
  <c r="X301" i="13"/>
  <c r="AG301" i="13" s="1"/>
  <c r="X363" i="13"/>
  <c r="AG363" i="13" s="1"/>
  <c r="X397" i="13"/>
  <c r="AG397" i="13" s="1"/>
  <c r="X24" i="13"/>
  <c r="AG24" i="13" s="1"/>
  <c r="X21" i="13"/>
  <c r="AG21" i="13" s="1"/>
  <c r="X93" i="13"/>
  <c r="AG93" i="13" s="1"/>
  <c r="X27" i="13"/>
  <c r="X99" i="13"/>
  <c r="AG99" i="13" s="1"/>
  <c r="X130" i="13"/>
  <c r="X209" i="13"/>
  <c r="AG209" i="13" s="1"/>
  <c r="X313" i="13"/>
  <c r="AG313" i="13" s="1"/>
  <c r="X253" i="13"/>
  <c r="AG253" i="13" s="1"/>
  <c r="X343" i="13"/>
  <c r="X168" i="13"/>
  <c r="AG168" i="13" s="1"/>
  <c r="X177" i="13"/>
  <c r="AG177" i="13" s="1"/>
  <c r="X158" i="13"/>
  <c r="X192" i="13"/>
  <c r="X331" i="13"/>
  <c r="AG331" i="13" s="1"/>
  <c r="X316" i="13"/>
  <c r="X183" i="13"/>
  <c r="X213" i="13"/>
  <c r="AG213" i="13" s="1"/>
  <c r="X299" i="13"/>
  <c r="AG299" i="13" s="1"/>
  <c r="X219" i="13"/>
  <c r="AG219" i="13" s="1"/>
  <c r="X251" i="13"/>
  <c r="AG251" i="13" s="1"/>
  <c r="X281" i="13"/>
  <c r="AG281" i="13" s="1"/>
  <c r="X326" i="13"/>
  <c r="AG326" i="13" s="1"/>
  <c r="X384" i="13"/>
  <c r="X388" i="13"/>
  <c r="X424" i="13"/>
  <c r="X233" i="13"/>
  <c r="AG233" i="13" s="1"/>
  <c r="X256" i="13"/>
  <c r="AG256" i="13" s="1"/>
  <c r="X325" i="13"/>
  <c r="AG325" i="13" s="1"/>
  <c r="X392" i="13"/>
  <c r="X376" i="13"/>
  <c r="AG376" i="13" s="1"/>
  <c r="X403" i="13"/>
  <c r="AG403" i="13" s="1"/>
  <c r="X423" i="13"/>
  <c r="AG423" i="13" s="1"/>
  <c r="X439" i="13"/>
  <c r="AG439" i="13" s="1"/>
  <c r="X441" i="13"/>
  <c r="AG441" i="13" s="1"/>
  <c r="X195" i="13"/>
  <c r="AG195" i="13" s="1"/>
  <c r="X25" i="13"/>
  <c r="X52" i="13"/>
  <c r="X82" i="13"/>
  <c r="X106" i="13"/>
  <c r="X117" i="13"/>
  <c r="X129" i="13"/>
  <c r="X142" i="13"/>
  <c r="X156" i="13"/>
  <c r="X165" i="13"/>
  <c r="X174" i="13"/>
  <c r="X182" i="13"/>
  <c r="X246" i="13"/>
  <c r="X265" i="13"/>
  <c r="X285" i="13"/>
  <c r="X300" i="13"/>
  <c r="X317" i="13"/>
  <c r="X344" i="13"/>
  <c r="X390" i="13"/>
  <c r="X7" i="13"/>
  <c r="X31" i="13"/>
  <c r="X58" i="13"/>
  <c r="X79" i="13"/>
  <c r="X103" i="13"/>
  <c r="X409" i="13"/>
  <c r="X55" i="13"/>
  <c r="X416" i="13"/>
  <c r="X86" i="13"/>
  <c r="AG86" i="13" s="1"/>
  <c r="X145" i="13"/>
  <c r="AG145" i="13" s="1"/>
  <c r="X148" i="13"/>
  <c r="X421" i="13"/>
  <c r="AG421" i="13" s="1"/>
  <c r="X346" i="13"/>
  <c r="AG346" i="13" s="1"/>
  <c r="X369" i="13"/>
  <c r="AG369" i="13" s="1"/>
  <c r="X319" i="13"/>
  <c r="X305" i="13"/>
  <c r="AG305" i="13" s="1"/>
  <c r="X370" i="13"/>
  <c r="AG370" i="13" s="1"/>
  <c r="X47" i="13"/>
  <c r="AG47" i="13" s="1"/>
  <c r="X50" i="13"/>
  <c r="AG50" i="13" s="1"/>
  <c r="X77" i="13"/>
  <c r="AG77" i="13" s="1"/>
  <c r="X191" i="13"/>
  <c r="AG191" i="13" s="1"/>
  <c r="X113" i="13"/>
  <c r="X29" i="13"/>
  <c r="AG29" i="13" s="1"/>
  <c r="X11" i="13"/>
  <c r="AG11" i="13" s="1"/>
  <c r="X32" i="13"/>
  <c r="AG32" i="13" s="1"/>
  <c r="X201" i="13"/>
  <c r="X214" i="13"/>
  <c r="AG214" i="13" s="1"/>
  <c r="X295" i="13"/>
  <c r="X342" i="13"/>
  <c r="AG342" i="13" s="1"/>
  <c r="X38" i="13"/>
  <c r="AG38" i="13" s="1"/>
  <c r="X232" i="13"/>
  <c r="AG232" i="13" s="1"/>
  <c r="X261" i="13"/>
  <c r="AG261" i="13" s="1"/>
  <c r="X53" i="13"/>
  <c r="AG53" i="13" s="1"/>
  <c r="X199" i="13"/>
  <c r="AG199" i="13" s="1"/>
  <c r="X266" i="13"/>
  <c r="AG266" i="13" s="1"/>
  <c r="X218" i="13"/>
  <c r="AG218" i="13" s="1"/>
  <c r="X248" i="13"/>
  <c r="AG248" i="13" s="1"/>
  <c r="X259" i="13"/>
  <c r="X284" i="13"/>
  <c r="AG284" i="13" s="1"/>
  <c r="X89" i="13"/>
  <c r="AG89" i="13" s="1"/>
  <c r="X263" i="13"/>
  <c r="AG263" i="13" s="1"/>
  <c r="X116" i="13"/>
  <c r="AG116" i="13" s="1"/>
  <c r="X206" i="13"/>
  <c r="AG206" i="13" s="1"/>
  <c r="X250" i="13"/>
  <c r="X417" i="13"/>
  <c r="AG417" i="13" s="1"/>
  <c r="X345" i="13"/>
  <c r="AG345" i="13" s="1"/>
  <c r="X309" i="13"/>
  <c r="AG309" i="13" s="1"/>
  <c r="X332" i="13"/>
  <c r="AG332" i="13" s="1"/>
  <c r="X207" i="13"/>
  <c r="AG207" i="13" s="1"/>
  <c r="X304" i="13"/>
  <c r="AG304" i="13" s="1"/>
  <c r="X302" i="13"/>
  <c r="AG302" i="13" s="1"/>
  <c r="X365" i="13"/>
  <c r="AG365" i="13" s="1"/>
  <c r="X78" i="13"/>
  <c r="AG78" i="13" s="1"/>
  <c r="X75" i="13"/>
  <c r="AG75" i="13" s="1"/>
  <c r="X161" i="13"/>
  <c r="AG161" i="13" s="1"/>
  <c r="X18" i="13"/>
  <c r="AG18" i="13" s="1"/>
  <c r="X54" i="13"/>
  <c r="AG54" i="13" s="1"/>
  <c r="X90" i="13"/>
  <c r="AG90" i="13" s="1"/>
  <c r="X125" i="13"/>
  <c r="AG125" i="13" s="1"/>
  <c r="X33" i="13"/>
  <c r="AG33" i="13" s="1"/>
  <c r="X69" i="13"/>
  <c r="AG69" i="13" s="1"/>
  <c r="X105" i="13"/>
  <c r="X102" i="13"/>
  <c r="AG102" i="13" s="1"/>
  <c r="X30" i="13"/>
  <c r="AG30" i="13" s="1"/>
  <c r="X66" i="13"/>
  <c r="AG66" i="13" s="1"/>
  <c r="X9" i="13"/>
  <c r="X81" i="13"/>
  <c r="AG81" i="13" s="1"/>
  <c r="X114" i="13"/>
  <c r="AG114" i="13" s="1"/>
  <c r="X160" i="13"/>
  <c r="AG160" i="13" s="1"/>
  <c r="X271" i="13"/>
  <c r="AG271" i="13" s="1"/>
  <c r="X141" i="13"/>
  <c r="X147" i="13"/>
  <c r="AG147" i="13" s="1"/>
  <c r="X152" i="13"/>
  <c r="AG152" i="13" s="1"/>
  <c r="X166" i="13"/>
  <c r="X135" i="13"/>
  <c r="X185" i="13"/>
  <c r="AG185" i="13" s="1"/>
  <c r="X291" i="13"/>
  <c r="AG291" i="13" s="1"/>
  <c r="X216" i="13"/>
  <c r="AG216" i="13" s="1"/>
  <c r="X296" i="13"/>
  <c r="AG296" i="13" s="1"/>
  <c r="X278" i="13"/>
  <c r="X351" i="13"/>
  <c r="AG351" i="13" s="1"/>
  <c r="X262" i="13"/>
  <c r="X368" i="13"/>
  <c r="X386" i="13"/>
  <c r="AG386" i="13" s="1"/>
  <c r="X404" i="13"/>
  <c r="AG404" i="13" s="1"/>
  <c r="X293" i="13"/>
  <c r="AG293" i="13" s="1"/>
  <c r="X328" i="13"/>
  <c r="AG328" i="13" s="1"/>
  <c r="X414" i="13"/>
  <c r="AG414" i="13" s="1"/>
  <c r="X245" i="13"/>
  <c r="AG245" i="13" s="1"/>
  <c r="X273" i="13"/>
  <c r="AG273" i="13" s="1"/>
  <c r="X350" i="13"/>
  <c r="AG350" i="13" s="1"/>
  <c r="X385" i="13"/>
  <c r="AG385" i="13" s="1"/>
  <c r="X408" i="13"/>
  <c r="AG408" i="13" s="1"/>
  <c r="X395" i="13"/>
  <c r="AG395" i="13" s="1"/>
  <c r="X402" i="13"/>
  <c r="AG402" i="13" s="1"/>
  <c r="X415" i="13"/>
  <c r="AG415" i="13" s="1"/>
  <c r="X383" i="13"/>
  <c r="AG383" i="13" s="1"/>
  <c r="X399" i="13"/>
  <c r="AG399" i="13" s="1"/>
  <c r="X431" i="13"/>
  <c r="AG431" i="13" s="1"/>
  <c r="X28" i="13"/>
  <c r="X64" i="13"/>
  <c r="X88" i="13"/>
  <c r="X109" i="13"/>
  <c r="X120" i="13"/>
  <c r="X133" i="13"/>
  <c r="X151" i="13"/>
  <c r="X157" i="13"/>
  <c r="X170" i="13"/>
  <c r="X175" i="13"/>
  <c r="X217" i="13"/>
  <c r="X249" i="13"/>
  <c r="X276" i="13"/>
  <c r="X288" i="13"/>
  <c r="X306" i="13"/>
  <c r="X323" i="13"/>
  <c r="X353" i="13"/>
  <c r="X410" i="13"/>
  <c r="X10" i="13"/>
  <c r="X40" i="13"/>
  <c r="X61" i="13"/>
  <c r="X85" i="13"/>
  <c r="X140" i="13"/>
  <c r="X425" i="13"/>
  <c r="X136" i="13"/>
  <c r="X118" i="13"/>
  <c r="AG118" i="13" s="1"/>
  <c r="X379" i="13"/>
  <c r="AG379" i="13" s="1"/>
  <c r="X198" i="13"/>
  <c r="X221" i="13"/>
  <c r="AG221" i="13" s="1"/>
  <c r="X225" i="13"/>
  <c r="AG225" i="13" s="1"/>
  <c r="X373" i="13"/>
  <c r="AG373" i="13" s="1"/>
  <c r="X208" i="13"/>
  <c r="AG208" i="13" s="1"/>
  <c r="X367" i="13"/>
  <c r="AG367" i="13" s="1"/>
  <c r="X223" i="13"/>
  <c r="AG223" i="13" s="1"/>
  <c r="X56" i="13"/>
  <c r="AG56" i="13" s="1"/>
  <c r="X193" i="13"/>
  <c r="X212" i="13"/>
  <c r="AG212" i="13" s="1"/>
  <c r="X322" i="13"/>
  <c r="AG322" i="13" s="1"/>
  <c r="X71" i="13"/>
  <c r="X124" i="13"/>
  <c r="AG124" i="13" s="1"/>
  <c r="X202" i="13"/>
  <c r="X229" i="13"/>
  <c r="AG229" i="13" s="1"/>
  <c r="X321" i="13"/>
  <c r="AG321" i="13" s="1"/>
  <c r="X427" i="13"/>
  <c r="AG427" i="13" s="1"/>
  <c r="X110" i="13"/>
  <c r="AG110" i="13" s="1"/>
  <c r="X203" i="13"/>
  <c r="AG203" i="13" s="1"/>
  <c r="X228" i="13"/>
  <c r="X269" i="13"/>
  <c r="AG269" i="13" s="1"/>
  <c r="X436" i="13"/>
  <c r="X226" i="13"/>
  <c r="AG226" i="13" s="1"/>
  <c r="X337" i="13"/>
  <c r="AG337" i="13" s="1"/>
  <c r="X412" i="13"/>
  <c r="X8" i="13"/>
  <c r="X44" i="13"/>
  <c r="AG44" i="13" s="1"/>
  <c r="X92" i="13"/>
  <c r="AG92" i="13" s="1"/>
  <c r="X131" i="13"/>
  <c r="AG131" i="13" s="1"/>
  <c r="X180" i="13"/>
  <c r="AG180" i="13" s="1"/>
  <c r="X330" i="13"/>
  <c r="AG330" i="13" s="1"/>
  <c r="X320" i="13"/>
  <c r="AG320" i="13" s="1"/>
  <c r="X339" i="13"/>
  <c r="X433" i="13"/>
  <c r="AG433" i="13" s="1"/>
  <c r="X318" i="13"/>
  <c r="AG318" i="13" s="1"/>
  <c r="X429" i="13"/>
  <c r="AG429" i="13" s="1"/>
  <c r="X312" i="13"/>
  <c r="AG312" i="13" s="1"/>
  <c r="X382" i="13"/>
  <c r="AG382" i="13" s="1"/>
  <c r="X57" i="13"/>
  <c r="AG57" i="13" s="1"/>
  <c r="X128" i="13"/>
  <c r="AG128" i="13" s="1"/>
  <c r="X12" i="13"/>
  <c r="AG12" i="13" s="1"/>
  <c r="X63" i="13"/>
  <c r="X60" i="13"/>
  <c r="AG60" i="13" s="1"/>
  <c r="X96" i="13"/>
  <c r="X132" i="13"/>
  <c r="AG132" i="13" s="1"/>
  <c r="X210" i="13"/>
  <c r="AG210" i="13" s="1"/>
  <c r="X163" i="13"/>
  <c r="AG163" i="13" s="1"/>
  <c r="X186" i="13"/>
  <c r="AG186" i="13" s="1"/>
  <c r="X167" i="13"/>
  <c r="X176" i="13"/>
  <c r="X333" i="13"/>
  <c r="AG333" i="13" s="1"/>
  <c r="X244" i="13"/>
  <c r="AG244" i="13" s="1"/>
  <c r="X274" i="13"/>
  <c r="AG274" i="13" s="1"/>
  <c r="X194" i="13"/>
  <c r="AG194" i="13" s="1"/>
  <c r="X189" i="13"/>
  <c r="AG189" i="13" s="1"/>
  <c r="X242" i="13"/>
  <c r="X260" i="13"/>
  <c r="AG260" i="13" s="1"/>
  <c r="X371" i="13"/>
  <c r="AG371" i="13" s="1"/>
  <c r="X405" i="13"/>
  <c r="AG405" i="13" s="1"/>
  <c r="X197" i="13"/>
  <c r="AG197" i="13" s="1"/>
  <c r="X247" i="13"/>
  <c r="AG247" i="13" s="1"/>
  <c r="X290" i="13"/>
  <c r="AG290" i="13" s="1"/>
  <c r="X407" i="13"/>
  <c r="AG407" i="13" s="1"/>
  <c r="X446" i="13"/>
  <c r="AG446" i="13" s="1"/>
  <c r="X377" i="13"/>
  <c r="AG377" i="13" s="1"/>
  <c r="X375" i="13"/>
  <c r="AG375" i="13" s="1"/>
  <c r="X391" i="13"/>
  <c r="AG391" i="13" s="1"/>
  <c r="X411" i="13"/>
  <c r="AG411" i="13" s="1"/>
  <c r="X422" i="13"/>
  <c r="AG422" i="13" s="1"/>
  <c r="X406" i="13"/>
  <c r="AG406" i="13" s="1"/>
  <c r="X437" i="13"/>
  <c r="AG437" i="13" s="1"/>
  <c r="X444" i="13"/>
  <c r="X443" i="13"/>
  <c r="AG443" i="13" s="1"/>
  <c r="X440" i="13"/>
  <c r="X37" i="13"/>
  <c r="X70" i="13"/>
  <c r="X97" i="13"/>
  <c r="X112" i="13"/>
  <c r="X123" i="13"/>
  <c r="X137" i="13"/>
  <c r="X153" i="13"/>
  <c r="X159" i="13"/>
  <c r="X172" i="13"/>
  <c r="X178" i="13"/>
  <c r="X235" i="13"/>
  <c r="X255" i="13"/>
  <c r="X279" i="13"/>
  <c r="X294" i="13"/>
  <c r="X311" i="13"/>
  <c r="X329" i="13"/>
  <c r="X366" i="13"/>
  <c r="X19" i="13"/>
  <c r="X43" i="13"/>
  <c r="X67" i="13"/>
  <c r="X91" i="13"/>
  <c r="X381" i="13"/>
  <c r="X16" i="13"/>
  <c r="X372" i="13"/>
  <c r="X270" i="13"/>
  <c r="AG270" i="13" s="1"/>
  <c r="X80" i="13"/>
  <c r="X171" i="13"/>
  <c r="AG171" i="13" s="1"/>
  <c r="X98" i="13"/>
  <c r="AG98" i="13" s="1"/>
  <c r="X143" i="13"/>
  <c r="AG143" i="13" s="1"/>
  <c r="X239" i="13"/>
  <c r="AG239" i="13" s="1"/>
  <c r="X187" i="13"/>
  <c r="AG187" i="13" s="1"/>
  <c r="X227" i="13"/>
  <c r="AG227" i="13" s="1"/>
  <c r="X234" i="13"/>
  <c r="AG234" i="13" s="1"/>
  <c r="X438" i="13"/>
  <c r="X41" i="13"/>
  <c r="AG41" i="13" s="1"/>
  <c r="X14" i="13"/>
  <c r="AG14" i="13" s="1"/>
  <c r="X275" i="13"/>
  <c r="AG275" i="13" s="1"/>
  <c r="X236" i="13"/>
  <c r="AG236" i="13" s="1"/>
  <c r="X335" i="13"/>
  <c r="AG335" i="13" s="1"/>
  <c r="X430" i="13"/>
  <c r="AG430" i="13" s="1"/>
  <c r="X101" i="13"/>
  <c r="AG101" i="13" s="1"/>
  <c r="X418" i="13"/>
  <c r="AG418" i="13" s="1"/>
  <c r="X442" i="13"/>
  <c r="AG442" i="13" s="1"/>
  <c r="X15" i="13"/>
  <c r="AG15" i="13" s="1"/>
  <c r="X119" i="13"/>
  <c r="AG119" i="13" s="1"/>
  <c r="X149" i="13"/>
  <c r="X169" i="13"/>
  <c r="AG169" i="13" s="1"/>
  <c r="X264" i="13"/>
  <c r="AG264" i="13" s="1"/>
  <c r="X310" i="13"/>
  <c r="AG310" i="13" s="1"/>
  <c r="X308" i="13"/>
  <c r="X380" i="13"/>
  <c r="X389" i="13"/>
  <c r="AG389" i="13" s="1"/>
  <c r="X254" i="13"/>
  <c r="AG254" i="13" s="1"/>
  <c r="X428" i="13"/>
  <c r="X65" i="13"/>
  <c r="AG65" i="13" s="1"/>
  <c r="X95" i="13"/>
  <c r="X17" i="13"/>
  <c r="AG17" i="13" s="1"/>
  <c r="X349" i="13"/>
  <c r="AG349" i="13" s="1"/>
  <c r="X307" i="13"/>
  <c r="AG307" i="13" s="1"/>
  <c r="X283" i="13"/>
  <c r="X352" i="13"/>
  <c r="AG352" i="13" s="1"/>
  <c r="X298" i="13"/>
  <c r="AG298" i="13" s="1"/>
  <c r="X111" i="13"/>
  <c r="AG111" i="13" s="1"/>
  <c r="X108" i="13"/>
  <c r="AG108" i="13" s="1"/>
  <c r="X122" i="13"/>
  <c r="AG122" i="13" s="1"/>
  <c r="X6" i="13"/>
  <c r="AG6" i="13" s="1"/>
  <c r="X144" i="13"/>
  <c r="AG144" i="13" s="1"/>
  <c r="X224" i="13"/>
  <c r="AG224" i="13" s="1"/>
  <c r="X237" i="13"/>
  <c r="AG237" i="13" s="1"/>
  <c r="X238" i="13"/>
  <c r="AG238" i="13" s="1"/>
  <c r="X241" i="13"/>
  <c r="AG241" i="13" s="1"/>
  <c r="X83" i="13"/>
  <c r="AG83" i="13" s="1"/>
  <c r="X23" i="13"/>
  <c r="AG23" i="13" s="1"/>
  <c r="X74" i="13"/>
  <c r="AG74" i="13" s="1"/>
  <c r="X277" i="13"/>
  <c r="AG277" i="13" s="1"/>
  <c r="X220" i="13"/>
  <c r="X336" i="13"/>
  <c r="AG336" i="13" s="1"/>
  <c r="X324" i="13"/>
  <c r="AG324" i="13" s="1"/>
  <c r="X42" i="13"/>
  <c r="AG42" i="13" s="1"/>
  <c r="X72" i="13"/>
  <c r="AG72" i="13" s="1"/>
  <c r="X87" i="13"/>
  <c r="AG87" i="13" s="1"/>
  <c r="X84" i="13"/>
  <c r="AG84" i="13" s="1"/>
  <c r="X138" i="13"/>
  <c r="X231" i="13"/>
  <c r="AG231" i="13" s="1"/>
  <c r="X364" i="13"/>
  <c r="AG364" i="13" s="1"/>
  <c r="X374" i="13"/>
  <c r="AG374" i="13" s="1"/>
  <c r="X435" i="13"/>
  <c r="AG435" i="13" s="1"/>
  <c r="X445" i="13"/>
  <c r="AG445" i="13" s="1"/>
  <c r="X315" i="13"/>
  <c r="AG315" i="13" s="1"/>
  <c r="X68" i="13"/>
  <c r="AG68" i="13" s="1"/>
  <c r="X59" i="13"/>
  <c r="AG59" i="13" s="1"/>
  <c r="X205" i="13"/>
  <c r="AG205" i="13" s="1"/>
  <c r="X327" i="13"/>
  <c r="AG327" i="13" s="1"/>
  <c r="X267" i="13"/>
  <c r="X150" i="13"/>
  <c r="AG150" i="13" s="1"/>
  <c r="X243" i="13"/>
  <c r="AG243" i="13" s="1"/>
  <c r="X252" i="13"/>
  <c r="AG252" i="13" s="1"/>
  <c r="X196" i="13"/>
  <c r="AG196" i="13" s="1"/>
  <c r="X289" i="13"/>
  <c r="AG289" i="13" s="1"/>
  <c r="X394" i="13"/>
  <c r="AG394" i="13" s="1"/>
  <c r="X39" i="13"/>
  <c r="AG39" i="13" s="1"/>
  <c r="X36" i="13"/>
  <c r="X51" i="13"/>
  <c r="AG51" i="13" s="1"/>
  <c r="X48" i="13"/>
  <c r="AG48" i="13" s="1"/>
  <c r="X45" i="13"/>
  <c r="AG45" i="13" s="1"/>
  <c r="X155" i="13"/>
  <c r="AG155" i="13" s="1"/>
  <c r="X190" i="13"/>
  <c r="AG190" i="13" s="1"/>
  <c r="X222" i="13"/>
  <c r="AG222" i="13" s="1"/>
  <c r="X341" i="13"/>
  <c r="AG341" i="13" s="1"/>
  <c r="X413" i="13"/>
  <c r="AG413" i="13" s="1"/>
  <c r="X398" i="13"/>
  <c r="AG398" i="13" s="1"/>
  <c r="D21" i="31"/>
  <c r="D22" i="31"/>
  <c r="D23" i="31"/>
  <c r="I37" i="31"/>
  <c r="AD5" i="13"/>
  <c r="Q24" i="31"/>
  <c r="Q26" i="31" s="1"/>
  <c r="O26" i="31"/>
  <c r="K33" i="31"/>
  <c r="K35" i="31" s="1"/>
  <c r="K37" i="31" s="1"/>
  <c r="M29" i="31"/>
  <c r="E39" i="31"/>
  <c r="E38" i="31"/>
  <c r="E41" i="31"/>
  <c r="E40" i="31"/>
  <c r="D25" i="31"/>
  <c r="D31" i="31"/>
  <c r="D30" i="31"/>
  <c r="D32" i="31"/>
  <c r="AG380" i="13" l="1"/>
  <c r="AG412" i="13"/>
  <c r="AG13" i="13"/>
  <c r="AG31" i="13"/>
  <c r="AG49" i="13"/>
  <c r="AG76" i="13"/>
  <c r="AG139" i="13"/>
  <c r="AG162" i="13"/>
  <c r="AG37" i="13"/>
  <c r="AG175" i="13"/>
  <c r="AG300" i="13"/>
  <c r="AG396" i="13"/>
  <c r="AG220" i="13"/>
  <c r="AG283" i="13"/>
  <c r="AG95" i="13"/>
  <c r="AG440" i="13"/>
  <c r="AG176" i="13"/>
  <c r="AG63" i="13"/>
  <c r="AG8" i="13"/>
  <c r="AG436" i="13"/>
  <c r="AG202" i="13"/>
  <c r="AG278" i="13"/>
  <c r="AG250" i="13"/>
  <c r="AG295" i="13"/>
  <c r="AG392" i="13"/>
  <c r="AG424" i="13"/>
  <c r="AG192" i="13"/>
  <c r="AG343" i="13"/>
  <c r="AG130" i="13"/>
  <c r="AG292" i="13"/>
  <c r="AG26" i="13"/>
  <c r="AG432" i="13"/>
  <c r="AG134" i="13"/>
  <c r="AG286" i="13"/>
  <c r="AG287" i="13"/>
  <c r="AG73" i="13"/>
  <c r="AG82" i="13"/>
  <c r="AG115" i="13"/>
  <c r="AG123" i="13"/>
  <c r="AG140" i="13"/>
  <c r="AG55" i="13"/>
  <c r="AG64" i="13"/>
  <c r="AG97" i="13"/>
  <c r="AG106" i="13"/>
  <c r="AG129" i="13"/>
  <c r="AG137" i="13"/>
  <c r="AG151" i="13"/>
  <c r="AG178" i="13"/>
  <c r="AG297" i="13"/>
  <c r="AG159" i="13"/>
  <c r="AG285" i="13"/>
  <c r="AG294" i="13"/>
  <c r="AG381" i="13"/>
  <c r="AG401" i="13"/>
  <c r="AG409" i="13"/>
  <c r="AG425" i="13"/>
  <c r="AG167" i="13"/>
  <c r="AG368" i="13"/>
  <c r="AG141" i="13"/>
  <c r="AG319" i="13"/>
  <c r="AG148" i="13"/>
  <c r="AG388" i="13"/>
  <c r="AG183" i="13"/>
  <c r="AG158" i="13"/>
  <c r="AG420" i="13"/>
  <c r="AG184" i="13"/>
  <c r="AG211" i="13"/>
  <c r="AG357" i="13"/>
  <c r="AG362" i="13"/>
  <c r="AG22" i="13"/>
  <c r="AG40" i="13"/>
  <c r="AG67" i="13"/>
  <c r="AG109" i="13"/>
  <c r="AG117" i="13"/>
  <c r="AG142" i="13"/>
  <c r="AG58" i="13"/>
  <c r="AG91" i="13"/>
  <c r="AG153" i="13"/>
  <c r="AG249" i="13"/>
  <c r="AG258" i="13"/>
  <c r="AG282" i="13"/>
  <c r="AG323" i="13"/>
  <c r="AG170" i="13"/>
  <c r="AG179" i="13"/>
  <c r="AG246" i="13"/>
  <c r="AG255" i="13"/>
  <c r="AG279" i="13"/>
  <c r="AG288" i="13"/>
  <c r="AG174" i="13"/>
  <c r="AG344" i="13"/>
  <c r="AG353" i="13"/>
  <c r="AG366" i="13"/>
  <c r="AG378" i="13"/>
  <c r="AG390" i="13"/>
  <c r="AG410" i="13"/>
  <c r="AG438" i="13"/>
  <c r="AG46" i="13"/>
  <c r="E10" i="32"/>
  <c r="F10" i="32" s="1"/>
  <c r="E11" i="32"/>
  <c r="F11" i="32" s="1"/>
  <c r="E9" i="32"/>
  <c r="F9" i="32" s="1"/>
  <c r="G9" i="32" s="1"/>
  <c r="E12" i="32"/>
  <c r="F12" i="32" s="1"/>
  <c r="E14" i="25"/>
  <c r="F14" i="25" s="1"/>
  <c r="E10" i="25"/>
  <c r="F10" i="25" s="1"/>
  <c r="E18" i="22"/>
  <c r="F18" i="22" s="1"/>
  <c r="G18" i="22" s="1"/>
  <c r="E14" i="22"/>
  <c r="F14" i="22" s="1"/>
  <c r="E10" i="22"/>
  <c r="F10" i="22" s="1"/>
  <c r="E13" i="25"/>
  <c r="F13" i="25" s="1"/>
  <c r="E9" i="25"/>
  <c r="F9" i="25" s="1"/>
  <c r="G9" i="25" s="1"/>
  <c r="E17" i="22"/>
  <c r="F17" i="22" s="1"/>
  <c r="E13" i="22"/>
  <c r="F13" i="22" s="1"/>
  <c r="E9" i="22"/>
  <c r="F9" i="22" s="1"/>
  <c r="E16" i="25"/>
  <c r="F16" i="25" s="1"/>
  <c r="G16" i="25" s="1"/>
  <c r="E12" i="25"/>
  <c r="F12" i="25" s="1"/>
  <c r="E20" i="22"/>
  <c r="F20" i="22" s="1"/>
  <c r="E16" i="22"/>
  <c r="F16" i="22" s="1"/>
  <c r="E12" i="22"/>
  <c r="F12" i="22" s="1"/>
  <c r="G12" i="22" s="1"/>
  <c r="E15" i="25"/>
  <c r="F15" i="25" s="1"/>
  <c r="E11" i="22"/>
  <c r="F11" i="22" s="1"/>
  <c r="E11" i="25"/>
  <c r="F11" i="25" s="1"/>
  <c r="E15" i="22"/>
  <c r="F15" i="22" s="1"/>
  <c r="G15" i="22" s="1"/>
  <c r="E19" i="22"/>
  <c r="F19" i="22" s="1"/>
  <c r="AG138" i="13"/>
  <c r="AG339" i="13"/>
  <c r="AG193" i="13"/>
  <c r="AG198" i="13"/>
  <c r="AG135" i="13"/>
  <c r="AG36" i="13"/>
  <c r="AG267" i="13"/>
  <c r="AG428" i="13"/>
  <c r="AG308" i="13"/>
  <c r="AG149" i="13"/>
  <c r="AG80" i="13"/>
  <c r="AG444" i="13"/>
  <c r="AG242" i="13"/>
  <c r="AG96" i="13"/>
  <c r="AG228" i="13"/>
  <c r="AG71" i="13"/>
  <c r="AG262" i="13"/>
  <c r="AG166" i="13"/>
  <c r="AG9" i="13"/>
  <c r="AG105" i="13"/>
  <c r="AG259" i="13"/>
  <c r="AG201" i="13"/>
  <c r="AG113" i="13"/>
  <c r="AG384" i="13"/>
  <c r="AG316" i="13"/>
  <c r="AG27" i="13"/>
  <c r="AG400" i="13"/>
  <c r="AG127" i="13"/>
  <c r="AG52" i="13"/>
  <c r="AG61" i="13"/>
  <c r="AG94" i="13"/>
  <c r="AG103" i="13"/>
  <c r="AG136" i="13"/>
  <c r="AG7" i="13"/>
  <c r="AG16" i="13"/>
  <c r="AG25" i="13"/>
  <c r="AG34" i="13"/>
  <c r="AG43" i="13"/>
  <c r="AG85" i="13"/>
  <c r="AG126" i="13"/>
  <c r="AG133" i="13"/>
  <c r="AG100" i="13"/>
  <c r="AG165" i="13"/>
  <c r="AG173" i="13"/>
  <c r="AG182" i="13"/>
  <c r="AG235" i="13"/>
  <c r="AG276" i="13"/>
  <c r="AG317" i="13"/>
  <c r="AG154" i="13"/>
  <c r="AG172" i="13"/>
  <c r="AG240" i="13"/>
  <c r="AG265" i="13"/>
  <c r="AG306" i="13"/>
  <c r="AG314" i="13"/>
  <c r="AG329" i="13"/>
  <c r="AG419" i="13"/>
  <c r="I39" i="31"/>
  <c r="I41" i="31"/>
  <c r="K41" i="31" s="1"/>
  <c r="I38" i="31"/>
  <c r="K38" i="31" s="1"/>
  <c r="I40" i="31"/>
  <c r="K40" i="31" s="1"/>
  <c r="E36" i="24"/>
  <c r="F36" i="24" s="1"/>
  <c r="E32" i="24"/>
  <c r="F32" i="24" s="1"/>
  <c r="E28" i="24"/>
  <c r="F28" i="24" s="1"/>
  <c r="E24" i="24"/>
  <c r="F24" i="24" s="1"/>
  <c r="E20" i="24"/>
  <c r="F20" i="24" s="1"/>
  <c r="E16" i="24"/>
  <c r="F16" i="24" s="1"/>
  <c r="E12" i="24"/>
  <c r="F12" i="24" s="1"/>
  <c r="E25" i="24"/>
  <c r="F25" i="24" s="1"/>
  <c r="E17" i="24"/>
  <c r="F17" i="24" s="1"/>
  <c r="E35" i="24"/>
  <c r="F35" i="24" s="1"/>
  <c r="E31" i="24"/>
  <c r="F31" i="24" s="1"/>
  <c r="E27" i="24"/>
  <c r="F27" i="24" s="1"/>
  <c r="E23" i="24"/>
  <c r="F23" i="24" s="1"/>
  <c r="E19" i="24"/>
  <c r="F19" i="24" s="1"/>
  <c r="E15" i="24"/>
  <c r="F15" i="24" s="1"/>
  <c r="E11" i="24"/>
  <c r="F11" i="24" s="1"/>
  <c r="E33" i="24"/>
  <c r="F33" i="24" s="1"/>
  <c r="E13" i="24"/>
  <c r="F13" i="24" s="1"/>
  <c r="E34" i="24"/>
  <c r="F34" i="24" s="1"/>
  <c r="E30" i="24"/>
  <c r="F30" i="24" s="1"/>
  <c r="E26" i="24"/>
  <c r="F26" i="24" s="1"/>
  <c r="E22" i="24"/>
  <c r="F22" i="24" s="1"/>
  <c r="E18" i="24"/>
  <c r="F18" i="24" s="1"/>
  <c r="E14" i="24"/>
  <c r="F14" i="24" s="1"/>
  <c r="E29" i="24"/>
  <c r="E21" i="24"/>
  <c r="F21" i="24" s="1"/>
  <c r="E10" i="24"/>
  <c r="F10" i="24" s="1"/>
  <c r="E9" i="24"/>
  <c r="F9" i="24" s="1"/>
  <c r="F29" i="24"/>
  <c r="K39" i="31"/>
  <c r="O29" i="31"/>
  <c r="M33" i="31"/>
  <c r="M35" i="31" s="1"/>
  <c r="M37" i="31" s="1"/>
  <c r="G11" i="25" l="1"/>
  <c r="G16" i="22"/>
  <c r="G9" i="22"/>
  <c r="G13" i="25"/>
  <c r="G10" i="25"/>
  <c r="G11" i="32"/>
  <c r="G11" i="22"/>
  <c r="G20" i="22"/>
  <c r="G13" i="22"/>
  <c r="G10" i="22"/>
  <c r="G14" i="25"/>
  <c r="G10" i="32"/>
  <c r="H10" i="32" s="1"/>
  <c r="G19" i="22"/>
  <c r="G15" i="25"/>
  <c r="G12" i="25"/>
  <c r="G17" i="22"/>
  <c r="G14" i="22"/>
  <c r="G12" i="32"/>
  <c r="G15" i="24"/>
  <c r="G13" i="24"/>
  <c r="G29" i="24"/>
  <c r="G11" i="24"/>
  <c r="G16" i="24"/>
  <c r="G32" i="24"/>
  <c r="G31" i="24"/>
  <c r="G18" i="24"/>
  <c r="G34" i="24"/>
  <c r="G23" i="24"/>
  <c r="G20" i="24"/>
  <c r="G36" i="24"/>
  <c r="G27" i="24"/>
  <c r="G17" i="24"/>
  <c r="G33" i="24"/>
  <c r="G22" i="24"/>
  <c r="G9" i="24"/>
  <c r="G21" i="24"/>
  <c r="G26" i="24"/>
  <c r="G35" i="24"/>
  <c r="G24" i="24"/>
  <c r="G12" i="24"/>
  <c r="G28" i="24"/>
  <c r="G10" i="24"/>
  <c r="G25" i="24"/>
  <c r="G19" i="24"/>
  <c r="G14" i="24"/>
  <c r="G30" i="24"/>
  <c r="M38" i="31"/>
  <c r="M41" i="31"/>
  <c r="M40" i="31"/>
  <c r="M39" i="31"/>
  <c r="O33" i="31"/>
  <c r="O35" i="31" s="1"/>
  <c r="O37" i="31" s="1"/>
  <c r="H15" i="22" s="1"/>
  <c r="Q29" i="31"/>
  <c r="Q33" i="31" s="1"/>
  <c r="Q35" i="31" s="1"/>
  <c r="H12" i="32" l="1"/>
  <c r="H15" i="25"/>
  <c r="H11" i="32"/>
  <c r="H16" i="22"/>
  <c r="I16" i="22" s="1"/>
  <c r="H20" i="22"/>
  <c r="H14" i="22"/>
  <c r="I14" i="22" s="1"/>
  <c r="H19" i="22"/>
  <c r="H14" i="25"/>
  <c r="H11" i="22"/>
  <c r="H10" i="25"/>
  <c r="I10" i="25" s="1"/>
  <c r="H11" i="25"/>
  <c r="H17" i="22"/>
  <c r="H9" i="25"/>
  <c r="H10" i="22"/>
  <c r="H18" i="22"/>
  <c r="H13" i="25"/>
  <c r="H9" i="32"/>
  <c r="I10" i="32"/>
  <c r="H12" i="25"/>
  <c r="H12" i="22"/>
  <c r="H13" i="22"/>
  <c r="H16" i="25"/>
  <c r="I16" i="25" s="1"/>
  <c r="H9" i="22"/>
  <c r="Q37" i="31"/>
  <c r="I15" i="22" s="1"/>
  <c r="H30" i="24"/>
  <c r="H25" i="24"/>
  <c r="H28" i="24"/>
  <c r="H35" i="24"/>
  <c r="H26" i="24"/>
  <c r="H21" i="24"/>
  <c r="H9" i="24"/>
  <c r="H16" i="24"/>
  <c r="H19" i="24"/>
  <c r="H33" i="24"/>
  <c r="H36" i="24"/>
  <c r="H24" i="24"/>
  <c r="H11" i="24"/>
  <c r="H29" i="24"/>
  <c r="H22" i="24"/>
  <c r="H17" i="24"/>
  <c r="H20" i="24"/>
  <c r="H34" i="24"/>
  <c r="H13" i="24"/>
  <c r="H32" i="24"/>
  <c r="H27" i="24"/>
  <c r="H18" i="24"/>
  <c r="H14" i="24"/>
  <c r="H10" i="24"/>
  <c r="H12" i="24"/>
  <c r="H15" i="24"/>
  <c r="H23" i="24"/>
  <c r="H31" i="24"/>
  <c r="O40" i="31"/>
  <c r="O41" i="31"/>
  <c r="O39" i="31"/>
  <c r="O38" i="31"/>
  <c r="I13" i="25" l="1"/>
  <c r="I17" i="22"/>
  <c r="I11" i="22"/>
  <c r="I9" i="22"/>
  <c r="I12" i="25"/>
  <c r="I18" i="22"/>
  <c r="I20" i="22"/>
  <c r="I13" i="22"/>
  <c r="I15" i="25"/>
  <c r="I10" i="22"/>
  <c r="I12" i="32"/>
  <c r="I14" i="25"/>
  <c r="I11" i="32"/>
  <c r="I12" i="22"/>
  <c r="I9" i="32"/>
  <c r="I9" i="25"/>
  <c r="I11" i="25"/>
  <c r="I19" i="22"/>
  <c r="I34" i="24"/>
  <c r="I32" i="24"/>
  <c r="Q39" i="31"/>
  <c r="I23" i="24"/>
  <c r="I10" i="24"/>
  <c r="I21" i="24"/>
  <c r="I14" i="24"/>
  <c r="I20" i="24"/>
  <c r="I11" i="24"/>
  <c r="I19" i="24"/>
  <c r="Q40" i="31"/>
  <c r="I18" i="24"/>
  <c r="I17" i="24"/>
  <c r="I24" i="24"/>
  <c r="I36" i="24"/>
  <c r="Q41" i="31"/>
  <c r="I31" i="24"/>
  <c r="I35" i="24"/>
  <c r="I22" i="24"/>
  <c r="I33" i="24"/>
  <c r="I16" i="24"/>
  <c r="I28" i="24"/>
  <c r="I15" i="24"/>
  <c r="I27" i="24"/>
  <c r="I30" i="24"/>
  <c r="I29" i="24"/>
  <c r="Q38" i="31"/>
  <c r="I12" i="24"/>
  <c r="I13" i="24"/>
  <c r="I9" i="24"/>
  <c r="I25" i="24"/>
  <c r="I26" i="24"/>
  <c r="D306" i="13"/>
  <c r="D307" i="13"/>
  <c r="D308" i="13"/>
  <c r="D309" i="13"/>
  <c r="D310" i="13"/>
  <c r="E306" i="13"/>
  <c r="E307" i="13"/>
  <c r="E308" i="13"/>
  <c r="E309" i="13"/>
  <c r="E310" i="13"/>
  <c r="D305" i="13" l="1"/>
  <c r="E305" i="13"/>
  <c r="U5" i="13" l="1"/>
  <c r="Z5" i="13"/>
  <c r="AA5" i="13" s="1"/>
  <c r="D100" i="13"/>
  <c r="E100" i="13"/>
  <c r="D53" i="13"/>
  <c r="E53" i="13"/>
  <c r="D54" i="13"/>
  <c r="E54" i="13"/>
  <c r="D55" i="13"/>
  <c r="E55" i="13"/>
  <c r="D56" i="13"/>
  <c r="E56" i="13"/>
  <c r="D57" i="13"/>
  <c r="E57" i="13"/>
  <c r="D58" i="13"/>
  <c r="E58" i="13"/>
  <c r="D59" i="13"/>
  <c r="E59" i="13"/>
  <c r="D60" i="13"/>
  <c r="E60" i="13"/>
  <c r="D61" i="13"/>
  <c r="E61" i="13"/>
  <c r="D62" i="13"/>
  <c r="E62" i="13"/>
  <c r="D63" i="13"/>
  <c r="E63" i="13"/>
  <c r="D64" i="13"/>
  <c r="E64" i="13"/>
  <c r="D65" i="13"/>
  <c r="E65" i="13"/>
  <c r="D66" i="13"/>
  <c r="E66" i="13"/>
  <c r="D67" i="13"/>
  <c r="E67" i="13"/>
  <c r="D68" i="13"/>
  <c r="E68" i="13"/>
  <c r="D69" i="13"/>
  <c r="E69" i="13"/>
  <c r="D70" i="13"/>
  <c r="E70" i="13"/>
  <c r="D71" i="13"/>
  <c r="E71" i="13"/>
  <c r="D72" i="13"/>
  <c r="E72" i="13"/>
  <c r="D73" i="13"/>
  <c r="E73" i="13"/>
  <c r="D74" i="13"/>
  <c r="E74" i="13"/>
  <c r="D75" i="13"/>
  <c r="E75" i="13"/>
  <c r="D76" i="13"/>
  <c r="E76" i="13"/>
  <c r="D77" i="13"/>
  <c r="E77" i="13"/>
  <c r="D78" i="13"/>
  <c r="E78" i="13"/>
  <c r="D79" i="13"/>
  <c r="E79" i="13"/>
  <c r="D80" i="13"/>
  <c r="E80" i="13"/>
  <c r="D81" i="13"/>
  <c r="E81" i="13"/>
  <c r="D82" i="13"/>
  <c r="E82" i="13"/>
  <c r="D83" i="13"/>
  <c r="E83" i="13"/>
  <c r="D84" i="13"/>
  <c r="E84" i="13"/>
  <c r="D85" i="13"/>
  <c r="E85" i="13"/>
  <c r="D86" i="13"/>
  <c r="E86" i="13"/>
  <c r="D87" i="13"/>
  <c r="E87" i="13"/>
  <c r="D88" i="13"/>
  <c r="E88" i="13"/>
  <c r="D89" i="13"/>
  <c r="E89" i="13"/>
  <c r="D90" i="13"/>
  <c r="E90" i="13"/>
  <c r="D91" i="13"/>
  <c r="E91" i="13"/>
  <c r="D92" i="13"/>
  <c r="E92" i="13"/>
  <c r="D93" i="13"/>
  <c r="E93" i="13"/>
  <c r="D94" i="13"/>
  <c r="E94" i="13"/>
  <c r="D95" i="13"/>
  <c r="E95" i="13"/>
  <c r="D96" i="13"/>
  <c r="E96" i="13"/>
  <c r="D97" i="13"/>
  <c r="E97" i="13"/>
  <c r="D98" i="13"/>
  <c r="E98" i="13"/>
  <c r="D99" i="13"/>
  <c r="E99" i="13"/>
  <c r="D101" i="13"/>
  <c r="E101" i="13"/>
  <c r="D102" i="13"/>
  <c r="E102" i="13"/>
  <c r="D103" i="13"/>
  <c r="E103" i="13"/>
  <c r="D104" i="13"/>
  <c r="E104" i="13"/>
  <c r="D105" i="13"/>
  <c r="E105" i="13"/>
  <c r="D106" i="13"/>
  <c r="E106" i="13"/>
  <c r="D107" i="13"/>
  <c r="E107" i="13"/>
  <c r="D108" i="13"/>
  <c r="E108" i="13"/>
  <c r="D109" i="13"/>
  <c r="E109" i="13"/>
  <c r="D110" i="13"/>
  <c r="E110" i="13"/>
  <c r="D111" i="13"/>
  <c r="E111" i="13"/>
  <c r="D112" i="13"/>
  <c r="E112" i="13"/>
  <c r="D116" i="13"/>
  <c r="E116" i="13"/>
  <c r="D117" i="13"/>
  <c r="E117" i="13"/>
  <c r="D118" i="13"/>
  <c r="E118" i="13"/>
  <c r="D119" i="13"/>
  <c r="E119" i="13"/>
  <c r="D120" i="13"/>
  <c r="E120" i="13"/>
  <c r="D121" i="13"/>
  <c r="E121" i="13"/>
  <c r="D122" i="13"/>
  <c r="E122" i="13"/>
  <c r="D123" i="13"/>
  <c r="E123" i="13"/>
  <c r="D124" i="13"/>
  <c r="E124" i="13"/>
  <c r="D125" i="13"/>
  <c r="E125" i="13"/>
  <c r="D126" i="13"/>
  <c r="E126" i="13"/>
  <c r="D127" i="13"/>
  <c r="E127" i="13"/>
  <c r="D128" i="13"/>
  <c r="E128" i="13"/>
  <c r="D129" i="13"/>
  <c r="E129" i="13"/>
  <c r="D130" i="13"/>
  <c r="E130" i="13"/>
  <c r="D131" i="13"/>
  <c r="E131" i="13"/>
  <c r="D132" i="13"/>
  <c r="E132" i="13"/>
  <c r="D133" i="13"/>
  <c r="E133" i="13"/>
  <c r="D134" i="13"/>
  <c r="E134" i="13"/>
  <c r="D135" i="13"/>
  <c r="E135" i="13"/>
  <c r="D136" i="13"/>
  <c r="E136" i="13"/>
  <c r="D137" i="13"/>
  <c r="E137" i="13"/>
  <c r="D138" i="13"/>
  <c r="E138" i="13"/>
  <c r="D139" i="13"/>
  <c r="E139" i="13"/>
  <c r="D140" i="13"/>
  <c r="E140" i="13"/>
  <c r="D141" i="13"/>
  <c r="E141" i="13"/>
  <c r="D142" i="13"/>
  <c r="E142" i="13"/>
  <c r="D143" i="13"/>
  <c r="E143" i="13"/>
  <c r="D144" i="13"/>
  <c r="E144" i="13"/>
  <c r="D145" i="13"/>
  <c r="E145" i="13"/>
  <c r="D146" i="13"/>
  <c r="E146" i="13"/>
  <c r="D147" i="13"/>
  <c r="E147" i="13"/>
  <c r="D148" i="13"/>
  <c r="E148" i="13"/>
  <c r="D149" i="13"/>
  <c r="E149" i="13"/>
  <c r="D150" i="13"/>
  <c r="E150" i="13"/>
  <c r="D151" i="13"/>
  <c r="E151" i="13"/>
  <c r="D152" i="13"/>
  <c r="E152" i="13"/>
  <c r="D153" i="13"/>
  <c r="E153" i="13"/>
  <c r="D154" i="13"/>
  <c r="E154" i="13"/>
  <c r="D155" i="13"/>
  <c r="E155" i="13"/>
  <c r="D156" i="13"/>
  <c r="E156" i="13"/>
  <c r="D157" i="13"/>
  <c r="E157" i="13"/>
  <c r="D158" i="13"/>
  <c r="E158" i="13"/>
  <c r="D159" i="13"/>
  <c r="E159" i="13"/>
  <c r="D160" i="13"/>
  <c r="E160" i="13"/>
  <c r="D161" i="13"/>
  <c r="E161" i="13"/>
  <c r="D162" i="13"/>
  <c r="E162" i="13"/>
  <c r="D163" i="13"/>
  <c r="E163" i="13"/>
  <c r="D164" i="13"/>
  <c r="E164" i="13"/>
  <c r="D165" i="13"/>
  <c r="E165" i="13"/>
  <c r="D166" i="13"/>
  <c r="E166" i="13"/>
  <c r="D167" i="13"/>
  <c r="E167" i="13"/>
  <c r="D168" i="13"/>
  <c r="E168" i="13"/>
  <c r="D169" i="13"/>
  <c r="E169" i="13"/>
  <c r="D170" i="13"/>
  <c r="E170" i="13"/>
  <c r="D171" i="13"/>
  <c r="E171" i="13"/>
  <c r="D172" i="13"/>
  <c r="E172" i="13"/>
  <c r="D173" i="13"/>
  <c r="E173" i="13"/>
  <c r="D174" i="13"/>
  <c r="E174" i="13"/>
  <c r="D175" i="13"/>
  <c r="E175" i="13"/>
  <c r="D176" i="13"/>
  <c r="E176" i="13"/>
  <c r="D177" i="13"/>
  <c r="E177" i="13"/>
  <c r="D178" i="13"/>
  <c r="E178" i="13"/>
  <c r="D179" i="13"/>
  <c r="E179" i="13"/>
  <c r="D180" i="13"/>
  <c r="E180" i="13"/>
  <c r="D181" i="13"/>
  <c r="E181" i="13"/>
  <c r="D182" i="13"/>
  <c r="E182" i="13"/>
  <c r="D183" i="13"/>
  <c r="E183" i="13"/>
  <c r="D184" i="13"/>
  <c r="E184" i="13"/>
  <c r="D185" i="13"/>
  <c r="E185" i="13"/>
  <c r="D186" i="13"/>
  <c r="E186" i="13"/>
  <c r="D187" i="13"/>
  <c r="E187" i="13"/>
  <c r="D188" i="13"/>
  <c r="E188" i="13"/>
  <c r="D189" i="13"/>
  <c r="E189" i="13"/>
  <c r="D190" i="13"/>
  <c r="E190" i="13"/>
  <c r="D191" i="13"/>
  <c r="E191" i="13"/>
  <c r="D192" i="13"/>
  <c r="E192" i="13"/>
  <c r="D193" i="13"/>
  <c r="E193" i="13"/>
  <c r="D194" i="13"/>
  <c r="E194" i="13"/>
  <c r="D195" i="13"/>
  <c r="E195" i="13"/>
  <c r="D196" i="13"/>
  <c r="E196" i="13"/>
  <c r="D197" i="13"/>
  <c r="E197" i="13"/>
  <c r="D198" i="13"/>
  <c r="E198" i="13"/>
  <c r="D199" i="13"/>
  <c r="E199" i="13"/>
  <c r="D200" i="13"/>
  <c r="E200" i="13"/>
  <c r="D201" i="13"/>
  <c r="E201" i="13"/>
  <c r="D202" i="13"/>
  <c r="E202" i="13"/>
  <c r="B203" i="13"/>
  <c r="C203" i="13"/>
  <c r="D203" i="13"/>
  <c r="E203" i="13"/>
  <c r="D204" i="13"/>
  <c r="E204" i="13"/>
  <c r="D205" i="13"/>
  <c r="E205" i="13"/>
  <c r="D206" i="13"/>
  <c r="E206" i="13"/>
  <c r="D207" i="13"/>
  <c r="E207" i="13"/>
  <c r="D208" i="13"/>
  <c r="E208" i="13"/>
  <c r="D209" i="13"/>
  <c r="E209" i="13"/>
  <c r="D210" i="13"/>
  <c r="E210" i="13"/>
  <c r="D211" i="13"/>
  <c r="E211" i="13"/>
  <c r="D212" i="13"/>
  <c r="E212" i="13"/>
  <c r="D213" i="13"/>
  <c r="E213" i="13"/>
  <c r="D214" i="13"/>
  <c r="E214" i="13"/>
  <c r="D215" i="13"/>
  <c r="E215" i="13"/>
  <c r="D216" i="13"/>
  <c r="E216" i="13"/>
  <c r="D217" i="13"/>
  <c r="E217" i="13"/>
  <c r="D218" i="13"/>
  <c r="E218" i="13"/>
  <c r="D219" i="13"/>
  <c r="E219" i="13"/>
  <c r="D220" i="13"/>
  <c r="E220" i="13"/>
  <c r="D221" i="13"/>
  <c r="E221" i="13"/>
  <c r="D222" i="13"/>
  <c r="E222" i="13"/>
  <c r="D223" i="13"/>
  <c r="E223" i="13"/>
  <c r="D224" i="13"/>
  <c r="E224" i="13"/>
  <c r="B225" i="13"/>
  <c r="C225" i="13"/>
  <c r="D225" i="13"/>
  <c r="E225" i="13"/>
  <c r="D226" i="13"/>
  <c r="E226" i="13"/>
  <c r="D227" i="13"/>
  <c r="E227" i="13"/>
  <c r="D228" i="13"/>
  <c r="E228" i="13"/>
  <c r="D229" i="13"/>
  <c r="E229" i="13"/>
  <c r="D230" i="13"/>
  <c r="E230" i="13"/>
  <c r="D231" i="13"/>
  <c r="E231" i="13"/>
  <c r="D232" i="13"/>
  <c r="E232" i="13"/>
  <c r="D233" i="13"/>
  <c r="E233" i="13"/>
  <c r="D234" i="13"/>
  <c r="E234" i="13"/>
  <c r="D235" i="13"/>
  <c r="E235" i="13"/>
  <c r="D236" i="13"/>
  <c r="E236" i="13"/>
  <c r="D237" i="13"/>
  <c r="E237" i="13"/>
  <c r="D238" i="13"/>
  <c r="E238" i="13"/>
  <c r="D239" i="13"/>
  <c r="E239" i="13"/>
  <c r="D240" i="13"/>
  <c r="E240" i="13"/>
  <c r="D241" i="13"/>
  <c r="E241" i="13"/>
  <c r="D242" i="13"/>
  <c r="E242" i="13"/>
  <c r="D243" i="13"/>
  <c r="E243" i="13"/>
  <c r="D244" i="13"/>
  <c r="E244" i="13"/>
  <c r="D245" i="13"/>
  <c r="E245" i="13"/>
  <c r="D246" i="13"/>
  <c r="E246" i="13"/>
  <c r="D247" i="13"/>
  <c r="E247" i="13"/>
  <c r="D248" i="13"/>
  <c r="E248" i="13"/>
  <c r="D249" i="13"/>
  <c r="E249" i="13"/>
  <c r="D250" i="13"/>
  <c r="E250" i="13"/>
  <c r="D251" i="13"/>
  <c r="E251" i="13"/>
  <c r="D252" i="13"/>
  <c r="E252" i="13"/>
  <c r="D253" i="13"/>
  <c r="E253" i="13"/>
  <c r="D254" i="13"/>
  <c r="E254" i="13"/>
  <c r="D255" i="13"/>
  <c r="E255" i="13"/>
  <c r="D256" i="13"/>
  <c r="E256" i="13"/>
  <c r="D257" i="13"/>
  <c r="E257" i="13"/>
  <c r="D258" i="13"/>
  <c r="E258" i="13"/>
  <c r="D259" i="13"/>
  <c r="E259" i="13"/>
  <c r="D260" i="13"/>
  <c r="E260" i="13"/>
  <c r="D261" i="13"/>
  <c r="E261" i="13"/>
  <c r="D262" i="13"/>
  <c r="E262" i="13"/>
  <c r="D263" i="13"/>
  <c r="E263" i="13"/>
  <c r="D264" i="13"/>
  <c r="E264" i="13"/>
  <c r="D265" i="13"/>
  <c r="E265" i="13"/>
  <c r="D266" i="13"/>
  <c r="E266" i="13"/>
  <c r="D267" i="13"/>
  <c r="E267" i="13"/>
  <c r="D268" i="13"/>
  <c r="E268" i="13"/>
  <c r="D269" i="13"/>
  <c r="E269" i="13"/>
  <c r="D270" i="13"/>
  <c r="E270" i="13"/>
  <c r="D271" i="13"/>
  <c r="E271" i="13"/>
  <c r="D272" i="13"/>
  <c r="E272" i="13"/>
  <c r="D273" i="13"/>
  <c r="E273" i="13"/>
  <c r="D274" i="13"/>
  <c r="E274" i="13"/>
  <c r="D278" i="13"/>
  <c r="E278" i="13"/>
  <c r="D279" i="13"/>
  <c r="E279" i="13"/>
  <c r="D280" i="13"/>
  <c r="E280" i="13"/>
  <c r="D281" i="13"/>
  <c r="E281" i="13"/>
  <c r="D282" i="13"/>
  <c r="E282" i="13"/>
  <c r="D283" i="13"/>
  <c r="E283" i="13"/>
  <c r="D284" i="13"/>
  <c r="E284" i="13"/>
  <c r="D285" i="13"/>
  <c r="E285" i="13"/>
  <c r="D275" i="13"/>
  <c r="E275" i="13"/>
  <c r="D276" i="13"/>
  <c r="E276" i="13"/>
  <c r="D277" i="13"/>
  <c r="E277" i="13"/>
  <c r="D286" i="13"/>
  <c r="E286" i="13"/>
  <c r="D287" i="13"/>
  <c r="E287" i="13"/>
  <c r="D288" i="13"/>
  <c r="E288" i="13"/>
  <c r="D289" i="13"/>
  <c r="E289" i="13"/>
  <c r="D290" i="13"/>
  <c r="E290" i="13"/>
  <c r="D291" i="13"/>
  <c r="E291" i="13"/>
  <c r="D292" i="13"/>
  <c r="E292" i="13"/>
  <c r="D293" i="13"/>
  <c r="E293" i="13"/>
  <c r="D294" i="13"/>
  <c r="E294" i="13"/>
  <c r="D295" i="13"/>
  <c r="E295" i="13"/>
  <c r="D296" i="13"/>
  <c r="E296" i="13"/>
  <c r="D297" i="13"/>
  <c r="E297" i="13"/>
  <c r="D298" i="13"/>
  <c r="E298" i="13"/>
  <c r="D299" i="13"/>
  <c r="E299" i="13"/>
  <c r="D300" i="13"/>
  <c r="E300" i="13"/>
  <c r="D301" i="13"/>
  <c r="E301" i="13"/>
  <c r="D302" i="13"/>
  <c r="E302" i="13"/>
  <c r="D303" i="13"/>
  <c r="E303" i="13"/>
  <c r="D304" i="13"/>
  <c r="E304" i="13"/>
  <c r="D5" i="13"/>
  <c r="E5" i="13"/>
  <c r="D16" i="13"/>
  <c r="E16" i="13"/>
  <c r="B6" i="13"/>
  <c r="C6" i="13"/>
  <c r="D6" i="13"/>
  <c r="E6" i="13"/>
  <c r="V5" i="13" l="1"/>
  <c r="AE5" i="13" s="1"/>
  <c r="D7" i="19" l="1"/>
  <c r="W5" i="13"/>
  <c r="X5" i="13" s="1"/>
  <c r="D8" i="19"/>
  <c r="D10" i="19"/>
  <c r="D9" i="19" l="1"/>
  <c r="AF5" i="13"/>
  <c r="E9" i="19"/>
  <c r="E10" i="19"/>
  <c r="F10" i="19" s="1"/>
  <c r="E8" i="19"/>
  <c r="F8" i="19" s="1"/>
  <c r="E7" i="19" l="1"/>
  <c r="F7" i="19" s="1"/>
  <c r="F9" i="19"/>
  <c r="E36" i="13"/>
  <c r="E35" i="13"/>
  <c r="D35" i="13"/>
  <c r="D36" i="13"/>
  <c r="C11" i="19" l="1"/>
  <c r="D12" i="13" l="1"/>
  <c r="D20" i="13" l="1"/>
  <c r="D51" i="13"/>
  <c r="D34" i="13"/>
  <c r="D33" i="13"/>
  <c r="D19" i="13"/>
  <c r="D21" i="13"/>
  <c r="D23" i="13"/>
  <c r="D31" i="13"/>
  <c r="D32" i="13"/>
  <c r="D15" i="13"/>
  <c r="D17" i="13"/>
  <c r="D8" i="13"/>
  <c r="D10" i="13"/>
  <c r="D18" i="13"/>
  <c r="D52" i="13"/>
  <c r="D13" i="13"/>
  <c r="D14" i="13"/>
  <c r="D11" i="13"/>
  <c r="E20" i="13"/>
  <c r="E51" i="13"/>
  <c r="E34" i="13"/>
  <c r="E33" i="13"/>
  <c r="E19" i="13"/>
  <c r="E21" i="13"/>
  <c r="E23" i="13"/>
  <c r="E31" i="13"/>
  <c r="E32" i="13"/>
  <c r="E15" i="13"/>
  <c r="E17" i="13"/>
  <c r="E8" i="13"/>
  <c r="E10" i="13"/>
  <c r="E18" i="13"/>
  <c r="E52" i="13"/>
  <c r="E13" i="13"/>
  <c r="E14" i="13"/>
  <c r="E11" i="13"/>
  <c r="E28" i="13"/>
  <c r="D28" i="13"/>
  <c r="E27" i="13"/>
  <c r="D27" i="13"/>
  <c r="E26" i="13"/>
  <c r="D26" i="13"/>
  <c r="E25" i="13"/>
  <c r="D25" i="13"/>
  <c r="E24" i="13"/>
  <c r="D24" i="13"/>
  <c r="E22" i="13"/>
  <c r="D22" i="13"/>
  <c r="E50" i="13"/>
  <c r="D50" i="13"/>
  <c r="E49" i="13"/>
  <c r="D49" i="13"/>
  <c r="E48" i="13"/>
  <c r="D48" i="13"/>
  <c r="E47" i="13"/>
  <c r="D47" i="13"/>
  <c r="E9" i="13"/>
  <c r="D9" i="13"/>
  <c r="E7" i="13"/>
  <c r="D7" i="13"/>
  <c r="E46" i="13"/>
  <c r="D46" i="13"/>
  <c r="E45" i="13"/>
  <c r="D45" i="13"/>
  <c r="E44" i="13"/>
  <c r="D44" i="13"/>
  <c r="E43" i="13"/>
  <c r="D43" i="13"/>
  <c r="E42" i="13"/>
  <c r="D42" i="13"/>
  <c r="E41" i="13"/>
  <c r="D41" i="13"/>
  <c r="E40" i="13"/>
  <c r="D40" i="13"/>
  <c r="E39" i="13"/>
  <c r="D39" i="13"/>
  <c r="E38" i="13"/>
  <c r="D38" i="13"/>
  <c r="E37" i="13"/>
  <c r="D37" i="13"/>
  <c r="G40" i="22" l="1"/>
  <c r="H37" i="25" l="1"/>
  <c r="E19" i="19" l="1"/>
  <c r="D19" i="19" l="1"/>
  <c r="AG5" i="13" l="1"/>
  <c r="G7" i="19" l="1"/>
  <c r="H7" i="19" s="1"/>
  <c r="C15" i="19"/>
  <c r="G15" i="19" s="1"/>
  <c r="C17" i="19"/>
  <c r="G17" i="19" s="1"/>
  <c r="G9" i="19"/>
  <c r="H9" i="19" s="1"/>
  <c r="C18" i="19"/>
  <c r="G18" i="19" s="1"/>
  <c r="G10" i="19"/>
  <c r="H10" i="19" s="1"/>
  <c r="G8" i="19"/>
  <c r="H8" i="19" s="1"/>
  <c r="C16" i="19"/>
  <c r="G16" i="19" s="1"/>
  <c r="G19" i="19" l="1"/>
  <c r="D11" i="19"/>
  <c r="E11" i="19" l="1"/>
  <c r="F11" i="19" s="1"/>
  <c r="G11" i="19"/>
  <c r="H11" i="19" l="1"/>
  <c r="C19" i="19"/>
</calcChain>
</file>

<file path=xl/sharedStrings.xml><?xml version="1.0" encoding="utf-8"?>
<sst xmlns="http://schemas.openxmlformats.org/spreadsheetml/2006/main" count="3644" uniqueCount="849">
  <si>
    <t>1 x per maand</t>
  </si>
  <si>
    <t>5 x per week</t>
  </si>
  <si>
    <t>5w</t>
  </si>
  <si>
    <t xml:space="preserve"> </t>
  </si>
  <si>
    <t>Vakantiedagen, -toeslag, feestdagen</t>
  </si>
  <si>
    <t>Suppletie ziekengeld</t>
  </si>
  <si>
    <t>Sociale lasten</t>
  </si>
  <si>
    <t>Materialen</t>
  </si>
  <si>
    <t>Middelen</t>
  </si>
  <si>
    <t>Afschrijving machines</t>
  </si>
  <si>
    <t>Directe leiding</t>
  </si>
  <si>
    <t>Indirecte leiding</t>
  </si>
  <si>
    <t>3 x per week</t>
  </si>
  <si>
    <t>1 x per week</t>
  </si>
  <si>
    <t>2 x per week</t>
  </si>
  <si>
    <t>1w</t>
  </si>
  <si>
    <t>1m</t>
  </si>
  <si>
    <t>2w</t>
  </si>
  <si>
    <t>3w</t>
  </si>
  <si>
    <t>10w</t>
  </si>
  <si>
    <t>4w</t>
  </si>
  <si>
    <t>4 x per week</t>
  </si>
  <si>
    <t>Sanitair</t>
  </si>
  <si>
    <t>Ruimte code</t>
  </si>
  <si>
    <t>Weekend</t>
  </si>
  <si>
    <t>2ww</t>
  </si>
  <si>
    <t>1ww</t>
  </si>
  <si>
    <t>1 x per weekend</t>
  </si>
  <si>
    <t>2 x per weekend</t>
  </si>
  <si>
    <t>5 x per week met naloop</t>
  </si>
  <si>
    <t>Plaats</t>
  </si>
  <si>
    <t>Gebouw gedeelte</t>
  </si>
  <si>
    <t>Oppervlak (netto)</t>
  </si>
  <si>
    <t>Totaal</t>
  </si>
  <si>
    <t>Code</t>
  </si>
  <si>
    <t>Tariefsopbouw</t>
  </si>
  <si>
    <t>kosten / jaar</t>
  </si>
  <si>
    <t>uren / jaar</t>
  </si>
  <si>
    <t>Tapijt</t>
  </si>
  <si>
    <t>Vloer afwerking</t>
  </si>
  <si>
    <t>Entree</t>
  </si>
  <si>
    <t>Glasbewassing</t>
  </si>
  <si>
    <t>Wassen handdoeken</t>
  </si>
  <si>
    <t>Prijs per stuk</t>
  </si>
  <si>
    <t>Wassen theedoeken</t>
  </si>
  <si>
    <t>prijs per stuk</t>
  </si>
  <si>
    <t>Verwijderen kauwgom buitenterrein</t>
  </si>
  <si>
    <t>Vlek verwijderen textiele bekleding zitvlak stoelen</t>
  </si>
  <si>
    <t>Prijs per beurt</t>
  </si>
  <si>
    <t xml:space="preserve">Reinigen van plafonds </t>
  </si>
  <si>
    <t>prijs per m²</t>
  </si>
  <si>
    <t>Reinigen van vitrage</t>
  </si>
  <si>
    <t>Reinigen van kunststoflamellen</t>
  </si>
  <si>
    <t>Reinigen van stoffenlamellen</t>
  </si>
  <si>
    <t>Reinigen van horizontale kunststoflamellen (luxaflex)</t>
  </si>
  <si>
    <t xml:space="preserve">Het verwijderen van aanslag per unit incl. (de-)montage </t>
  </si>
  <si>
    <t>Het desinfecteren van alle sanitaire onderdelen</t>
  </si>
  <si>
    <t>prijs per toiletunit</t>
  </si>
  <si>
    <t xml:space="preserve">Vegen van het buitenterrein </t>
  </si>
  <si>
    <t>Magazijnen/bergingen</t>
  </si>
  <si>
    <t>Kantoren</t>
  </si>
  <si>
    <t>Reproruimte</t>
  </si>
  <si>
    <t>Gangen/hallen</t>
  </si>
  <si>
    <t>Trappenhuizen/lift</t>
  </si>
  <si>
    <t>Keuken/pantry</t>
  </si>
  <si>
    <t>Kleedruimten</t>
  </si>
  <si>
    <t>Niet in onderhoud</t>
  </si>
  <si>
    <t>Postcode</t>
  </si>
  <si>
    <t>Adres</t>
  </si>
  <si>
    <t>Inspectie categorie</t>
  </si>
  <si>
    <t>Schoonmaakmedewerker</t>
  </si>
  <si>
    <t>Specialist</t>
  </si>
  <si>
    <t>Meewerkend leidinggevende</t>
  </si>
  <si>
    <t>Totaal geindexeerd uurloon</t>
  </si>
  <si>
    <r>
      <t>Prijs per m</t>
    </r>
    <r>
      <rPr>
        <vertAlign val="superscript"/>
        <sz val="9"/>
        <rFont val="Verdana"/>
        <family val="2"/>
      </rPr>
      <t>2</t>
    </r>
  </si>
  <si>
    <t>Loonkosten:</t>
  </si>
  <si>
    <t>Directe kosten:</t>
  </si>
  <si>
    <t>Indirecte kosten:</t>
  </si>
  <si>
    <t>Overheadkosten</t>
  </si>
  <si>
    <t>Winst en risico</t>
  </si>
  <si>
    <t>Loon:</t>
  </si>
  <si>
    <t>Subtotaal Loonkosten</t>
  </si>
  <si>
    <t>Subtotaal Directe kosten</t>
  </si>
  <si>
    <t>Subtotaal Indirecte kosten</t>
  </si>
  <si>
    <t>% v.h. loon</t>
  </si>
  <si>
    <t>% v.h. loon incl. loonkosten</t>
  </si>
  <si>
    <t>Rekentarieven</t>
  </si>
  <si>
    <t>€</t>
  </si>
  <si>
    <t>Standaard</t>
  </si>
  <si>
    <t>Eindejaarsuitkering</t>
  </si>
  <si>
    <t>Overige directe kosten</t>
  </si>
  <si>
    <t>Overige indirecte kosten</t>
  </si>
  <si>
    <t>Overige loonkosten</t>
  </si>
  <si>
    <t>Ochtend/avond</t>
  </si>
  <si>
    <t>ma. t/m vr. 6:00 - 21:30 uur</t>
  </si>
  <si>
    <t>ma. t/m vr. 21:30 - 6:00 uur</t>
  </si>
  <si>
    <t>vr. 21:30 t/m ma. 6:00 uur</t>
  </si>
  <si>
    <t>Feestdag</t>
  </si>
  <si>
    <t>Erkende feestdagen</t>
  </si>
  <si>
    <t>Tarief 
excl. 21% BTW</t>
  </si>
  <si>
    <t>Tarief 
incl. 21% BTW</t>
  </si>
  <si>
    <t>% opslag op loonkosten</t>
  </si>
  <si>
    <t>Tarief</t>
  </si>
  <si>
    <t xml:space="preserve">Over te nemen personeel </t>
  </si>
  <si>
    <t>Totale berekende productieve ureninzet (contractjaar 1)</t>
  </si>
  <si>
    <t>Norm (5w)</t>
  </si>
  <si>
    <t>Ruimte omschrijving</t>
  </si>
  <si>
    <t>Vloersoort omschrijving</t>
  </si>
  <si>
    <t>Aanpassing norm</t>
  </si>
  <si>
    <t>T</t>
  </si>
  <si>
    <t>L</t>
  </si>
  <si>
    <t>S</t>
  </si>
  <si>
    <t>P</t>
  </si>
  <si>
    <t>Vloerafwerkingen met beschermlaag, zoals linoleum, marmoleum e.d.</t>
  </si>
  <si>
    <t>Textiele vloerafwerking, zoals tapijt, schoonloopmat, flotex e.d.</t>
  </si>
  <si>
    <t>Vloeren zonder beschermlaag, die wel behandeling nodig hebben, zoals pvc e.d.</t>
  </si>
  <si>
    <t>Aanpassing standaardnorm o.b.v. frequentie</t>
  </si>
  <si>
    <t>Frequentie omschrijving</t>
  </si>
  <si>
    <t>2,5w</t>
  </si>
  <si>
    <t>2,5 x per week (om-de-dag)</t>
  </si>
  <si>
    <t>Prestatie</t>
  </si>
  <si>
    <t>Etage</t>
  </si>
  <si>
    <t>Ruimtesoort</t>
  </si>
  <si>
    <t>Vloer code</t>
  </si>
  <si>
    <t>Frequentie weekend</t>
  </si>
  <si>
    <t>Aantal weken/jr</t>
  </si>
  <si>
    <t>Frequentie</t>
  </si>
  <si>
    <t>Norm (m2/uur)</t>
  </si>
  <si>
    <t>Prest. (m2 /jaar)</t>
  </si>
  <si>
    <t>Steen</t>
  </si>
  <si>
    <t>PVC</t>
  </si>
  <si>
    <t>Pantry</t>
  </si>
  <si>
    <t>Naam</t>
  </si>
  <si>
    <t>Lino</t>
  </si>
  <si>
    <t>Oppervlakte n.i.o.</t>
  </si>
  <si>
    <t>Uitvoeringen</t>
  </si>
  <si>
    <t>uren / jaar werkdagen</t>
  </si>
  <si>
    <t>kosten / jaar werkdagen</t>
  </si>
  <si>
    <t>Uitvoeringen werkdagen</t>
  </si>
  <si>
    <t>Norm (m2/uur) werkdagen</t>
  </si>
  <si>
    <t>Prest. (m2 /jaar) werkdagen</t>
  </si>
  <si>
    <t>Norm (m2/uur) weekend</t>
  </si>
  <si>
    <t>Prest. (m2 /jaar) weekend</t>
  </si>
  <si>
    <t>uren / jaar weekend</t>
  </si>
  <si>
    <t>kosten / jaar weekend</t>
  </si>
  <si>
    <t>Uitvoeringen weekend</t>
  </si>
  <si>
    <t>Locatie</t>
  </si>
  <si>
    <t>Glassoort/voorziening</t>
  </si>
  <si>
    <t>Kosten/jaar excl. BTW</t>
  </si>
  <si>
    <t>Gevelglas buitenzijde</t>
  </si>
  <si>
    <t>Prijs per m2 per beurt</t>
  </si>
  <si>
    <t>Separatieglas (enkel gemeten, dubbel te wassen)</t>
  </si>
  <si>
    <t>Eenheid</t>
  </si>
  <si>
    <t>Prijs</t>
  </si>
  <si>
    <t>Hoogwerker buiten max 12 meter</t>
  </si>
  <si>
    <t>Hoogwerker buiten max 16 meter</t>
  </si>
  <si>
    <t>Hoogwerker buiten max 20 meter</t>
  </si>
  <si>
    <t>Oppervlakte of dagen</t>
  </si>
  <si>
    <t>H1</t>
  </si>
  <si>
    <t>H2</t>
  </si>
  <si>
    <t>H3</t>
  </si>
  <si>
    <t>Werkzaamheden</t>
  </si>
  <si>
    <t>Prijs per m2 per beurt, incl. in- en uitruimen</t>
  </si>
  <si>
    <t>Prijs per m2 per beurt, incl. in- en uitruimen, minimaal 2 lagen, kruislings</t>
  </si>
  <si>
    <t>Vloersoort</t>
  </si>
  <si>
    <t>Oppervlakte</t>
  </si>
  <si>
    <t>Diepstrippen, sealen en conserveren</t>
  </si>
  <si>
    <t>Schuren en lakken houten vloer</t>
  </si>
  <si>
    <t>Frequentie (uitv./jaar)</t>
  </si>
  <si>
    <t>Handmatig schrobben en droogzuigen</t>
  </si>
  <si>
    <t>Vloeronderhoud</t>
  </si>
  <si>
    <t>Ruimtestaat</t>
  </si>
  <si>
    <t>Oppervlakte i/o</t>
  </si>
  <si>
    <t>Uren / jaar</t>
  </si>
  <si>
    <t>Kosten / jaar</t>
  </si>
  <si>
    <t>Kosten / m2</t>
  </si>
  <si>
    <t>Glasbewassing
Kosten / jaar</t>
  </si>
  <si>
    <t>Vloeronderhoud
Kosten / jaar</t>
  </si>
  <si>
    <t>Totalisatie (excl. BTW)</t>
  </si>
  <si>
    <t>Kolom1</t>
  </si>
  <si>
    <t>Schoonmaakonderhoud
Kosten / jaar</t>
  </si>
  <si>
    <t>Prijs excl. BTW</t>
  </si>
  <si>
    <t xml:space="preserve">Aan genoemde aantallen kunnen geen rechten worden ontleend. </t>
  </si>
  <si>
    <t>Regie- en afroepwerkzaamheden</t>
  </si>
  <si>
    <t>Genoemde aantallen zijn fictief en dienen om een vergelijkingsprijs op te stellen</t>
  </si>
  <si>
    <t>Werkzaamheid</t>
  </si>
  <si>
    <t>Prijs per uur</t>
  </si>
  <si>
    <t>Regiewerkzaamheden (schoonmaakonderhoud, ma-vr. tussen 6:00 en 21:30)</t>
  </si>
  <si>
    <t>Specialistische regiewerkzaamheden  (ma-vr. tussen 6:00 en 21:30)</t>
  </si>
  <si>
    <t>Cateringwerkzaamheden (ma-vr. tussen 6:00 en 21:30)</t>
  </si>
  <si>
    <t>Prijs per stuk per beurt</t>
  </si>
  <si>
    <t>Vaatwasser inruimen, activeren en uitruimen</t>
  </si>
  <si>
    <t>Reinigen koelkast binnen- en buitenzijde</t>
  </si>
  <si>
    <t>Reinigen van magnetron binnen- en buitenzijde</t>
  </si>
  <si>
    <t>Reinigen van koffieautomaat binnen- en buitenzijde</t>
  </si>
  <si>
    <t>Calamiteitenservice inclusief materialen en middelen</t>
  </si>
  <si>
    <t>Buiten</t>
  </si>
  <si>
    <t>Intensief reinigen voegen tegelwanden</t>
  </si>
  <si>
    <r>
      <t>Prijs per m</t>
    </r>
    <r>
      <rPr>
        <vertAlign val="superscript"/>
        <sz val="9"/>
        <rFont val="Verdana"/>
        <family val="2"/>
      </rPr>
      <t xml:space="preserve">2 </t>
    </r>
    <r>
      <rPr>
        <sz val="9"/>
        <rFont val="Verdana"/>
        <family val="2"/>
      </rPr>
      <t>per beurt</t>
    </r>
  </si>
  <si>
    <t>Regie per uur</t>
  </si>
  <si>
    <t>De opgegeven prijzen zijn tijdens de gehele contractduur van toepassing als afroepprijs.</t>
  </si>
  <si>
    <t>Machinaal schrobben en droogzuigen</t>
  </si>
  <si>
    <t>Textiel reinigen</t>
  </si>
  <si>
    <t>Dieptereiniging sanitair</t>
  </si>
  <si>
    <t>Fantomatten sanitaire ruimte</t>
  </si>
  <si>
    <t>Stoomreinigen sanitaire ruimte</t>
  </si>
  <si>
    <t>Klein technisch onderhoud, verhelpen techische gebreken</t>
  </si>
  <si>
    <t>Wanden en plafonds</t>
  </si>
  <si>
    <t>Volledig (diep)reinigen van de deur (beide zijden), (tegel-)wanden, vloeren en putjes (in- en uitwendig)</t>
  </si>
  <si>
    <t>Kolom2</t>
  </si>
  <si>
    <t>Inspectiecategorie</t>
  </si>
  <si>
    <t>Gemiddeld brutoloon</t>
  </si>
  <si>
    <t>Code Locatie</t>
  </si>
  <si>
    <t>Code Taak</t>
  </si>
  <si>
    <t>Code taak</t>
  </si>
  <si>
    <t>Omschrijving2</t>
  </si>
  <si>
    <r>
      <rPr>
        <b/>
        <sz val="9"/>
        <rFont val="Verdana"/>
        <family val="2"/>
      </rPr>
      <t>Alle</t>
    </r>
    <r>
      <rPr>
        <sz val="9"/>
        <rFont val="Verdana"/>
        <family val="2"/>
      </rPr>
      <t xml:space="preserve"> groen gearceerde velden dienen ingevuld te worden, overige cellen mogen niet gewijzigd worden</t>
    </r>
  </si>
  <si>
    <t>Alle groen gearceerde velden dienen ingevuld te worden, overige cellen mogen niet gewijzigd worden</t>
  </si>
  <si>
    <r>
      <t xml:space="preserve">Alle </t>
    </r>
    <r>
      <rPr>
        <sz val="9"/>
        <rFont val="Verdana"/>
        <family val="2"/>
      </rPr>
      <t>groen gearceerde velden dienen ingevuld te worden, overige cellen mogen niet gewijzigd worden</t>
    </r>
  </si>
  <si>
    <t>Totalisatie</t>
  </si>
  <si>
    <t>Totaalprijs
Kosten / jaar</t>
  </si>
  <si>
    <t>Locaties</t>
  </si>
  <si>
    <t>Rechtsgeldig ondertekening</t>
  </si>
  <si>
    <t>Functie</t>
  </si>
  <si>
    <t>Plaats, datum</t>
  </si>
  <si>
    <t>Handtekening</t>
  </si>
  <si>
    <t>Naam Inschrijver:</t>
  </si>
  <si>
    <t>% van de prod. uren</t>
  </si>
  <si>
    <t>Samenvatting schoonmaakonderhoud</t>
  </si>
  <si>
    <t>prijs per toiletunit*</t>
  </si>
  <si>
    <t>* zie tabblad Werkprogramma voor definities</t>
  </si>
  <si>
    <r>
      <t>Alle groen gearceerde velden dienen ingevuld te worden, overige cellen mogen niet gewijzigd worden (</t>
    </r>
    <r>
      <rPr>
        <sz val="9"/>
        <rFont val="Verdana"/>
        <family val="2"/>
      </rPr>
      <t>m.u.v. de tabel Rechtsgeldige Ondertekening), waar alle stippellijnen ingevuld dienen te worden)</t>
    </r>
  </si>
  <si>
    <t>……………</t>
  </si>
  <si>
    <t>Lichtkoepels (enkel gemeten, dubbel te wassen)</t>
  </si>
  <si>
    <t>Gevelglas binnenzijde</t>
  </si>
  <si>
    <t>Dakglas (enkel gemeten, dubbel te wassen)</t>
  </si>
  <si>
    <t>V  (Verkeersruimte)</t>
  </si>
  <si>
    <t>S  (Sanitair)</t>
  </si>
  <si>
    <t>L  (Lesruimte)</t>
  </si>
  <si>
    <t>B  (Bureauruimte)</t>
  </si>
  <si>
    <t>Sp  (Sportruimte)</t>
  </si>
  <si>
    <t>De opgegeven prijzen zijn tijdens de gehele contractduur van toepassing als all-in afroepprijs.</t>
  </si>
  <si>
    <t>Aanpassing standaardnorm schoonmaakonderhoud o.b.v. locatie</t>
  </si>
  <si>
    <t>Standaardnorm schoonmaakonderhoud per ruimtegroep / werkprogramma</t>
  </si>
  <si>
    <t>Aanpassing standaardnorm schoonmaakonderhoud o.b.v. vloersoort</t>
  </si>
  <si>
    <t>Volledig reinigen kunststofwanden (maximaal 6 meter hoog)</t>
  </si>
  <si>
    <t>Volledig reinigen geschilderde wanden (maximaal 6 meter hoog)</t>
  </si>
  <si>
    <t>Volledig reinigen tegelwanden (maximaal 6 meter hoog)</t>
  </si>
  <si>
    <t xml:space="preserve">Opdrachtgever heeft tijdens de gehele contractduur het recht frequenties en uitvoermomenten aan te passen of werkzaamheden aan derden uit te besteden. </t>
  </si>
  <si>
    <t>Werkdagen</t>
  </si>
  <si>
    <t>Weekenddagen</t>
  </si>
  <si>
    <t>Totaal (werkdagen + weekenddagen</t>
  </si>
  <si>
    <t>Reinigen van keukenkastjes binnen- en buitenzijde</t>
  </si>
  <si>
    <t>Vloersoort / toelichting</t>
  </si>
  <si>
    <t>Garderobe</t>
  </si>
  <si>
    <t>Prijs per strekkende meter, incl materialen en middelen</t>
  </si>
  <si>
    <t>H4</t>
  </si>
  <si>
    <t>Spinhoogwerker</t>
  </si>
  <si>
    <t>Opmerking 1</t>
  </si>
  <si>
    <t>Vliesgevel/boeiboord/damwand</t>
  </si>
  <si>
    <t>Geboorte- datum</t>
  </si>
  <si>
    <t>Branche datum</t>
  </si>
  <si>
    <t>Soort  contract</t>
  </si>
  <si>
    <t>Aantal uur op object</t>
  </si>
  <si>
    <t>Functiecode</t>
  </si>
  <si>
    <t>Loongroep</t>
  </si>
  <si>
    <t>Basis-uurloon</t>
  </si>
  <si>
    <t>OT Dienstjaren</t>
  </si>
  <si>
    <t>VET toeslag</t>
  </si>
  <si>
    <t>Pers. Toeslag</t>
  </si>
  <si>
    <t>Reiskosten boven CAO voor 31-12-2007 afgesproken</t>
  </si>
  <si>
    <t>In het bezit van basisvak-diploma? Ja/Nee</t>
  </si>
  <si>
    <t>Lift</t>
  </si>
  <si>
    <t>Linoleum</t>
  </si>
  <si>
    <t>Opleverstaat schoonmaak</t>
  </si>
  <si>
    <t>Element</t>
  </si>
  <si>
    <t>Onderdeel</t>
  </si>
  <si>
    <t>Reinheidsniveau</t>
  </si>
  <si>
    <t>Acceptabel</t>
  </si>
  <si>
    <t>(dagelijks toegestane afwijking)</t>
  </si>
  <si>
    <t>Inventaris :</t>
  </si>
  <si>
    <t>Algemeen</t>
  </si>
  <si>
    <t>Alle inventarisonderdelen dienen vrij te zijn van: stickers, lijmresten en kauwgom.</t>
  </si>
  <si>
    <t xml:space="preserve">Aanrechtblad </t>
  </si>
  <si>
    <t>Geheel buitenzijde</t>
  </si>
  <si>
    <t>Stof-, vlek-, aanslag en streepvrij</t>
  </si>
  <si>
    <t>Lichte stofvorming, enkele vingertasten en zichtbare vlekken max. 1 tot 3 st.</t>
  </si>
  <si>
    <t>Audiovisuele middelen</t>
  </si>
  <si>
    <t>Lichte stofvorming bovenzijde</t>
  </si>
  <si>
    <t>Afvalbak/prullenbak</t>
  </si>
  <si>
    <t>Inhoud, plastic zak</t>
  </si>
  <si>
    <t>Inhoud geleegd, schone plastic zak aanwezig. Afwezigheid van fruitvliegjes</t>
  </si>
  <si>
    <t>Lichte stofvorming, enkele vinger tasten of kleine zichtbare vlekken max 3 tot 7 st.</t>
  </si>
  <si>
    <t>Geheel</t>
  </si>
  <si>
    <t>Stof-, vlek-, aanslag en streepvrij. Afwezigheid van fruitvliegjes.</t>
  </si>
  <si>
    <t>Afval</t>
  </si>
  <si>
    <t>Afgevoerd naar containers</t>
  </si>
  <si>
    <t>Balie</t>
  </si>
  <si>
    <t>Enkele vinger tasten of kleine zichtbare vlekken max 1 tot 3 st.</t>
  </si>
  <si>
    <t>Brandblusapparatuur</t>
  </si>
  <si>
    <t>Lichte stofvorming</t>
  </si>
  <si>
    <t>Bureau/Tafel/Incl. onderlegger</t>
  </si>
  <si>
    <t>Enkele vinger tasten of kleine zichtbare vlekken, max. 3 tot 7 st.</t>
  </si>
  <si>
    <t>Bureaulamp</t>
  </si>
  <si>
    <t>Enkele vinger tasten of kleine zichtbare vlekken, max. 3 tot 7 st., lichte stofvorming op voetlamp</t>
  </si>
  <si>
    <t>Kapstok/Garderoberek</t>
  </si>
  <si>
    <t>Lichte stofvorming, enkele vinger tasten en zichtbare vlekken max. 1 tot 3 st.</t>
  </si>
  <si>
    <t>Kast hoog</t>
  </si>
  <si>
    <t>Lichte stofvorming bovenzijde, enkele vinger tasten of kleine zichtbare vlekken max 3 tot 7 st.</t>
  </si>
  <si>
    <t>Kast laag/Ladenblok</t>
  </si>
  <si>
    <t>Enkele vinger tasten of kleine zichtbare vlekken, max. 3 tot 7 st</t>
  </si>
  <si>
    <t>Lampen</t>
  </si>
  <si>
    <t>Locker</t>
  </si>
  <si>
    <t>Papierbak</t>
  </si>
  <si>
    <t>Inhoud</t>
  </si>
  <si>
    <t>Inhoud geleegd, stof en vlekvrij</t>
  </si>
  <si>
    <t>PC, incl. toebehoren</t>
  </si>
  <si>
    <t>Lichte stofvorming bovenzijde, enkele vinger tasten en kleine zichtbare vlekken max. 1 tot 3 st.</t>
  </si>
  <si>
    <t>Plantenbak</t>
  </si>
  <si>
    <t>Enkele vinger tasten of kleine zichtbare vlekken max. 3 tot 7 st., enkele schopstrepen max. 3 tot 7 st.</t>
  </si>
  <si>
    <t>Plinten/kabelgoten</t>
  </si>
  <si>
    <t>Lichte stofvorming bovenzijde, enkele vinger tasten of zichtbare vlekken max 7 tot 10 st., enkele schopstrepen max. 3 tot 7 st</t>
  </si>
  <si>
    <t>Printer/copier</t>
  </si>
  <si>
    <t>Stoel/bank/kruk</t>
  </si>
  <si>
    <t>Licht stofvorming in naden, enkele vinger tasten of kleine zichtbare vlekken max. 3 tot 7 st. op achterzijde leuning</t>
  </si>
  <si>
    <t>Telefoon</t>
  </si>
  <si>
    <t>Vitrinekast</t>
  </si>
  <si>
    <t>Whiteboard/Schoolbord/Krijtrichel</t>
  </si>
  <si>
    <t>Bouwdelen :</t>
  </si>
  <si>
    <t>Alle bouwdelen dienen vrij te zijn van: stickers, lijmresten en kauwgom.</t>
  </si>
  <si>
    <t>Deur/deurglas</t>
  </si>
  <si>
    <t>Enkele vinger tasten of kleine zichtbare vlekken max. 7 tot 10 stuks, enkele schopstrepen max. 1 tot 3 st.</t>
  </si>
  <si>
    <t>Glas binnenzijde</t>
  </si>
  <si>
    <t>Enkele vinger tasten of kleine zichtbare vlekken max. 3 tot 7 st.</t>
  </si>
  <si>
    <t>Kabelgoot</t>
  </si>
  <si>
    <t>Lichte stofvorming bovenzijde, enkele vinger tasten of zichtbare vlekken max 7 tot 10 st., enkele schopstrepen max. 3 tot 7 st.</t>
  </si>
  <si>
    <t>Lichtknop/contact/</t>
  </si>
  <si>
    <t>Lichte stofvorming bovenzijde, enkele vinger tasten of kleine zichtbare vlekken max 1 tot 3 st.</t>
  </si>
  <si>
    <t>Plafond</t>
  </si>
  <si>
    <t>Geen zichtbare spinrag, lichte stofvorming en kleine zichtbare vlekken max. 3 stuks</t>
  </si>
  <si>
    <t>Plafond rooster</t>
  </si>
  <si>
    <t>Radiator/convectorkast/paneel</t>
  </si>
  <si>
    <t>Randen</t>
  </si>
  <si>
    <t>Enkele vinger tasten of kleine zichtbare vlekken max. 1 tot 3 st., enkele schopstrepen max. 1 tot 3 st</t>
  </si>
  <si>
    <t>Richels</t>
  </si>
  <si>
    <t>Lichte stofvorming, enkele vinger tasten of kleine zichtbare vlekken max. 3 tot 7 st., enkele schopstrepen max. 3 tot 7 st.</t>
  </si>
  <si>
    <t>Trapleuning / balustrade</t>
  </si>
  <si>
    <t>Lichte stofvorming bovenzijde, enkele vinger tasten of kleine zichtbare vlekken max 1 tot 3 st</t>
  </si>
  <si>
    <t>Vensterbank</t>
  </si>
  <si>
    <t>Ventilatierooster</t>
  </si>
  <si>
    <t>Verlichtingsarmatuur en buizen &lt; 2.00 m</t>
  </si>
  <si>
    <t>Wanden</t>
  </si>
  <si>
    <t>Enkele vingertasten of kleine zichtbare vlekken max. 3 tot 7 st., enkele schopstrepen max. 3 tot 7 st., geen vlekken en schopstrepen tot om 3,5m hoogte</t>
  </si>
  <si>
    <t>Sanitaire elementen:</t>
  </si>
  <si>
    <t xml:space="preserve">Alle sanitaire elementen dienen vrij te zijn van: stickers, lijmresten, kauwgom, zeepresten en huidvetten. </t>
  </si>
  <si>
    <t>Aut. handdoek/zeep/lucht</t>
  </si>
  <si>
    <t>Stof-, vlek-, aanslag en streepvrij en bijgevuld</t>
  </si>
  <si>
    <t>Lichte stofvorming bovenzijde, enkele vinger tasten of zichtbare vlekken max. 3 tot 7 st.</t>
  </si>
  <si>
    <t>Borstel- en borstelhouder</t>
  </si>
  <si>
    <t>Lichte stofvorming bovenzijde, enkele vinger tasten of zichtbare vlekken max. 7 tot 10 st</t>
  </si>
  <si>
    <t>Doorspoelinstallatie</t>
  </si>
  <si>
    <t>Enkele vinger tasten of zichtbare vlekken max. 1 tot 3 st.</t>
  </si>
  <si>
    <t>Kalkvrij</t>
  </si>
  <si>
    <t>Handgreep/steun</t>
  </si>
  <si>
    <t>Hygienebox</t>
  </si>
  <si>
    <t>Schaam-tussenschot</t>
  </si>
  <si>
    <t>Spiegel</t>
  </si>
  <si>
    <t>Enkele vinger tasten of kleine zichtbare vlekken, max. 1 tot 3 st. Enkele waterdruppels toegestaan.</t>
  </si>
  <si>
    <t>Toiletpot-bril/Urinoir/Doorspoelinst.</t>
  </si>
  <si>
    <t>Enkele zichtbare vlekken max. 3 tot 7 st.</t>
  </si>
  <si>
    <t>Toiletrolhouder</t>
  </si>
  <si>
    <t>Lichte stofvorming bovenzijde, enkele vinger tasten of zichtbare vlekken max. 7 tot 10 st.</t>
  </si>
  <si>
    <t>Wand sanitair/Planchet</t>
  </si>
  <si>
    <t>Wastafel</t>
  </si>
  <si>
    <t>Stof-, vlek-, aanslag en streepvrij. Geen zeepresten</t>
  </si>
  <si>
    <t>Vloer :</t>
  </si>
  <si>
    <t>Alle vloeren dienen vrij te zijn van stickers, lijmresten en kauwgom</t>
  </si>
  <si>
    <t>Harde vloeren (steen / pvc)</t>
  </si>
  <si>
    <t>Bureaukamers</t>
  </si>
  <si>
    <t>Grofvuil-, stof-, vlek-, aanslag en streepvrij. Geen schopstrepen</t>
  </si>
  <si>
    <t>Geen losliggend en/of zichtbaar vuil en enkele zichtbare vlekken max 8 st</t>
  </si>
  <si>
    <t>Leslokalen</t>
  </si>
  <si>
    <t>Verkeersruimte</t>
  </si>
  <si>
    <t xml:space="preserve">Geen losliggend en/of zichtbaar vuil en enkele zichtbare vlekken max 10 st.  </t>
  </si>
  <si>
    <t>Sanitaire ruimten</t>
  </si>
  <si>
    <t xml:space="preserve">Geen losliggend en/of zichtbaar vuil en enkele zichtbare vlekken max 1 st.  </t>
  </si>
  <si>
    <t>Grofvuil-, stof-, vlekvrij</t>
  </si>
  <si>
    <t>Handeling</t>
  </si>
  <si>
    <t>vochtig afnemen</t>
  </si>
  <si>
    <t>Verlichtingsarmatuur en buizen &gt; 2.00 m</t>
  </si>
  <si>
    <t>periodiek vloeronderhoud conform afspraak</t>
  </si>
  <si>
    <t>Harde vloeren zonder extra behandeling, zoals steen, beton e.d.</t>
  </si>
  <si>
    <t>Vergader/spreekkamers</t>
  </si>
  <si>
    <t>Groepruimte / kantine</t>
  </si>
  <si>
    <t>Personeelsruimte</t>
  </si>
  <si>
    <t>Lokaal</t>
  </si>
  <si>
    <t>Gym - / speellokaal</t>
  </si>
  <si>
    <t>Gemiddelde
indexering</t>
  </si>
  <si>
    <t>CBS index</t>
  </si>
  <si>
    <t>CAO</t>
  </si>
  <si>
    <t>Tarief excl btw</t>
  </si>
  <si>
    <t>Percentage</t>
  </si>
  <si>
    <t>Soort indexatie</t>
  </si>
  <si>
    <t>Indexatie</t>
  </si>
  <si>
    <t>Topstrippen en conserveren</t>
  </si>
  <si>
    <t>Tapijtreinigen, sproei-extractiemethode</t>
  </si>
  <si>
    <t>Tapijtreinigen, poedermethode</t>
  </si>
  <si>
    <t>Verwijderen van vervuiling in spoelranden, afvoersluitingen en restant van de binnenzijde van het toilet</t>
  </si>
  <si>
    <t>De drukspoeler controleren op goede werking en ontdoen van aanslag op de buitenzijde</t>
  </si>
  <si>
    <t>De spoelpijp ontdoen van aanslag en controleren op losse of defecte bevestigingsbeugels op de aansluiting van de pot en op lekkage</t>
  </si>
  <si>
    <t>Het verwijderen van vervuiling van schaamschotten</t>
  </si>
  <si>
    <t>Het reinigen van het toilet/urinoir aan de buitenzijde</t>
  </si>
  <si>
    <t>De toiletbril ontdoen van aanslag, demonteren van een bril met brugstuk (teneinde het vuil eronder te verwijderen) en weer monteren</t>
  </si>
  <si>
    <t>De binnen- en buitenzijde van de stortbak ontdoen van aanslag en vuil (gietijzer alleen buitenzijde)</t>
  </si>
  <si>
    <t>De stortbak controleren op het functioneren van het mechanisme, het waterniveau en de bevestiging ervan</t>
  </si>
  <si>
    <t>De stopkraan van de stortbak ontkalken en controleren op goede werking</t>
  </si>
  <si>
    <t>Het verwijderen van organische en anorganische vervuiling op de binnen- en buitenzijde van de wastafel</t>
  </si>
  <si>
    <t>Alle spiegels reinigen</t>
  </si>
  <si>
    <t>Diepreiniging volgens programma</t>
  </si>
  <si>
    <t>Sanitaire ruimte</t>
  </si>
  <si>
    <t>Datum in dienst</t>
  </si>
  <si>
    <t>De gehele vloer en alle wanden reinigen met fantomat</t>
  </si>
  <si>
    <t>Toestel berging</t>
  </si>
  <si>
    <t>Multifunctionele ruimte</t>
  </si>
  <si>
    <t>Sport ruimten</t>
  </si>
  <si>
    <t>Opmerking</t>
  </si>
  <si>
    <t>Handelingen dieptereiniging 2 x per jaar</t>
  </si>
  <si>
    <t>Opleverstaat schoonmaak periodiek (tijdens vakanties uitvoeren) 2 x per jaar</t>
  </si>
  <si>
    <t>……………………………………………………</t>
  </si>
  <si>
    <t>Ruimte- 
nummer</t>
  </si>
  <si>
    <t>Geldig tot</t>
  </si>
  <si>
    <r>
      <t xml:space="preserve">Alle groen gearceerde velden dienen ingevuld te worden, overige cellen mogen niet gewijzigd worden    </t>
    </r>
    <r>
      <rPr>
        <b/>
        <sz val="9"/>
        <color rgb="FFFF0000"/>
        <rFont val="Verdana"/>
        <family val="2"/>
      </rPr>
      <t xml:space="preserve"> </t>
    </r>
  </si>
  <si>
    <t>2023</t>
  </si>
  <si>
    <t>2024</t>
  </si>
  <si>
    <t>2025</t>
  </si>
  <si>
    <t>2026</t>
  </si>
  <si>
    <t>Deken Hooijmanssingel 1</t>
  </si>
  <si>
    <t>Groenlo</t>
  </si>
  <si>
    <t>Dr Ariensstraat 1</t>
  </si>
  <si>
    <t>Lichtenvoorde</t>
  </si>
  <si>
    <t>Dr Ariensstraat 3</t>
  </si>
  <si>
    <t>Berging</t>
  </si>
  <si>
    <t>Receptie</t>
  </si>
  <si>
    <t>Repro</t>
  </si>
  <si>
    <t>Aula</t>
  </si>
  <si>
    <t>Podium</t>
  </si>
  <si>
    <t>Keuken</t>
  </si>
  <si>
    <t>Werkkast</t>
  </si>
  <si>
    <t>Personeelskamer</t>
  </si>
  <si>
    <t>Kantoor</t>
  </si>
  <si>
    <t>Bibliotheek</t>
  </si>
  <si>
    <t>503.1</t>
  </si>
  <si>
    <t>Schacht</t>
  </si>
  <si>
    <t>547.1</t>
  </si>
  <si>
    <t>547.2</t>
  </si>
  <si>
    <t>Bijkeuken</t>
  </si>
  <si>
    <t>561.1</t>
  </si>
  <si>
    <t>Meterkast</t>
  </si>
  <si>
    <t>566.1</t>
  </si>
  <si>
    <t>579.1</t>
  </si>
  <si>
    <t>01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</si>
  <si>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</si>
  <si>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</si>
  <si>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</si>
  <si>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</si>
  <si>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</si>
  <si>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</si>
  <si>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</si>
  <si>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</si>
  <si>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</si>
  <si>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</si>
  <si>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</si>
  <si>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</si>
  <si>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</si>
  <si>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</si>
  <si>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</si>
  <si>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</si>
  <si>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</si>
  <si>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</si>
  <si>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</si>
  <si>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</si>
  <si>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</si>
  <si>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</si>
  <si>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</si>
  <si>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</si>
  <si>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</si>
  <si>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</si>
  <si>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</si>
  <si>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</si>
  <si>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</si>
  <si>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</si>
  <si>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</si>
  <si>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</si>
  <si>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</si>
  <si>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</si>
  <si>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</si>
  <si>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</si>
  <si>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</si>
  <si>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639.1</t>
  </si>
  <si>
    <t>640</t>
  </si>
  <si>
    <t>641</t>
  </si>
  <si>
    <t>641.1</t>
  </si>
  <si>
    <t>642</t>
  </si>
  <si>
    <t>643</t>
  </si>
  <si>
    <t>644</t>
  </si>
  <si>
    <t>645</t>
  </si>
  <si>
    <t>646</t>
  </si>
  <si>
    <t>647</t>
  </si>
  <si>
    <t>648</t>
  </si>
  <si>
    <t>649</t>
  </si>
  <si>
    <t>651</t>
  </si>
  <si>
    <t>652</t>
  </si>
  <si>
    <t>653</t>
  </si>
  <si>
    <t>654</t>
  </si>
  <si>
    <t>655</t>
  </si>
  <si>
    <t>656</t>
  </si>
  <si>
    <t>656.1</t>
  </si>
  <si>
    <t>657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</si>
  <si>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</si>
  <si>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</si>
  <si>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</si>
  <si>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</si>
  <si>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</si>
  <si>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</si>
  <si>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</si>
  <si>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</si>
  <si>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</si>
  <si>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02</t>
  </si>
  <si>
    <t>701</t>
  </si>
  <si>
    <t>702</t>
  </si>
  <si>
    <t>704</t>
  </si>
  <si>
    <t>705</t>
  </si>
  <si>
    <t>706</t>
  </si>
  <si>
    <t>707.1</t>
  </si>
  <si>
    <t>707.2</t>
  </si>
  <si>
    <t>708</t>
  </si>
  <si>
    <t>709</t>
  </si>
  <si>
    <t>709.1</t>
  </si>
  <si>
    <t>710</t>
  </si>
  <si>
    <t>711</t>
  </si>
  <si>
    <t>712</t>
  </si>
  <si>
    <t>713</t>
  </si>
  <si>
    <t>713.1</t>
  </si>
  <si>
    <t>714</t>
  </si>
  <si>
    <t>715</t>
  </si>
  <si>
    <t>716</t>
  </si>
  <si>
    <t>717</t>
  </si>
  <si>
    <t>718</t>
  </si>
  <si>
    <t>720</t>
  </si>
  <si>
    <t>-1</t>
  </si>
  <si>
    <t>001</t>
  </si>
  <si>
    <t>001.1</t>
  </si>
  <si>
    <t>Trap</t>
  </si>
  <si>
    <t>002</t>
  </si>
  <si>
    <t>003</t>
  </si>
  <si>
    <t>003.1</t>
  </si>
  <si>
    <t>004</t>
  </si>
  <si>
    <t>005</t>
  </si>
  <si>
    <t>006</t>
  </si>
  <si>
    <t>008</t>
  </si>
  <si>
    <t>010</t>
  </si>
  <si>
    <t>011</t>
  </si>
  <si>
    <t>012</t>
  </si>
  <si>
    <t>013</t>
  </si>
  <si>
    <t>014</t>
  </si>
  <si>
    <t>015</t>
  </si>
  <si>
    <t>016</t>
  </si>
  <si>
    <t>016.1</t>
  </si>
  <si>
    <t>017</t>
  </si>
  <si>
    <t>018</t>
  </si>
  <si>
    <t>018.1</t>
  </si>
  <si>
    <t>018.2</t>
  </si>
  <si>
    <t>020</t>
  </si>
  <si>
    <t>020.1</t>
  </si>
  <si>
    <t>021</t>
  </si>
  <si>
    <t>022</t>
  </si>
  <si>
    <t>050.0</t>
  </si>
  <si>
    <t>Gymzaal</t>
  </si>
  <si>
    <t>050.1</t>
  </si>
  <si>
    <t>050.2</t>
  </si>
  <si>
    <t>050.3</t>
  </si>
  <si>
    <t>050.4</t>
  </si>
  <si>
    <t>050.5</t>
  </si>
  <si>
    <t>050.6</t>
  </si>
  <si>
    <t>050.7</t>
  </si>
  <si>
    <t>Kleedruimte</t>
  </si>
  <si>
    <t>050.8</t>
  </si>
  <si>
    <t>050.9</t>
  </si>
  <si>
    <t>050.10</t>
  </si>
  <si>
    <t>050.11</t>
  </si>
  <si>
    <t>050.12</t>
  </si>
  <si>
    <t>050.13</t>
  </si>
  <si>
    <t>050.14</t>
  </si>
  <si>
    <t>050.15</t>
  </si>
  <si>
    <t>050.16</t>
  </si>
  <si>
    <t>050.17</t>
  </si>
  <si>
    <t>050.18</t>
  </si>
  <si>
    <t>050.19</t>
  </si>
  <si>
    <t>050.20</t>
  </si>
  <si>
    <t>050.21</t>
  </si>
  <si>
    <t>keuken</t>
  </si>
  <si>
    <t>TR</t>
  </si>
  <si>
    <t>Chemikalen opslag</t>
  </si>
  <si>
    <t>054.1</t>
  </si>
  <si>
    <t>054.2</t>
  </si>
  <si>
    <t>059.2</t>
  </si>
  <si>
    <t>061.1</t>
  </si>
  <si>
    <t>061.2</t>
  </si>
  <si>
    <t>062</t>
  </si>
  <si>
    <t>062.1</t>
  </si>
  <si>
    <t>077.1</t>
  </si>
  <si>
    <t>101</t>
  </si>
  <si>
    <t>106.1</t>
  </si>
  <si>
    <t>165.2</t>
  </si>
  <si>
    <t>165.3</t>
  </si>
  <si>
    <t>166.5</t>
  </si>
  <si>
    <t>190.1</t>
  </si>
  <si>
    <t>196.1</t>
  </si>
  <si>
    <t>196.2</t>
  </si>
  <si>
    <t>197.2</t>
  </si>
  <si>
    <t>197.3</t>
  </si>
  <si>
    <t>197.4</t>
  </si>
  <si>
    <t>197.6</t>
  </si>
  <si>
    <t>201</t>
  </si>
  <si>
    <t>201.1</t>
  </si>
  <si>
    <t>202.1</t>
  </si>
  <si>
    <t>202.3</t>
  </si>
  <si>
    <t>207.1</t>
  </si>
  <si>
    <t>K1</t>
  </si>
  <si>
    <t>03</t>
  </si>
  <si>
    <t>04</t>
  </si>
  <si>
    <t>05</t>
  </si>
  <si>
    <t>06</t>
  </si>
  <si>
    <t>K2</t>
  </si>
  <si>
    <t>46</t>
  </si>
  <si>
    <t>47</t>
  </si>
  <si>
    <t>48</t>
  </si>
  <si>
    <t>49</t>
  </si>
  <si>
    <t>Pompkamer</t>
  </si>
  <si>
    <t>verkeersruimte</t>
  </si>
  <si>
    <t>301.1</t>
  </si>
  <si>
    <t>303.2</t>
  </si>
  <si>
    <t>305.1</t>
  </si>
  <si>
    <t>werkkast</t>
  </si>
  <si>
    <t>305.2a</t>
  </si>
  <si>
    <t>305.4</t>
  </si>
  <si>
    <t>305.5a</t>
  </si>
  <si>
    <t>307.2</t>
  </si>
  <si>
    <t>307.2a</t>
  </si>
  <si>
    <t>307.3</t>
  </si>
  <si>
    <t>307.4</t>
  </si>
  <si>
    <t>307.5</t>
  </si>
  <si>
    <t>307.6</t>
  </si>
  <si>
    <t>314.1</t>
  </si>
  <si>
    <t>319.1</t>
  </si>
  <si>
    <t>berging</t>
  </si>
  <si>
    <t>350.1</t>
  </si>
  <si>
    <t>350.2</t>
  </si>
  <si>
    <t>350.2a</t>
  </si>
  <si>
    <t>lift</t>
  </si>
  <si>
    <t>350.3</t>
  </si>
  <si>
    <t>402.1</t>
  </si>
  <si>
    <t>schacht</t>
  </si>
  <si>
    <t>403.1</t>
  </si>
  <si>
    <t>406.1</t>
  </si>
  <si>
    <t>406.2</t>
  </si>
  <si>
    <t>406.3</t>
  </si>
  <si>
    <t>406.4</t>
  </si>
  <si>
    <t>406.4a</t>
  </si>
  <si>
    <t>406.5</t>
  </si>
  <si>
    <t>406.6</t>
  </si>
  <si>
    <t>406.7</t>
  </si>
  <si>
    <t>408.1</t>
  </si>
  <si>
    <t>408.2</t>
  </si>
  <si>
    <t>408.3</t>
  </si>
  <si>
    <t>408.4</t>
  </si>
  <si>
    <t>408.5</t>
  </si>
  <si>
    <t>408.6</t>
  </si>
  <si>
    <t>412</t>
  </si>
  <si>
    <t>413</t>
  </si>
  <si>
    <t>414</t>
  </si>
  <si>
    <t>414.1</t>
  </si>
  <si>
    <t>416.1</t>
  </si>
  <si>
    <t>417.1</t>
  </si>
  <si>
    <t>448</t>
  </si>
  <si>
    <t>448.1</t>
  </si>
  <si>
    <t>448.2</t>
  </si>
  <si>
    <t>450.1</t>
  </si>
  <si>
    <t>452.1</t>
  </si>
  <si>
    <t>455</t>
  </si>
  <si>
    <t>456</t>
  </si>
  <si>
    <t>7141 EA</t>
  </si>
  <si>
    <t>7131 XM </t>
  </si>
  <si>
    <t>Tegels/Steen</t>
  </si>
  <si>
    <t xml:space="preserve">PVC </t>
  </si>
  <si>
    <t>050</t>
  </si>
  <si>
    <t>051</t>
  </si>
  <si>
    <t>051.1</t>
  </si>
  <si>
    <t>051.2</t>
  </si>
  <si>
    <t>052</t>
  </si>
  <si>
    <t>053</t>
  </si>
  <si>
    <t>054</t>
  </si>
  <si>
    <t>056</t>
  </si>
  <si>
    <t>056.1</t>
  </si>
  <si>
    <t>057</t>
  </si>
  <si>
    <t>058</t>
  </si>
  <si>
    <t>059.5</t>
  </si>
  <si>
    <t>060</t>
  </si>
  <si>
    <t>063</t>
  </si>
  <si>
    <t>064</t>
  </si>
  <si>
    <t>064.1</t>
  </si>
  <si>
    <t>064.5</t>
  </si>
  <si>
    <t>065</t>
  </si>
  <si>
    <t>065.1</t>
  </si>
  <si>
    <t>065.2</t>
  </si>
  <si>
    <t>065.4</t>
  </si>
  <si>
    <t>065.5</t>
  </si>
  <si>
    <t>066</t>
  </si>
  <si>
    <t>066.1</t>
  </si>
  <si>
    <t>066.2</t>
  </si>
  <si>
    <t>066.3</t>
  </si>
  <si>
    <t>066.4</t>
  </si>
  <si>
    <t>066.6</t>
  </si>
  <si>
    <t>066.7</t>
  </si>
  <si>
    <t>069</t>
  </si>
  <si>
    <t>069.1</t>
  </si>
  <si>
    <t>070</t>
  </si>
  <si>
    <t>070.1</t>
  </si>
  <si>
    <t>071</t>
  </si>
  <si>
    <t>072.1</t>
  </si>
  <si>
    <t>072.2</t>
  </si>
  <si>
    <t>073</t>
  </si>
  <si>
    <t>075</t>
  </si>
  <si>
    <t>076</t>
  </si>
  <si>
    <t>076.1</t>
  </si>
  <si>
    <t>076.2</t>
  </si>
  <si>
    <t>076.5</t>
  </si>
  <si>
    <t>078</t>
  </si>
  <si>
    <t>078.1</t>
  </si>
  <si>
    <t>079</t>
  </si>
  <si>
    <t>079.1</t>
  </si>
  <si>
    <t>080</t>
  </si>
  <si>
    <t>081</t>
  </si>
  <si>
    <t>082</t>
  </si>
  <si>
    <t>083</t>
  </si>
  <si>
    <t>084</t>
  </si>
  <si>
    <t>085</t>
  </si>
  <si>
    <t>088</t>
  </si>
  <si>
    <t>090</t>
  </si>
  <si>
    <t>091</t>
  </si>
  <si>
    <t>092</t>
  </si>
  <si>
    <t>092.2</t>
  </si>
  <si>
    <t>093</t>
  </si>
  <si>
    <t>093.1</t>
  </si>
  <si>
    <t>094</t>
  </si>
  <si>
    <t>095</t>
  </si>
  <si>
    <t>096</t>
  </si>
  <si>
    <t>097</t>
  </si>
  <si>
    <t>097.1</t>
  </si>
  <si>
    <t>098.1</t>
  </si>
  <si>
    <t>098.2</t>
  </si>
  <si>
    <t>098.3</t>
  </si>
  <si>
    <t>099</t>
  </si>
  <si>
    <t>099.1</t>
  </si>
  <si>
    <t>099.3</t>
  </si>
  <si>
    <t>Praktijklokaal</t>
  </si>
  <si>
    <t>lokaal</t>
  </si>
  <si>
    <t>Hout</t>
  </si>
  <si>
    <t>bg</t>
  </si>
  <si>
    <t>159.1</t>
  </si>
  <si>
    <t>162</t>
  </si>
  <si>
    <t>177</t>
  </si>
  <si>
    <t>1e</t>
  </si>
  <si>
    <t>2e</t>
  </si>
  <si>
    <t>Hoofdgebouw</t>
  </si>
  <si>
    <t>Sigmafloor aqua satin</t>
  </si>
  <si>
    <t>bgg</t>
  </si>
  <si>
    <t>Gietvloer</t>
  </si>
  <si>
    <t>Schoonloopmat</t>
  </si>
  <si>
    <t>Betonvloer</t>
  </si>
  <si>
    <t>nvt</t>
  </si>
  <si>
    <t>305.2</t>
  </si>
  <si>
    <t>Liftportaal</t>
  </si>
  <si>
    <t>408.4a</t>
  </si>
  <si>
    <t>Kabinet</t>
  </si>
  <si>
    <t>Groenlo - Gymzaal</t>
  </si>
  <si>
    <t>2027</t>
  </si>
  <si>
    <t>T1</t>
  </si>
  <si>
    <t>Tuckerpool</t>
  </si>
  <si>
    <t>Lichtenvoorde gebouw 1</t>
  </si>
  <si>
    <t>Lichtenvoorde gebouw 3</t>
  </si>
  <si>
    <t>Extra werkzaamheden</t>
  </si>
  <si>
    <t>Extra werkzaamheden
Kosten / jaar</t>
  </si>
  <si>
    <t>Gladheidbestrijding</t>
  </si>
  <si>
    <t>Sprayen</t>
  </si>
  <si>
    <t>Sneeuwruimen</t>
  </si>
  <si>
    <t>Conciërge taken (tussen 6.00 en 21.30 uur)</t>
  </si>
  <si>
    <t>Conciërge taken (avond, na 21.30 uur)</t>
  </si>
  <si>
    <t>Prijs per strekkende meter</t>
  </si>
  <si>
    <t>Omschrijving</t>
  </si>
  <si>
    <t>Toelichting</t>
  </si>
  <si>
    <t>Beroepspraktijklokalen</t>
  </si>
  <si>
    <t>aantal uur per keer/meter</t>
  </si>
  <si>
    <t>spaaruren</t>
  </si>
  <si>
    <t>Ingangsdatum werkzaam op object</t>
  </si>
  <si>
    <t>MEDEW. ALGEMEEN SCHOONMAAKONDERHOUD I</t>
  </si>
  <si>
    <t>MEEW. VOORMAN/-VROUW ALG. SCHOONM ODH I</t>
  </si>
  <si>
    <t>MEDEW. ALGEMEEN SCHOONMAAKONDERHOUD II</t>
  </si>
  <si>
    <t>X011</t>
  </si>
  <si>
    <t>X081</t>
  </si>
  <si>
    <t>X012</t>
  </si>
  <si>
    <t>1</t>
  </si>
  <si>
    <t>3</t>
  </si>
  <si>
    <t>2</t>
  </si>
  <si>
    <t>ja</t>
  </si>
  <si>
    <t>nee</t>
  </si>
  <si>
    <t>Reiskosten op basis van CAO</t>
  </si>
  <si>
    <t>Ja</t>
  </si>
  <si>
    <t>Nr.</t>
  </si>
  <si>
    <t>Ruimte gebruiks-intentie</t>
  </si>
  <si>
    <t xml:space="preserve">Kantoor </t>
  </si>
  <si>
    <t xml:space="preserve">kantoor </t>
  </si>
  <si>
    <t>Sanitair miva</t>
  </si>
  <si>
    <t xml:space="preserve">Sanitair  </t>
  </si>
  <si>
    <t xml:space="preserve">Berging </t>
  </si>
  <si>
    <t>Netwerklokaal</t>
  </si>
  <si>
    <t>Liftmachinekamer</t>
  </si>
  <si>
    <t>Beroepspraktijklokaal</t>
  </si>
  <si>
    <t>Tuinkas</t>
  </si>
  <si>
    <t>Beton</t>
  </si>
  <si>
    <t xml:space="preserve">Lokaal  </t>
  </si>
  <si>
    <t xml:space="preserve">Werkkast </t>
  </si>
  <si>
    <t>repro en berging</t>
  </si>
  <si>
    <t xml:space="preserve">Kantoor  </t>
  </si>
  <si>
    <t xml:space="preserve">TR </t>
  </si>
  <si>
    <t>052.1</t>
  </si>
  <si>
    <t>064.4</t>
  </si>
  <si>
    <t xml:space="preserve">Kleedruimte </t>
  </si>
  <si>
    <t>Sanitair, miva</t>
  </si>
  <si>
    <t>kantoor</t>
  </si>
  <si>
    <t>beroepspraktijklokaal</t>
  </si>
  <si>
    <t>092.1</t>
  </si>
  <si>
    <t xml:space="preserve">Sanitair </t>
  </si>
  <si>
    <t>praktijklokaal</t>
  </si>
  <si>
    <t>197.5</t>
  </si>
  <si>
    <t>Metaal</t>
  </si>
  <si>
    <t>tegels/Steen</t>
  </si>
  <si>
    <t>Gladde gevelbeplating</t>
  </si>
  <si>
    <t>Planning in overleg met opdrachtgever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</si>
</sst>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_-&quot;fl&quot;\ * #,##0.00_-;_-&quot;fl&quot;\ * #,##0.00\-;_-&quot;fl&quot;\ * &quot;-&quot;??_-;_-@_-"/>
    <numFmt numFmtId="167" formatCode="_(&quot;$&quot;* #,##0.00_);_(&quot;$&quot;* \(#,##0.00\);_(&quot;$&quot;* &quot;-&quot;??_);_(@_)"/>
    <numFmt numFmtId="168" formatCode="_(* #,##0.00_);_(* \(#,##0.00\);_(* &quot;-&quot;??_);_(@_)"/>
    <numFmt numFmtId="169" formatCode="0.000"/>
    <numFmt numFmtId="170" formatCode="0.000%"/>
    <numFmt numFmtId="171" formatCode="_([$€]* #,##0.00_);_([$€]* \(#,##0.00\);_([$€]* &quot;-&quot;??_);_(@_)"/>
    <numFmt numFmtId="172" formatCode="_-[$€-2]\ * #,##0.00_-;_-[$€-2]\ * #,##0.00\-;_-[$€-2]\ * &quot;-&quot;??_-;_-@_-"/>
    <numFmt numFmtId="173" formatCode="_ [$€-413]\ * #,##0.00_ ;_ [$€-413]\ * \-#,##0.00_ ;_ [$€-413]\ * &quot;-&quot;??_ ;_ @_ "/>
    <numFmt numFmtId="174" formatCode="0\ &quot;m2&quot;"/>
    <numFmt numFmtId="175" formatCode="_-&quot;F&quot;\ * #,##0_-;_-&quot;F&quot;\ * #,##0\-;_-&quot;F&quot;\ * &quot;-&quot;_-;_-@_-"/>
    <numFmt numFmtId="176" formatCode="_-&quot;F&quot;\ * #,##0.00_-;_-&quot;F&quot;\ * #,##0.00\-;_-&quot;F&quot;\ * &quot;-&quot;??_-;_-@_-"/>
    <numFmt numFmtId="177" formatCode="General\ &quot;m²&quot;"/>
    <numFmt numFmtId="178" formatCode="0.00\ &quot;m²&quot;"/>
    <numFmt numFmtId="179" formatCode="#,##0.0"/>
    <numFmt numFmtId="180" formatCode="#,##0_ ;\-#,##0\ "/>
    <numFmt numFmtId="181" formatCode="#,##0.0_ ;\-#,##0.0\ "/>
    <numFmt numFmtId="182" formatCode="_ [$€-2]\ * #,##0.00_ ;_ [$€-2]\ * \-#,##0.00_ ;_ [$€-2]\ * &quot;-&quot;??_ ;_ @_ "/>
  </numFmts>
  <fonts count="52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u/>
      <sz val="10"/>
      <color indexed="36"/>
      <name val="Univers"/>
      <family val="2"/>
    </font>
    <font>
      <b/>
      <sz val="10"/>
      <name val="Arial"/>
      <family val="2"/>
    </font>
    <font>
      <sz val="9"/>
      <name val="Humnst777 BT"/>
      <family val="2"/>
    </font>
    <font>
      <sz val="10"/>
      <name val="Courier"/>
      <family val="3"/>
    </font>
    <font>
      <b/>
      <sz val="11"/>
      <color indexed="9"/>
      <name val="Century Gothic"/>
      <family val="2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9"/>
      <name val="Verdana"/>
      <family val="2"/>
    </font>
    <font>
      <b/>
      <u/>
      <sz val="9"/>
      <name val="Verdana"/>
      <family val="2"/>
    </font>
    <font>
      <b/>
      <sz val="9"/>
      <name val="Verdana"/>
      <family val="2"/>
    </font>
    <font>
      <sz val="9"/>
      <color indexed="9"/>
      <name val="Verdana"/>
      <family val="2"/>
    </font>
    <font>
      <u/>
      <sz val="9"/>
      <name val="Verdana"/>
      <family val="2"/>
    </font>
    <font>
      <vertAlign val="superscript"/>
      <sz val="9"/>
      <name val="Verdana"/>
      <family val="2"/>
    </font>
    <font>
      <sz val="9"/>
      <color indexed="8"/>
      <name val="Verdana"/>
      <family val="2"/>
    </font>
    <font>
      <b/>
      <sz val="9"/>
      <color indexed="8"/>
      <name val="Verdana"/>
      <family val="2"/>
    </font>
    <font>
      <b/>
      <u/>
      <sz val="12"/>
      <name val="Verdana"/>
      <family val="2"/>
    </font>
    <font>
      <b/>
      <sz val="9"/>
      <color theme="0"/>
      <name val="Verdana"/>
      <family val="2"/>
    </font>
    <font>
      <sz val="9"/>
      <color theme="0"/>
      <name val="Verdana"/>
      <family val="2"/>
    </font>
    <font>
      <sz val="9"/>
      <color theme="1"/>
      <name val="Verdana"/>
      <family val="2"/>
    </font>
    <font>
      <sz val="9"/>
      <color theme="4"/>
      <name val="Verdana"/>
      <family val="2"/>
    </font>
    <font>
      <b/>
      <sz val="12"/>
      <color theme="0"/>
      <name val="Verdana"/>
      <family val="2"/>
    </font>
    <font>
      <b/>
      <sz val="10"/>
      <color theme="0"/>
      <name val="Verdana"/>
      <family val="2"/>
    </font>
    <font>
      <b/>
      <sz val="9"/>
      <color theme="1"/>
      <name val="Verdana"/>
      <family val="2"/>
    </font>
    <font>
      <sz val="9"/>
      <name val="Verdana"/>
      <family val="2"/>
    </font>
    <font>
      <sz val="10"/>
      <name val="Verdana"/>
      <family val="2"/>
    </font>
    <font>
      <sz val="9"/>
      <name val="Verdana"/>
      <family val="2"/>
    </font>
    <font>
      <sz val="10"/>
      <color theme="1"/>
      <name val="Verdana"/>
      <family val="2"/>
    </font>
    <font>
      <sz val="10"/>
      <name val="Arial"/>
      <family val="2"/>
    </font>
    <font>
      <sz val="9"/>
      <name val="Verdana"/>
      <family val="2"/>
    </font>
    <font>
      <b/>
      <sz val="9"/>
      <color rgb="FFFF0000"/>
      <name val="Verdana"/>
      <family val="2"/>
    </font>
    <font>
      <sz val="9"/>
      <name val="Geneva"/>
    </font>
    <font>
      <sz val="10"/>
      <color indexed="8"/>
      <name val="Arial"/>
      <family val="2"/>
    </font>
    <font>
      <sz val="9"/>
      <name val="Verdana"/>
      <family val="2"/>
    </font>
    <font>
      <sz val="9"/>
      <name val="Verdana"/>
      <family val="2"/>
    </font>
    <font>
      <b/>
      <sz val="9"/>
      <color rgb="FFFFFFFF"/>
      <name val="Verdana"/>
      <family val="2"/>
    </font>
  </fonts>
  <fills count="1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1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/>
        <bgColor theme="4"/>
      </patternFill>
    </fill>
    <fill>
      <patternFill patternType="solid">
        <fgColor theme="4"/>
        <bgColor indexed="64"/>
      </patternFill>
    </fill>
    <fill>
      <patternFill patternType="solid">
        <fgColor theme="0" tint="-0.249977111117893"/>
        <bgColor theme="4" tint="0.79998168889431442"/>
      </patternFill>
    </fill>
    <fill>
      <patternFill patternType="solid">
        <fgColor theme="0" tint="-0.249977111117893"/>
        <bgColor theme="4" tint="0.5999938962981048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/>
      <top/>
      <bottom style="thick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ck">
        <color theme="0"/>
      </top>
      <bottom/>
      <diagonal/>
    </border>
  </borders>
  <cellStyleXfs count="58">
    <xf numFmtId="0" fontId="0" fillId="0" borderId="0"/>
    <xf numFmtId="0" fontId="12" fillId="0" borderId="0"/>
    <xf numFmtId="171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64" fontId="1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168" fontId="5" fillId="0" borderId="0" applyFont="0" applyFill="0" applyBorder="0" applyAlignment="0" applyProtection="0"/>
    <xf numFmtId="168" fontId="4" fillId="0" borderId="0" applyFont="0" applyFill="0" applyBorder="0" applyAlignment="0" applyProtection="0"/>
    <xf numFmtId="165" fontId="7" fillId="0" borderId="0">
      <alignment horizontal="center" vertical="center" textRotation="90" wrapText="1"/>
    </xf>
    <xf numFmtId="0" fontId="14" fillId="2" borderId="1"/>
    <xf numFmtId="174" fontId="8" fillId="0" borderId="0"/>
    <xf numFmtId="0" fontId="15" fillId="0" borderId="0" applyNumberFormat="0" applyBorder="0">
      <protection locked="0"/>
    </xf>
    <xf numFmtId="0" fontId="16" fillId="0" borderId="0"/>
    <xf numFmtId="0" fontId="17" fillId="3" borderId="2" applyNumberFormat="0" applyFont="0" applyFill="0" applyBorder="0" applyAlignment="0">
      <alignment horizontal="right"/>
    </xf>
    <xf numFmtId="0" fontId="14" fillId="4" borderId="3" applyNumberFormat="0" applyFont="0" applyBorder="0">
      <alignment horizontal="center"/>
    </xf>
    <xf numFmtId="0" fontId="10" fillId="0" borderId="0"/>
    <xf numFmtId="0" fontId="21" fillId="0" borderId="0"/>
    <xf numFmtId="0" fontId="4" fillId="0" borderId="0"/>
    <xf numFmtId="167" fontId="4" fillId="0" borderId="0" applyFont="0" applyFill="0" applyBorder="0" applyAlignment="0" applyProtection="0"/>
    <xf numFmtId="175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8" fillId="2" borderId="1"/>
    <xf numFmtId="0" fontId="4" fillId="0" borderId="0"/>
    <xf numFmtId="0" fontId="3" fillId="0" borderId="0"/>
    <xf numFmtId="9" fontId="4" fillId="0" borderId="0" applyFont="0" applyFill="0" applyBorder="0" applyAlignment="0" applyProtection="0"/>
    <xf numFmtId="0" fontId="2" fillId="0" borderId="0"/>
    <xf numFmtId="44" fontId="4" fillId="0" borderId="0" applyFont="0" applyFill="0" applyBorder="0" applyAlignment="0" applyProtection="0"/>
    <xf numFmtId="0" fontId="2" fillId="0" borderId="0"/>
    <xf numFmtId="4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44" fontId="44" fillId="0" borderId="0" applyFont="0" applyFill="0" applyBorder="0" applyAlignment="0" applyProtection="0"/>
    <xf numFmtId="0" fontId="47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72">
    <xf numFmtId="0" fontId="0" fillId="0" borderId="0" xfId="0"/>
    <xf numFmtId="0" fontId="24" fillId="0" borderId="0" xfId="0" applyFont="1" applyAlignment="1">
      <alignment horizontal="center"/>
    </xf>
    <xf numFmtId="0" fontId="24" fillId="0" borderId="0" xfId="0" applyFont="1"/>
    <xf numFmtId="0" fontId="30" fillId="0" borderId="0" xfId="29" applyFont="1"/>
    <xf numFmtId="0" fontId="24" fillId="0" borderId="0" xfId="0" applyFont="1" applyAlignment="1">
      <alignment vertical="center"/>
    </xf>
    <xf numFmtId="0" fontId="26" fillId="0" borderId="0" xfId="0" applyFont="1" applyAlignment="1">
      <alignment horizontal="center"/>
    </xf>
    <xf numFmtId="169" fontId="24" fillId="0" borderId="0" xfId="0" applyNumberFormat="1" applyFont="1"/>
    <xf numFmtId="2" fontId="24" fillId="0" borderId="0" xfId="0" applyNumberFormat="1" applyFont="1"/>
    <xf numFmtId="0" fontId="24" fillId="0" borderId="0" xfId="0" applyFont="1" applyAlignment="1">
      <alignment vertical="center" wrapText="1"/>
    </xf>
    <xf numFmtId="0" fontId="24" fillId="0" borderId="0" xfId="30" applyFont="1" applyAlignment="1">
      <alignment vertical="center"/>
    </xf>
    <xf numFmtId="164" fontId="24" fillId="5" borderId="9" xfId="0" applyNumberFormat="1" applyFont="1" applyFill="1" applyBorder="1" applyAlignment="1">
      <alignment horizontal="left" vertical="center"/>
    </xf>
    <xf numFmtId="10" fontId="24" fillId="5" borderId="9" xfId="0" applyNumberFormat="1" applyFont="1" applyFill="1" applyBorder="1" applyAlignment="1">
      <alignment horizontal="center" vertical="center"/>
    </xf>
    <xf numFmtId="173" fontId="24" fillId="0" borderId="9" xfId="0" applyNumberFormat="1" applyFont="1" applyBorder="1" applyAlignment="1">
      <alignment vertical="center"/>
    </xf>
    <xf numFmtId="10" fontId="24" fillId="0" borderId="9" xfId="0" applyNumberFormat="1" applyFont="1" applyBorder="1" applyAlignment="1">
      <alignment horizontal="center" vertical="center"/>
    </xf>
    <xf numFmtId="171" fontId="24" fillId="0" borderId="9" xfId="2" applyFont="1" applyBorder="1" applyAlignment="1" applyProtection="1">
      <alignment horizontal="left" vertical="center"/>
      <protection locked="0"/>
    </xf>
    <xf numFmtId="172" fontId="24" fillId="0" borderId="9" xfId="31" applyNumberFormat="1" applyFont="1" applyBorder="1" applyAlignment="1" applyProtection="1">
      <alignment horizontal="left" vertical="center"/>
      <protection hidden="1"/>
    </xf>
    <xf numFmtId="0" fontId="28" fillId="0" borderId="0" xfId="0" applyFont="1" applyAlignment="1">
      <alignment vertical="center"/>
    </xf>
    <xf numFmtId="0" fontId="26" fillId="0" borderId="0" xfId="0" applyFont="1" applyAlignment="1">
      <alignment horizontal="center" vertical="center"/>
    </xf>
    <xf numFmtId="170" fontId="24" fillId="0" borderId="0" xfId="0" applyNumberFormat="1" applyFont="1" applyAlignment="1">
      <alignment vertical="center"/>
    </xf>
    <xf numFmtId="170" fontId="24" fillId="0" borderId="0" xfId="0" applyNumberFormat="1" applyFont="1" applyAlignment="1" applyProtection="1">
      <alignment horizontal="center" vertical="center"/>
      <protection locked="0"/>
    </xf>
    <xf numFmtId="166" fontId="24" fillId="0" borderId="0" xfId="0" applyNumberFormat="1" applyFont="1" applyAlignment="1" applyProtection="1">
      <alignment horizontal="left" vertical="center"/>
      <protection hidden="1"/>
    </xf>
    <xf numFmtId="0" fontId="24" fillId="0" borderId="0" xfId="0" applyFont="1" applyAlignment="1">
      <alignment horizontal="center" vertical="center"/>
    </xf>
    <xf numFmtId="170" fontId="24" fillId="0" borderId="0" xfId="0" applyNumberFormat="1" applyFont="1" applyAlignment="1">
      <alignment horizontal="center" vertical="center"/>
    </xf>
    <xf numFmtId="172" fontId="24" fillId="0" borderId="0" xfId="31" applyNumberFormat="1" applyFont="1" applyAlignment="1" applyProtection="1">
      <alignment horizontal="left" vertical="center"/>
      <protection hidden="1"/>
    </xf>
    <xf numFmtId="171" fontId="24" fillId="0" borderId="0" xfId="2" applyFont="1" applyAlignment="1" applyProtection="1">
      <alignment horizontal="left" vertical="center"/>
      <protection locked="0"/>
    </xf>
    <xf numFmtId="9" fontId="24" fillId="0" borderId="9" xfId="0" applyNumberFormat="1" applyFont="1" applyBorder="1" applyAlignment="1">
      <alignment horizontal="center" vertical="center"/>
    </xf>
    <xf numFmtId="173" fontId="24" fillId="0" borderId="9" xfId="0" applyNumberFormat="1" applyFont="1" applyBorder="1" applyAlignment="1" applyProtection="1">
      <alignment vertical="center"/>
      <protection locked="0"/>
    </xf>
    <xf numFmtId="173" fontId="24" fillId="0" borderId="9" xfId="2" applyNumberFormat="1" applyFont="1" applyBorder="1" applyAlignment="1" applyProtection="1">
      <alignment horizontal="left" vertical="center"/>
      <protection hidden="1"/>
    </xf>
    <xf numFmtId="173" fontId="24" fillId="0" borderId="0" xfId="0" applyNumberFormat="1" applyFont="1" applyAlignment="1">
      <alignment vertical="center"/>
    </xf>
    <xf numFmtId="0" fontId="24" fillId="0" borderId="0" xfId="30" applyFont="1" applyAlignment="1">
      <alignment vertical="center" wrapText="1"/>
    </xf>
    <xf numFmtId="0" fontId="24" fillId="0" borderId="0" xfId="30" applyFont="1" applyAlignment="1">
      <alignment horizontal="center" vertical="center"/>
    </xf>
    <xf numFmtId="0" fontId="24" fillId="0" borderId="0" xfId="0" applyFont="1" applyAlignment="1">
      <alignment wrapText="1"/>
    </xf>
    <xf numFmtId="2" fontId="24" fillId="0" borderId="0" xfId="0" applyNumberFormat="1" applyFont="1" applyAlignment="1">
      <alignment vertical="center" wrapText="1"/>
    </xf>
    <xf numFmtId="0" fontId="24" fillId="0" borderId="0" xfId="0" applyFont="1" applyAlignment="1">
      <alignment horizontal="center" vertical="center" wrapText="1"/>
    </xf>
    <xf numFmtId="4" fontId="24" fillId="0" borderId="0" xfId="0" applyNumberFormat="1" applyFont="1" applyAlignment="1">
      <alignment vertical="center"/>
    </xf>
    <xf numFmtId="4" fontId="24" fillId="0" borderId="0" xfId="0" applyNumberFormat="1" applyFont="1" applyAlignment="1">
      <alignment horizontal="center" vertical="center"/>
    </xf>
    <xf numFmtId="164" fontId="24" fillId="0" borderId="0" xfId="8" applyFont="1" applyAlignment="1">
      <alignment vertical="center"/>
    </xf>
    <xf numFmtId="0" fontId="26" fillId="0" borderId="0" xfId="0" applyFont="1" applyAlignment="1">
      <alignment vertical="center"/>
    </xf>
    <xf numFmtId="3" fontId="24" fillId="0" borderId="0" xfId="0" applyNumberFormat="1" applyFont="1" applyAlignment="1">
      <alignment horizontal="center" vertical="center"/>
    </xf>
    <xf numFmtId="2" fontId="27" fillId="0" borderId="0" xfId="0" applyNumberFormat="1" applyFont="1" applyAlignment="1">
      <alignment horizontal="left" vertical="center"/>
    </xf>
    <xf numFmtId="164" fontId="24" fillId="6" borderId="0" xfId="0" applyNumberFormat="1" applyFont="1" applyFill="1" applyAlignment="1">
      <alignment horizontal="center" vertical="center"/>
    </xf>
    <xf numFmtId="3" fontId="24" fillId="0" borderId="0" xfId="8" applyNumberFormat="1" applyFont="1" applyAlignment="1">
      <alignment vertical="center"/>
    </xf>
    <xf numFmtId="0" fontId="24" fillId="0" borderId="5" xfId="30" applyFont="1" applyBorder="1" applyAlignment="1">
      <alignment vertical="center"/>
    </xf>
    <xf numFmtId="0" fontId="24" fillId="0" borderId="10" xfId="30" applyFont="1" applyBorder="1" applyAlignment="1">
      <alignment vertical="center"/>
    </xf>
    <xf numFmtId="0" fontId="31" fillId="0" borderId="0" xfId="29" applyFont="1"/>
    <xf numFmtId="0" fontId="30" fillId="0" borderId="0" xfId="29" applyFont="1" applyAlignment="1">
      <alignment horizontal="center" vertical="center"/>
    </xf>
    <xf numFmtId="173" fontId="34" fillId="9" borderId="13" xfId="0" applyNumberFormat="1" applyFont="1" applyFill="1" applyBorder="1" applyAlignment="1">
      <alignment horizontal="center" vertical="center" wrapText="1"/>
    </xf>
    <xf numFmtId="1" fontId="35" fillId="8" borderId="0" xfId="30" applyNumberFormat="1" applyFont="1" applyFill="1" applyAlignment="1">
      <alignment horizontal="center" vertical="center"/>
    </xf>
    <xf numFmtId="0" fontId="35" fillId="8" borderId="0" xfId="30" applyFont="1" applyFill="1" applyAlignment="1">
      <alignment horizontal="left" vertical="center"/>
    </xf>
    <xf numFmtId="1" fontId="35" fillId="7" borderId="0" xfId="30" applyNumberFormat="1" applyFont="1" applyFill="1" applyAlignment="1">
      <alignment horizontal="center" vertical="center"/>
    </xf>
    <xf numFmtId="0" fontId="35" fillId="7" borderId="0" xfId="30" applyFont="1" applyFill="1" applyAlignment="1">
      <alignment horizontal="left" vertical="center"/>
    </xf>
    <xf numFmtId="0" fontId="34" fillId="9" borderId="0" xfId="0" applyFont="1" applyFill="1" applyAlignment="1">
      <alignment horizontal="center" vertical="center" wrapText="1"/>
    </xf>
    <xf numFmtId="0" fontId="34" fillId="9" borderId="0" xfId="0" applyFont="1" applyFill="1" applyAlignment="1">
      <alignment vertical="center" wrapText="1"/>
    </xf>
    <xf numFmtId="164" fontId="34" fillId="9" borderId="0" xfId="0" applyNumberFormat="1" applyFont="1" applyFill="1" applyAlignment="1">
      <alignment horizontal="center" vertical="center" wrapText="1"/>
    </xf>
    <xf numFmtId="0" fontId="35" fillId="8" borderId="0" xfId="0" applyFont="1" applyFill="1" applyAlignment="1">
      <alignment horizontal="center" vertical="center"/>
    </xf>
    <xf numFmtId="0" fontId="35" fillId="8" borderId="0" xfId="0" applyFont="1" applyFill="1" applyAlignment="1">
      <alignment vertical="center"/>
    </xf>
    <xf numFmtId="164" fontId="35" fillId="5" borderId="0" xfId="0" applyNumberFormat="1" applyFont="1" applyFill="1" applyAlignment="1">
      <alignment horizontal="center" vertical="center"/>
    </xf>
    <xf numFmtId="0" fontId="35" fillId="7" borderId="0" xfId="0" applyFont="1" applyFill="1" applyAlignment="1">
      <alignment horizontal="center" vertical="center"/>
    </xf>
    <xf numFmtId="0" fontId="35" fillId="7" borderId="0" xfId="0" applyFont="1" applyFill="1" applyAlignment="1">
      <alignment vertical="center"/>
    </xf>
    <xf numFmtId="0" fontId="35" fillId="8" borderId="0" xfId="0" applyFont="1" applyFill="1" applyAlignment="1">
      <alignment horizontal="left" vertical="center"/>
    </xf>
    <xf numFmtId="4" fontId="35" fillId="7" borderId="0" xfId="0" applyNumberFormat="1" applyFont="1" applyFill="1" applyAlignment="1">
      <alignment horizontal="left" vertical="center"/>
    </xf>
    <xf numFmtId="0" fontId="35" fillId="7" borderId="0" xfId="0" applyFont="1" applyFill="1" applyAlignment="1">
      <alignment horizontal="left" vertical="center"/>
    </xf>
    <xf numFmtId="4" fontId="34" fillId="9" borderId="0" xfId="0" applyNumberFormat="1" applyFont="1" applyFill="1" applyAlignment="1">
      <alignment horizontal="center" vertical="center" wrapText="1"/>
    </xf>
    <xf numFmtId="164" fontId="34" fillId="9" borderId="0" xfId="8" applyFont="1" applyFill="1" applyAlignment="1">
      <alignment horizontal="center" vertical="center" wrapText="1"/>
    </xf>
    <xf numFmtId="4" fontId="35" fillId="8" borderId="0" xfId="0" applyNumberFormat="1" applyFont="1" applyFill="1" applyAlignment="1">
      <alignment vertical="center"/>
    </xf>
    <xf numFmtId="4" fontId="35" fillId="8" borderId="0" xfId="0" applyNumberFormat="1" applyFont="1" applyFill="1" applyAlignment="1">
      <alignment horizontal="center" vertical="center"/>
    </xf>
    <xf numFmtId="173" fontId="35" fillId="8" borderId="0" xfId="0" applyNumberFormat="1" applyFont="1" applyFill="1" applyAlignment="1">
      <alignment horizontal="center" vertical="center"/>
    </xf>
    <xf numFmtId="3" fontId="35" fillId="8" borderId="0" xfId="0" applyNumberFormat="1" applyFont="1" applyFill="1" applyAlignment="1">
      <alignment horizontal="center" vertical="center"/>
    </xf>
    <xf numFmtId="4" fontId="35" fillId="7" borderId="0" xfId="0" applyNumberFormat="1" applyFont="1" applyFill="1" applyAlignment="1">
      <alignment vertical="center"/>
    </xf>
    <xf numFmtId="4" fontId="35" fillId="7" borderId="0" xfId="0" applyNumberFormat="1" applyFont="1" applyFill="1" applyAlignment="1">
      <alignment horizontal="center" vertical="center"/>
    </xf>
    <xf numFmtId="173" fontId="35" fillId="7" borderId="0" xfId="0" applyNumberFormat="1" applyFont="1" applyFill="1" applyAlignment="1">
      <alignment horizontal="center" vertical="center"/>
    </xf>
    <xf numFmtId="3" fontId="35" fillId="7" borderId="0" xfId="0" applyNumberFormat="1" applyFont="1" applyFill="1" applyAlignment="1">
      <alignment horizontal="center" vertical="center"/>
    </xf>
    <xf numFmtId="0" fontId="24" fillId="6" borderId="0" xfId="0" applyFont="1" applyFill="1"/>
    <xf numFmtId="0" fontId="24" fillId="6" borderId="0" xfId="0" applyFont="1" applyFill="1" applyAlignment="1">
      <alignment horizontal="center"/>
    </xf>
    <xf numFmtId="0" fontId="24" fillId="6" borderId="0" xfId="0" applyFont="1" applyFill="1" applyAlignment="1">
      <alignment wrapText="1"/>
    </xf>
    <xf numFmtId="0" fontId="26" fillId="0" borderId="0" xfId="0" applyFont="1" applyAlignment="1">
      <alignment horizontal="center" vertical="center" wrapText="1"/>
    </xf>
    <xf numFmtId="0" fontId="33" fillId="9" borderId="0" xfId="0" applyFont="1" applyFill="1" applyAlignment="1">
      <alignment horizontal="center" vertical="center" wrapText="1"/>
    </xf>
    <xf numFmtId="4" fontId="33" fillId="9" borderId="0" xfId="0" applyNumberFormat="1" applyFont="1" applyFill="1" applyAlignment="1">
      <alignment horizontal="center" vertical="center" wrapText="1"/>
    </xf>
    <xf numFmtId="164" fontId="33" fillId="9" borderId="0" xfId="8" applyFont="1" applyFill="1" applyAlignment="1">
      <alignment horizontal="center" vertical="center" wrapText="1"/>
    </xf>
    <xf numFmtId="0" fontId="24" fillId="0" borderId="0" xfId="0" applyFont="1" applyAlignment="1">
      <alignment horizontal="center" vertical="center" textRotation="90"/>
    </xf>
    <xf numFmtId="0" fontId="24" fillId="0" borderId="9" xfId="0" applyFont="1" applyBorder="1" applyAlignment="1">
      <alignment horizontal="center" vertical="center" textRotation="90"/>
    </xf>
    <xf numFmtId="0" fontId="32" fillId="0" borderId="0" xfId="30" applyFont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textRotation="90" wrapText="1"/>
    </xf>
    <xf numFmtId="173" fontId="24" fillId="5" borderId="0" xfId="0" applyNumberFormat="1" applyFont="1" applyFill="1" applyAlignment="1">
      <alignment vertical="center"/>
    </xf>
    <xf numFmtId="0" fontId="24" fillId="6" borderId="0" xfId="0" applyFont="1" applyFill="1" applyAlignment="1">
      <alignment horizontal="center" vertical="center" textRotation="90"/>
    </xf>
    <xf numFmtId="0" fontId="24" fillId="6" borderId="0" xfId="0" applyFont="1" applyFill="1" applyAlignment="1">
      <alignment vertical="center"/>
    </xf>
    <xf numFmtId="168" fontId="24" fillId="0" borderId="0" xfId="19" applyFont="1" applyAlignment="1">
      <alignment horizontal="center" vertical="center" wrapText="1"/>
    </xf>
    <xf numFmtId="173" fontId="24" fillId="0" borderId="0" xfId="0" applyNumberFormat="1" applyFont="1" applyAlignment="1">
      <alignment horizontal="center" vertical="center" wrapText="1"/>
    </xf>
    <xf numFmtId="0" fontId="24" fillId="6" borderId="0" xfId="0" applyFont="1" applyFill="1" applyAlignment="1">
      <alignment horizontal="center" vertical="center" wrapText="1"/>
    </xf>
    <xf numFmtId="0" fontId="24" fillId="6" borderId="0" xfId="0" applyFont="1" applyFill="1" applyAlignment="1">
      <alignment vertical="center" wrapText="1"/>
    </xf>
    <xf numFmtId="2" fontId="24" fillId="6" borderId="0" xfId="0" applyNumberFormat="1" applyFont="1" applyFill="1"/>
    <xf numFmtId="169" fontId="24" fillId="6" borderId="0" xfId="0" applyNumberFormat="1" applyFont="1" applyFill="1"/>
    <xf numFmtId="17" fontId="24" fillId="6" borderId="0" xfId="0" applyNumberFormat="1" applyFont="1" applyFill="1" applyAlignment="1">
      <alignment horizontal="center"/>
    </xf>
    <xf numFmtId="2" fontId="26" fillId="6" borderId="0" xfId="0" applyNumberFormat="1" applyFont="1" applyFill="1" applyAlignment="1">
      <alignment vertical="center"/>
    </xf>
    <xf numFmtId="169" fontId="24" fillId="6" borderId="0" xfId="0" applyNumberFormat="1" applyFont="1" applyFill="1" applyAlignment="1">
      <alignment vertical="center"/>
    </xf>
    <xf numFmtId="0" fontId="24" fillId="6" borderId="0" xfId="0" applyFont="1" applyFill="1" applyAlignment="1">
      <alignment horizontal="center" vertical="center"/>
    </xf>
    <xf numFmtId="169" fontId="24" fillId="6" borderId="0" xfId="0" applyNumberFormat="1" applyFont="1" applyFill="1" applyAlignment="1">
      <alignment wrapText="1"/>
    </xf>
    <xf numFmtId="0" fontId="38" fillId="6" borderId="10" xfId="30" applyFont="1" applyFill="1" applyBorder="1" applyAlignment="1">
      <alignment vertical="center" wrapText="1"/>
    </xf>
    <xf numFmtId="0" fontId="34" fillId="10" borderId="9" xfId="0" applyFont="1" applyFill="1" applyBorder="1" applyAlignment="1">
      <alignment horizontal="center" vertical="center" wrapText="1"/>
    </xf>
    <xf numFmtId="170" fontId="34" fillId="10" borderId="9" xfId="0" applyNumberFormat="1" applyFont="1" applyFill="1" applyBorder="1" applyAlignment="1">
      <alignment horizontal="center" vertical="center" wrapText="1"/>
    </xf>
    <xf numFmtId="0" fontId="33" fillId="10" borderId="7" xfId="0" applyFont="1" applyFill="1" applyBorder="1" applyAlignment="1">
      <alignment vertical="center" wrapText="1"/>
    </xf>
    <xf numFmtId="0" fontId="33" fillId="10" borderId="4" xfId="0" applyFont="1" applyFill="1" applyBorder="1" applyAlignment="1">
      <alignment vertical="center" wrapText="1"/>
    </xf>
    <xf numFmtId="0" fontId="24" fillId="0" borderId="0" xfId="30" applyFont="1" applyAlignment="1">
      <alignment horizontal="center" vertical="center" wrapText="1"/>
    </xf>
    <xf numFmtId="0" fontId="26" fillId="6" borderId="0" xfId="0" applyFont="1" applyFill="1" applyAlignment="1">
      <alignment horizontal="left" vertical="center"/>
    </xf>
    <xf numFmtId="2" fontId="26" fillId="5" borderId="0" xfId="0" applyNumberFormat="1" applyFont="1" applyFill="1" applyAlignment="1">
      <alignment horizontal="center" vertical="center"/>
    </xf>
    <xf numFmtId="2" fontId="26" fillId="0" borderId="0" xfId="0" applyNumberFormat="1" applyFont="1" applyAlignment="1">
      <alignment horizontal="center" vertical="center"/>
    </xf>
    <xf numFmtId="0" fontId="25" fillId="0" borderId="0" xfId="30" applyFont="1" applyAlignment="1">
      <alignment horizontal="center" vertical="center"/>
    </xf>
    <xf numFmtId="9" fontId="26" fillId="5" borderId="0" xfId="38" applyFont="1" applyFill="1" applyAlignment="1">
      <alignment horizontal="center" vertical="center"/>
    </xf>
    <xf numFmtId="2" fontId="24" fillId="6" borderId="0" xfId="0" applyNumberFormat="1" applyFont="1" applyFill="1" applyAlignment="1">
      <alignment vertical="center"/>
    </xf>
    <xf numFmtId="17" fontId="24" fillId="6" borderId="0" xfId="0" applyNumberFormat="1" applyFont="1" applyFill="1" applyAlignment="1">
      <alignment horizontal="center" vertical="center"/>
    </xf>
    <xf numFmtId="177" fontId="24" fillId="6" borderId="0" xfId="0" applyNumberFormat="1" applyFont="1" applyFill="1" applyAlignment="1">
      <alignment vertical="center"/>
    </xf>
    <xf numFmtId="177" fontId="24" fillId="6" borderId="0" xfId="0" applyNumberFormat="1" applyFont="1" applyFill="1" applyAlignment="1">
      <alignment horizontal="center" vertical="center"/>
    </xf>
    <xf numFmtId="2" fontId="24" fillId="6" borderId="0" xfId="0" applyNumberFormat="1" applyFont="1" applyFill="1" applyAlignment="1" applyProtection="1">
      <alignment vertical="center"/>
      <protection hidden="1"/>
    </xf>
    <xf numFmtId="177" fontId="24" fillId="0" borderId="0" xfId="0" applyNumberFormat="1" applyFont="1" applyAlignment="1">
      <alignment vertical="center"/>
    </xf>
    <xf numFmtId="177" fontId="24" fillId="0" borderId="0" xfId="0" applyNumberFormat="1" applyFont="1" applyAlignment="1">
      <alignment horizontal="center" vertical="center"/>
    </xf>
    <xf numFmtId="0" fontId="24" fillId="0" borderId="0" xfId="0" applyFont="1" applyAlignment="1" applyProtection="1">
      <alignment vertical="center"/>
      <protection hidden="1"/>
    </xf>
    <xf numFmtId="169" fontId="24" fillId="0" borderId="0" xfId="0" applyNumberFormat="1" applyFont="1" applyAlignment="1" applyProtection="1">
      <alignment vertical="center"/>
      <protection hidden="1"/>
    </xf>
    <xf numFmtId="2" fontId="24" fillId="0" borderId="0" xfId="0" applyNumberFormat="1" applyFont="1" applyAlignment="1" applyProtection="1">
      <alignment vertical="center"/>
      <protection hidden="1"/>
    </xf>
    <xf numFmtId="168" fontId="24" fillId="0" borderId="0" xfId="19" applyFont="1" applyAlignment="1">
      <alignment vertical="center"/>
    </xf>
    <xf numFmtId="0" fontId="33" fillId="9" borderId="17" xfId="0" applyFont="1" applyFill="1" applyBorder="1" applyAlignment="1">
      <alignment horizontal="center" vertical="center" wrapText="1"/>
    </xf>
    <xf numFmtId="9" fontId="39" fillId="5" borderId="20" xfId="38" applyFont="1" applyFill="1" applyBorder="1" applyAlignment="1">
      <alignment horizontal="center" vertical="center"/>
    </xf>
    <xf numFmtId="2" fontId="33" fillId="0" borderId="15" xfId="0" applyNumberFormat="1" applyFont="1" applyBorder="1" applyAlignment="1">
      <alignment vertical="center" wrapText="1"/>
    </xf>
    <xf numFmtId="2" fontId="33" fillId="0" borderId="16" xfId="0" applyNumberFormat="1" applyFont="1" applyBorder="1" applyAlignment="1">
      <alignment vertical="center" wrapText="1"/>
    </xf>
    <xf numFmtId="0" fontId="33" fillId="0" borderId="16" xfId="0" applyFont="1" applyBorder="1" applyAlignment="1">
      <alignment vertical="center" wrapText="1"/>
    </xf>
    <xf numFmtId="169" fontId="24" fillId="0" borderId="0" xfId="0" applyNumberFormat="1" applyFont="1" applyAlignment="1">
      <alignment vertical="center"/>
    </xf>
    <xf numFmtId="0" fontId="35" fillId="0" borderId="19" xfId="30" applyFont="1" applyBorder="1" applyAlignment="1">
      <alignment vertical="center"/>
    </xf>
    <xf numFmtId="2" fontId="24" fillId="0" borderId="0" xfId="0" applyNumberFormat="1" applyFont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170" fontId="24" fillId="5" borderId="0" xfId="0" applyNumberFormat="1" applyFont="1" applyFill="1" applyAlignment="1">
      <alignment vertical="center"/>
    </xf>
    <xf numFmtId="0" fontId="24" fillId="6" borderId="0" xfId="0" applyFont="1" applyFill="1" applyAlignment="1">
      <alignment horizontal="left" vertical="center"/>
    </xf>
    <xf numFmtId="0" fontId="24" fillId="6" borderId="0" xfId="0" applyFont="1" applyFill="1" applyAlignment="1">
      <alignment horizontal="center" wrapText="1"/>
    </xf>
    <xf numFmtId="17" fontId="26" fillId="6" borderId="0" xfId="0" applyNumberFormat="1" applyFont="1" applyFill="1" applyAlignment="1">
      <alignment horizontal="center"/>
    </xf>
    <xf numFmtId="0" fontId="26" fillId="6" borderId="0" xfId="0" applyFont="1" applyFill="1" applyAlignment="1">
      <alignment horizontal="center"/>
    </xf>
    <xf numFmtId="0" fontId="36" fillId="0" borderId="0" xfId="0" applyFont="1" applyAlignment="1">
      <alignment vertical="center" wrapText="1"/>
    </xf>
    <xf numFmtId="0" fontId="36" fillId="0" borderId="0" xfId="0" applyFont="1" applyAlignment="1">
      <alignment wrapText="1"/>
    </xf>
    <xf numFmtId="0" fontId="34" fillId="9" borderId="9" xfId="0" applyFont="1" applyFill="1" applyBorder="1" applyAlignment="1">
      <alignment horizontal="center" vertical="center" wrapText="1"/>
    </xf>
    <xf numFmtId="0" fontId="34" fillId="9" borderId="9" xfId="0" applyFont="1" applyFill="1" applyBorder="1" applyAlignment="1">
      <alignment horizontal="left" vertical="center" wrapText="1"/>
    </xf>
    <xf numFmtId="168" fontId="34" fillId="9" borderId="9" xfId="19" applyFont="1" applyFill="1" applyBorder="1" applyAlignment="1">
      <alignment horizontal="center" vertical="center" wrapText="1"/>
    </xf>
    <xf numFmtId="173" fontId="34" fillId="9" borderId="9" xfId="0" applyNumberFormat="1" applyFont="1" applyFill="1" applyBorder="1" applyAlignment="1">
      <alignment horizontal="center" vertical="center" wrapText="1"/>
    </xf>
    <xf numFmtId="0" fontId="30" fillId="0" borderId="0" xfId="29" applyFont="1" applyAlignment="1">
      <alignment horizontal="center"/>
    </xf>
    <xf numFmtId="0" fontId="35" fillId="7" borderId="9" xfId="0" applyFont="1" applyFill="1" applyBorder="1" applyAlignment="1">
      <alignment horizontal="left" vertical="center"/>
    </xf>
    <xf numFmtId="0" fontId="35" fillId="8" borderId="9" xfId="0" applyFont="1" applyFill="1" applyBorder="1" applyAlignment="1">
      <alignment horizontal="left" vertical="center"/>
    </xf>
    <xf numFmtId="0" fontId="35" fillId="0" borderId="0" xfId="0" applyFont="1" applyAlignment="1">
      <alignment horizontal="center" vertical="center" textRotation="90"/>
    </xf>
    <xf numFmtId="0" fontId="35" fillId="13" borderId="0" xfId="0" applyFont="1" applyFill="1" applyAlignment="1">
      <alignment horizontal="left" vertical="center" wrapText="1"/>
    </xf>
    <xf numFmtId="0" fontId="35" fillId="0" borderId="0" xfId="0" applyFont="1"/>
    <xf numFmtId="173" fontId="39" fillId="13" borderId="9" xfId="0" applyNumberFormat="1" applyFont="1" applyFill="1" applyBorder="1" applyAlignment="1">
      <alignment vertical="center"/>
    </xf>
    <xf numFmtId="170" fontId="35" fillId="13" borderId="9" xfId="0" applyNumberFormat="1" applyFont="1" applyFill="1" applyBorder="1" applyAlignment="1">
      <alignment horizontal="center" vertical="center"/>
    </xf>
    <xf numFmtId="171" fontId="35" fillId="13" borderId="9" xfId="2" applyFont="1" applyFill="1" applyBorder="1" applyAlignment="1" applyProtection="1">
      <alignment horizontal="left" vertical="center"/>
      <protection locked="0"/>
    </xf>
    <xf numFmtId="172" fontId="35" fillId="13" borderId="9" xfId="31" applyNumberFormat="1" applyFont="1" applyFill="1" applyBorder="1" applyAlignment="1" applyProtection="1">
      <alignment horizontal="left" vertical="center"/>
      <protection hidden="1"/>
    </xf>
    <xf numFmtId="170" fontId="35" fillId="13" borderId="9" xfId="0" applyNumberFormat="1" applyFont="1" applyFill="1" applyBorder="1" applyAlignment="1" applyProtection="1">
      <alignment horizontal="center" vertical="center"/>
      <protection locked="0"/>
    </xf>
    <xf numFmtId="172" fontId="35" fillId="13" borderId="9" xfId="2" applyNumberFormat="1" applyFont="1" applyFill="1" applyBorder="1" applyAlignment="1" applyProtection="1">
      <alignment horizontal="left" vertical="center"/>
      <protection hidden="1"/>
    </xf>
    <xf numFmtId="0" fontId="41" fillId="0" borderId="0" xfId="0" applyFont="1" applyAlignment="1">
      <alignment vertical="center"/>
    </xf>
    <xf numFmtId="2" fontId="24" fillId="0" borderId="0" xfId="0" applyNumberFormat="1" applyFont="1" applyAlignment="1">
      <alignment horizontal="center" vertical="center"/>
    </xf>
    <xf numFmtId="1" fontId="24" fillId="0" borderId="0" xfId="38" applyNumberFormat="1" applyFont="1" applyAlignment="1">
      <alignment horizontal="center" vertical="center"/>
    </xf>
    <xf numFmtId="0" fontId="24" fillId="0" borderId="0" xfId="0" applyFont="1" applyAlignment="1">
      <alignment horizontal="right" vertical="center"/>
    </xf>
    <xf numFmtId="164" fontId="24" fillId="0" borderId="0" xfId="8" applyFont="1" applyAlignment="1">
      <alignment horizontal="right" vertical="center"/>
    </xf>
    <xf numFmtId="2" fontId="27" fillId="0" borderId="0" xfId="0" applyNumberFormat="1" applyFont="1" applyAlignment="1">
      <alignment horizontal="right" vertical="center"/>
    </xf>
    <xf numFmtId="4" fontId="24" fillId="0" borderId="0" xfId="0" applyNumberFormat="1" applyFont="1" applyAlignment="1">
      <alignment horizontal="right" vertical="center"/>
    </xf>
    <xf numFmtId="4" fontId="34" fillId="9" borderId="0" xfId="0" applyNumberFormat="1" applyFont="1" applyFill="1" applyAlignment="1">
      <alignment horizontal="right" vertical="center" wrapText="1"/>
    </xf>
    <xf numFmtId="4" fontId="35" fillId="8" borderId="0" xfId="0" applyNumberFormat="1" applyFont="1" applyFill="1" applyAlignment="1">
      <alignment horizontal="right" vertical="center"/>
    </xf>
    <xf numFmtId="4" fontId="35" fillId="7" borderId="0" xfId="0" applyNumberFormat="1" applyFont="1" applyFill="1" applyAlignment="1">
      <alignment horizontal="right" vertical="center"/>
    </xf>
    <xf numFmtId="0" fontId="35" fillId="11" borderId="0" xfId="0" applyFont="1" applyFill="1" applyAlignment="1">
      <alignment horizontal="center" vertical="center"/>
    </xf>
    <xf numFmtId="0" fontId="35" fillId="11" borderId="0" xfId="0" applyFont="1" applyFill="1" applyAlignment="1">
      <alignment horizontal="left" vertical="center"/>
    </xf>
    <xf numFmtId="0" fontId="35" fillId="11" borderId="0" xfId="0" applyFont="1" applyFill="1" applyAlignment="1">
      <alignment vertical="center"/>
    </xf>
    <xf numFmtId="173" fontId="35" fillId="11" borderId="0" xfId="0" applyNumberFormat="1" applyFont="1" applyFill="1" applyAlignment="1">
      <alignment horizontal="center" vertical="center"/>
    </xf>
    <xf numFmtId="49" fontId="24" fillId="6" borderId="0" xfId="0" applyNumberFormat="1" applyFont="1" applyFill="1" applyAlignment="1">
      <alignment horizontal="center" vertical="center"/>
    </xf>
    <xf numFmtId="49" fontId="24" fillId="0" borderId="0" xfId="0" applyNumberFormat="1" applyFont="1" applyAlignment="1">
      <alignment horizontal="center" vertical="center" wrapText="1"/>
    </xf>
    <xf numFmtId="49" fontId="24" fillId="0" borderId="0" xfId="0" applyNumberFormat="1" applyFont="1" applyAlignment="1">
      <alignment horizontal="center" vertical="center"/>
    </xf>
    <xf numFmtId="0" fontId="35" fillId="12" borderId="0" xfId="0" applyFont="1" applyFill="1" applyAlignment="1">
      <alignment horizontal="center" vertical="center"/>
    </xf>
    <xf numFmtId="0" fontId="35" fillId="12" borderId="0" xfId="0" applyFont="1" applyFill="1" applyAlignment="1">
      <alignment horizontal="left" vertical="center"/>
    </xf>
    <xf numFmtId="0" fontId="35" fillId="12" borderId="0" xfId="0" applyFont="1" applyFill="1" applyAlignment="1">
      <alignment vertical="center"/>
    </xf>
    <xf numFmtId="0" fontId="35" fillId="12" borderId="0" xfId="0" applyFont="1" applyFill="1" applyAlignment="1">
      <alignment horizontal="right" vertical="center"/>
    </xf>
    <xf numFmtId="173" fontId="35" fillId="12" borderId="0" xfId="0" applyNumberFormat="1" applyFont="1" applyFill="1" applyAlignment="1">
      <alignment horizontal="center" vertical="center"/>
    </xf>
    <xf numFmtId="0" fontId="42" fillId="0" borderId="0" xfId="30" applyFont="1" applyAlignment="1">
      <alignment horizontal="center" vertical="center"/>
    </xf>
    <xf numFmtId="0" fontId="43" fillId="13" borderId="9" xfId="0" applyFont="1" applyFill="1" applyBorder="1" applyAlignment="1">
      <alignment horizontal="center" vertical="center"/>
    </xf>
    <xf numFmtId="0" fontId="43" fillId="13" borderId="9" xfId="0" applyFont="1" applyFill="1" applyBorder="1" applyAlignment="1">
      <alignment vertical="center"/>
    </xf>
    <xf numFmtId="180" fontId="43" fillId="13" borderId="9" xfId="0" applyNumberFormat="1" applyFont="1" applyFill="1" applyBorder="1" applyAlignment="1">
      <alignment vertical="center"/>
    </xf>
    <xf numFmtId="181" fontId="43" fillId="13" borderId="9" xfId="0" applyNumberFormat="1" applyFont="1" applyFill="1" applyBorder="1" applyAlignment="1">
      <alignment vertical="center"/>
    </xf>
    <xf numFmtId="173" fontId="43" fillId="13" borderId="9" xfId="0" applyNumberFormat="1" applyFont="1" applyFill="1" applyBorder="1" applyAlignment="1">
      <alignment vertical="center"/>
    </xf>
    <xf numFmtId="173" fontId="43" fillId="13" borderId="0" xfId="0" applyNumberFormat="1" applyFont="1" applyFill="1" applyAlignment="1">
      <alignment vertical="center"/>
    </xf>
    <xf numFmtId="0" fontId="35" fillId="0" borderId="18" xfId="30" applyFont="1" applyBorder="1" applyAlignment="1">
      <alignment horizontal="center" vertical="center"/>
    </xf>
    <xf numFmtId="0" fontId="35" fillId="0" borderId="9" xfId="0" applyFont="1" applyBorder="1" applyAlignment="1">
      <alignment horizontal="center" vertical="center"/>
    </xf>
    <xf numFmtId="0" fontId="35" fillId="0" borderId="9" xfId="0" applyFont="1" applyBorder="1" applyAlignment="1">
      <alignment vertical="center"/>
    </xf>
    <xf numFmtId="3" fontId="35" fillId="0" borderId="9" xfId="0" applyNumberFormat="1" applyFont="1" applyBorder="1" applyAlignment="1">
      <alignment vertical="center"/>
    </xf>
    <xf numFmtId="179" fontId="35" fillId="0" borderId="9" xfId="0" applyNumberFormat="1" applyFont="1" applyBorder="1" applyAlignment="1">
      <alignment vertical="center"/>
    </xf>
    <xf numFmtId="1" fontId="35" fillId="0" borderId="9" xfId="0" applyNumberFormat="1" applyFont="1" applyBorder="1" applyAlignment="1">
      <alignment vertical="center"/>
    </xf>
    <xf numFmtId="173" fontId="35" fillId="0" borderId="9" xfId="0" applyNumberFormat="1" applyFont="1" applyBorder="1" applyAlignment="1">
      <alignment vertical="center"/>
    </xf>
    <xf numFmtId="173" fontId="35" fillId="0" borderId="14" xfId="0" applyNumberFormat="1" applyFont="1" applyBorder="1" applyAlignment="1">
      <alignment vertical="center"/>
    </xf>
    <xf numFmtId="173" fontId="0" fillId="0" borderId="9" xfId="0" applyNumberFormat="1" applyBorder="1" applyAlignment="1">
      <alignment vertical="center"/>
    </xf>
    <xf numFmtId="0" fontId="35" fillId="0" borderId="0" xfId="0" applyFont="1" applyAlignment="1">
      <alignment horizontal="center"/>
    </xf>
    <xf numFmtId="2" fontId="24" fillId="16" borderId="0" xfId="0" applyNumberFormat="1" applyFont="1" applyFill="1" applyAlignment="1" applyProtection="1">
      <alignment vertical="center"/>
      <protection hidden="1"/>
    </xf>
    <xf numFmtId="0" fontId="24" fillId="16" borderId="0" xfId="0" applyFont="1" applyFill="1" applyAlignment="1">
      <alignment vertical="center"/>
    </xf>
    <xf numFmtId="0" fontId="24" fillId="6" borderId="5" xfId="30" applyFont="1" applyFill="1" applyBorder="1" applyAlignment="1">
      <alignment vertical="center"/>
    </xf>
    <xf numFmtId="0" fontId="24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vertical="center"/>
    </xf>
    <xf numFmtId="178" fontId="24" fillId="0" borderId="0" xfId="0" applyNumberFormat="1" applyFont="1" applyFill="1" applyAlignment="1">
      <alignment vertical="center"/>
    </xf>
    <xf numFmtId="178" fontId="35" fillId="0" borderId="0" xfId="0" applyNumberFormat="1" applyFont="1" applyFill="1" applyAlignment="1">
      <alignment horizontal="center" vertical="center"/>
    </xf>
    <xf numFmtId="0" fontId="4" fillId="0" borderId="0" xfId="42" applyAlignment="1">
      <alignment wrapText="1"/>
    </xf>
    <xf numFmtId="0" fontId="4" fillId="0" borderId="9" xfId="55" applyFont="1" applyBorder="1" applyAlignment="1">
      <alignment horizontal="left" vertical="center" wrapText="1"/>
    </xf>
    <xf numFmtId="49" fontId="48" fillId="0" borderId="9" xfId="55" applyNumberFormat="1" applyFont="1" applyBorder="1" applyAlignment="1" applyProtection="1">
      <alignment horizontal="left" vertical="center" wrapText="1"/>
      <protection hidden="1"/>
    </xf>
    <xf numFmtId="0" fontId="4" fillId="6" borderId="9" xfId="55" applyFont="1" applyFill="1" applyBorder="1" applyAlignment="1">
      <alignment horizontal="left" vertical="center" wrapText="1"/>
    </xf>
    <xf numFmtId="49" fontId="48" fillId="6" borderId="9" xfId="55" applyNumberFormat="1" applyFont="1" applyFill="1" applyBorder="1" applyAlignment="1" applyProtection="1">
      <alignment horizontal="left" vertical="center" wrapText="1"/>
      <protection hidden="1"/>
    </xf>
    <xf numFmtId="0" fontId="48" fillId="0" borderId="9" xfId="55" applyFont="1" applyBorder="1" applyAlignment="1">
      <alignment horizontal="left" vertical="center" wrapText="1"/>
    </xf>
    <xf numFmtId="0" fontId="4" fillId="0" borderId="0" xfId="42" applyAlignment="1">
      <alignment horizontal="left" vertical="center" wrapText="1"/>
    </xf>
    <xf numFmtId="0" fontId="49" fillId="0" borderId="0" xfId="0" applyFont="1" applyFill="1" applyAlignment="1">
      <alignment horizontal="center" vertical="center"/>
    </xf>
    <xf numFmtId="0" fontId="49" fillId="0" borderId="0" xfId="0" applyFont="1" applyFill="1" applyAlignment="1">
      <alignment vertical="center"/>
    </xf>
    <xf numFmtId="0" fontId="49" fillId="0" borderId="0" xfId="0" applyNumberFormat="1" applyFont="1" applyFill="1" applyAlignment="1">
      <alignment vertical="center"/>
    </xf>
    <xf numFmtId="178" fontId="35" fillId="0" borderId="0" xfId="0" applyNumberFormat="1" applyFont="1" applyFill="1" applyAlignment="1">
      <alignment vertical="center"/>
    </xf>
    <xf numFmtId="49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 wrapText="1"/>
    </xf>
    <xf numFmtId="0" fontId="24" fillId="0" borderId="9" xfId="0" applyFont="1" applyBorder="1" applyAlignment="1">
      <alignment vertical="center"/>
    </xf>
    <xf numFmtId="170" fontId="24" fillId="5" borderId="9" xfId="0" applyNumberFormat="1" applyFont="1" applyFill="1" applyBorder="1" applyAlignment="1">
      <alignment horizontal="center" vertical="center"/>
    </xf>
    <xf numFmtId="0" fontId="24" fillId="0" borderId="9" xfId="0" applyFont="1" applyBorder="1" applyAlignment="1">
      <alignment horizontal="left" vertical="center"/>
    </xf>
    <xf numFmtId="10" fontId="34" fillId="10" borderId="9" xfId="0" applyNumberFormat="1" applyFont="1" applyFill="1" applyBorder="1" applyAlignment="1">
      <alignment horizontal="center" vertical="center" wrapText="1"/>
    </xf>
    <xf numFmtId="182" fontId="24" fillId="0" borderId="9" xfId="0" applyNumberFormat="1" applyFont="1" applyBorder="1" applyAlignment="1">
      <alignment vertical="center"/>
    </xf>
    <xf numFmtId="9" fontId="24" fillId="0" borderId="9" xfId="44" applyFont="1" applyBorder="1" applyAlignment="1">
      <alignment vertical="center"/>
    </xf>
    <xf numFmtId="171" fontId="24" fillId="0" borderId="9" xfId="0" applyNumberFormat="1" applyFont="1" applyBorder="1" applyAlignment="1">
      <alignment vertical="center"/>
    </xf>
    <xf numFmtId="44" fontId="24" fillId="5" borderId="9" xfId="48" applyFont="1" applyFill="1" applyBorder="1" applyAlignment="1">
      <alignment horizontal="center" vertical="center"/>
    </xf>
    <xf numFmtId="170" fontId="24" fillId="0" borderId="9" xfId="44" applyNumberFormat="1" applyFont="1" applyFill="1" applyBorder="1" applyAlignment="1">
      <alignment horizontal="center" vertical="center"/>
    </xf>
    <xf numFmtId="9" fontId="24" fillId="0" borderId="9" xfId="0" applyNumberFormat="1" applyFont="1" applyBorder="1" applyAlignment="1">
      <alignment vertical="center"/>
    </xf>
    <xf numFmtId="170" fontId="24" fillId="0" borderId="9" xfId="0" applyNumberFormat="1" applyFont="1" applyBorder="1" applyAlignment="1">
      <alignment horizontal="center" vertical="center"/>
    </xf>
    <xf numFmtId="0" fontId="33" fillId="10" borderId="9" xfId="0" applyFont="1" applyFill="1" applyBorder="1" applyAlignment="1">
      <alignment vertical="center" wrapText="1"/>
    </xf>
    <xf numFmtId="44" fontId="35" fillId="8" borderId="20" xfId="54" applyFont="1" applyFill="1" applyBorder="1" applyAlignment="1">
      <alignment horizontal="left" vertical="center"/>
    </xf>
    <xf numFmtId="44" fontId="35" fillId="7" borderId="20" xfId="54" applyFont="1" applyFill="1" applyBorder="1" applyAlignment="1">
      <alignment horizontal="left" vertical="center"/>
    </xf>
    <xf numFmtId="44" fontId="35" fillId="7" borderId="23" xfId="54" applyFont="1" applyFill="1" applyBorder="1" applyAlignment="1">
      <alignment horizontal="left" vertical="center"/>
    </xf>
    <xf numFmtId="44" fontId="35" fillId="8" borderId="20" xfId="0" applyNumberFormat="1" applyFont="1" applyFill="1" applyBorder="1" applyAlignment="1">
      <alignment horizontal="left" vertical="center"/>
    </xf>
    <xf numFmtId="0" fontId="39" fillId="13" borderId="24" xfId="0" applyFont="1" applyFill="1" applyBorder="1" applyAlignment="1">
      <alignment horizontal="left" vertical="center" wrapText="1"/>
    </xf>
    <xf numFmtId="173" fontId="35" fillId="8" borderId="19" xfId="0" applyNumberFormat="1" applyFont="1" applyFill="1" applyBorder="1" applyAlignment="1">
      <alignment horizontal="left" vertical="center" wrapText="1"/>
    </xf>
    <xf numFmtId="44" fontId="35" fillId="7" borderId="19" xfId="54" applyFont="1" applyFill="1" applyBorder="1" applyAlignment="1">
      <alignment horizontal="left" vertical="center" wrapText="1"/>
    </xf>
    <xf numFmtId="44" fontId="35" fillId="8" borderId="19" xfId="54" applyFont="1" applyFill="1" applyBorder="1" applyAlignment="1">
      <alignment horizontal="left" vertical="center" wrapText="1"/>
    </xf>
    <xf numFmtId="0" fontId="24" fillId="0" borderId="9" xfId="0" applyFont="1" applyBorder="1" applyAlignment="1">
      <alignment vertical="center"/>
    </xf>
    <xf numFmtId="168" fontId="24" fillId="6" borderId="0" xfId="19" applyFont="1" applyFill="1" applyAlignment="1">
      <alignment vertical="center"/>
    </xf>
    <xf numFmtId="168" fontId="24" fillId="0" borderId="0" xfId="19" applyFont="1" applyAlignment="1" applyProtection="1">
      <alignment vertical="center"/>
      <protection hidden="1"/>
    </xf>
    <xf numFmtId="44" fontId="24" fillId="6" borderId="0" xfId="54" applyFont="1" applyFill="1" applyAlignment="1">
      <alignment vertical="center"/>
    </xf>
    <xf numFmtId="44" fontId="24" fillId="0" borderId="0" xfId="54" applyFont="1" applyAlignment="1">
      <alignment horizontal="center" vertical="center" wrapText="1"/>
    </xf>
    <xf numFmtId="44" fontId="26" fillId="0" borderId="0" xfId="54" applyFont="1" applyAlignment="1">
      <alignment horizontal="center" vertical="center"/>
    </xf>
    <xf numFmtId="0" fontId="35" fillId="5" borderId="0" xfId="0" applyNumberFormat="1" applyFont="1" applyFill="1" applyAlignment="1">
      <alignment horizontal="center" vertical="center"/>
    </xf>
    <xf numFmtId="0" fontId="24" fillId="0" borderId="19" xfId="30" applyFont="1" applyFill="1" applyBorder="1" applyAlignment="1">
      <alignment vertical="center"/>
    </xf>
    <xf numFmtId="0" fontId="24" fillId="0" borderId="19" xfId="30" applyNumberFormat="1" applyFont="1" applyFill="1" applyBorder="1" applyAlignment="1">
      <alignment vertical="center"/>
    </xf>
    <xf numFmtId="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left" vertical="center"/>
    </xf>
    <xf numFmtId="173" fontId="0" fillId="0" borderId="9" xfId="0" applyNumberFormat="1" applyFont="1" applyBorder="1" applyAlignment="1">
      <alignment vertical="center"/>
    </xf>
    <xf numFmtId="0" fontId="0" fillId="12" borderId="0" xfId="0" applyFill="1"/>
    <xf numFmtId="14" fontId="35" fillId="0" borderId="9" xfId="0" applyNumberFormat="1" applyFont="1" applyBorder="1" applyAlignment="1">
      <alignment vertical="center"/>
    </xf>
    <xf numFmtId="0" fontId="35" fillId="0" borderId="9" xfId="0" applyFont="1" applyBorder="1" applyAlignment="1">
      <alignment vertical="center"/>
    </xf>
    <xf numFmtId="44" fontId="35" fillId="0" borderId="9" xfId="57" applyFont="1" applyBorder="1" applyAlignment="1">
      <alignment horizontal="center" vertical="center"/>
    </xf>
    <xf numFmtId="0" fontId="35" fillId="0" borderId="9" xfId="0" applyFont="1" applyBorder="1" applyAlignment="1">
      <alignment vertical="center" wrapText="1"/>
    </xf>
    <xf numFmtId="14" fontId="35" fillId="0" borderId="9" xfId="0" applyNumberFormat="1" applyFont="1" applyBorder="1"/>
    <xf numFmtId="0" fontId="35" fillId="0" borderId="9" xfId="0" applyFont="1" applyBorder="1"/>
    <xf numFmtId="0" fontId="35" fillId="0" borderId="9" xfId="0" applyFont="1" applyBorder="1" applyAlignment="1">
      <alignment horizontal="left" vertical="center"/>
    </xf>
    <xf numFmtId="44" fontId="35" fillId="0" borderId="9" xfId="57" applyFont="1" applyBorder="1" applyAlignment="1">
      <alignment horizontal="center"/>
    </xf>
    <xf numFmtId="168" fontId="35" fillId="0" borderId="9" xfId="19" applyFont="1" applyBorder="1" applyAlignment="1">
      <alignment horizontal="center" vertical="center"/>
    </xf>
    <xf numFmtId="168" fontId="35" fillId="0" borderId="9" xfId="19" applyFont="1" applyBorder="1" applyAlignment="1">
      <alignment horizontal="center"/>
    </xf>
    <xf numFmtId="173" fontId="34" fillId="9" borderId="14" xfId="0" applyNumberFormat="1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168" fontId="24" fillId="0" borderId="0" xfId="19" applyFont="1" applyFill="1" applyAlignment="1">
      <alignment horizontal="center" vertical="center" wrapText="1"/>
    </xf>
    <xf numFmtId="44" fontId="24" fillId="0" borderId="0" xfId="54" applyFont="1" applyFill="1" applyAlignment="1">
      <alignment horizontal="center" vertical="center" wrapText="1"/>
    </xf>
    <xf numFmtId="0" fontId="45" fillId="0" borderId="0" xfId="0" applyFont="1" applyFill="1" applyAlignment="1">
      <alignment horizontal="center" vertical="center"/>
    </xf>
    <xf numFmtId="0" fontId="24" fillId="0" borderId="0" xfId="0" applyNumberFormat="1" applyFont="1" applyFill="1" applyAlignment="1">
      <alignment horizontal="left" vertical="center"/>
    </xf>
    <xf numFmtId="0" fontId="24" fillId="0" borderId="0" xfId="0" applyNumberFormat="1" applyFont="1" applyFill="1" applyAlignment="1">
      <alignment horizontal="center" vertical="center" wrapText="1"/>
    </xf>
    <xf numFmtId="0" fontId="24" fillId="0" borderId="0" xfId="0" applyNumberFormat="1" applyFont="1" applyFill="1" applyAlignment="1">
      <alignment horizontal="left" vertical="center" wrapText="1"/>
    </xf>
    <xf numFmtId="0" fontId="35" fillId="6" borderId="9" xfId="0" applyFont="1" applyFill="1" applyBorder="1" applyAlignment="1">
      <alignment vertical="center"/>
    </xf>
    <xf numFmtId="14" fontId="35" fillId="6" borderId="9" xfId="0" applyNumberFormat="1" applyFont="1" applyFill="1" applyBorder="1" applyAlignment="1">
      <alignment vertical="center"/>
    </xf>
    <xf numFmtId="14" fontId="35" fillId="6" borderId="9" xfId="0" applyNumberFormat="1" applyFont="1" applyFill="1" applyBorder="1"/>
    <xf numFmtId="0" fontId="35" fillId="6" borderId="9" xfId="0" applyFont="1" applyFill="1" applyBorder="1" applyAlignment="1">
      <alignment horizontal="center" vertical="center"/>
    </xf>
    <xf numFmtId="0" fontId="35" fillId="6" borderId="9" xfId="0" applyFont="1" applyFill="1" applyBorder="1" applyAlignment="1">
      <alignment horizontal="center"/>
    </xf>
    <xf numFmtId="0" fontId="35" fillId="6" borderId="9" xfId="0" applyFont="1" applyFill="1" applyBorder="1"/>
    <xf numFmtId="44" fontId="35" fillId="6" borderId="9" xfId="57" applyFont="1" applyFill="1" applyBorder="1" applyAlignment="1">
      <alignment horizontal="center" vertical="center"/>
    </xf>
    <xf numFmtId="0" fontId="35" fillId="6" borderId="9" xfId="0" applyFont="1" applyFill="1" applyBorder="1" applyAlignment="1">
      <alignment wrapText="1"/>
    </xf>
    <xf numFmtId="14" fontId="35" fillId="6" borderId="9" xfId="0" applyNumberFormat="1" applyFont="1" applyFill="1" applyBorder="1" applyAlignment="1">
      <alignment horizontal="center" vertical="center"/>
    </xf>
    <xf numFmtId="14" fontId="24" fillId="6" borderId="9" xfId="0" applyNumberFormat="1" applyFont="1" applyFill="1" applyBorder="1" applyAlignment="1">
      <alignment horizontal="center" vertical="center"/>
    </xf>
    <xf numFmtId="0" fontId="35" fillId="0" borderId="9" xfId="0" applyFont="1" applyFill="1" applyBorder="1" applyAlignment="1">
      <alignment horizontal="center" vertical="center"/>
    </xf>
    <xf numFmtId="14" fontId="35" fillId="0" borderId="9" xfId="0" applyNumberFormat="1" applyFont="1" applyFill="1" applyBorder="1" applyAlignment="1">
      <alignment vertical="center"/>
    </xf>
    <xf numFmtId="0" fontId="35" fillId="0" borderId="9" xfId="0" applyFont="1" applyFill="1" applyBorder="1" applyAlignment="1">
      <alignment vertical="center"/>
    </xf>
    <xf numFmtId="168" fontId="35" fillId="0" borderId="9" xfId="19" applyFont="1" applyFill="1" applyBorder="1" applyAlignment="1">
      <alignment horizontal="center" vertical="center"/>
    </xf>
    <xf numFmtId="44" fontId="35" fillId="0" borderId="9" xfId="57" applyFont="1" applyFill="1" applyBorder="1" applyAlignment="1">
      <alignment horizontal="center" vertical="center"/>
    </xf>
    <xf numFmtId="0" fontId="50" fillId="0" borderId="0" xfId="0" applyFont="1" applyFill="1" applyAlignment="1">
      <alignment horizontal="center" vertical="center"/>
    </xf>
    <xf numFmtId="0" fontId="50" fillId="0" borderId="0" xfId="0" applyNumberFormat="1" applyFont="1" applyFill="1" applyAlignment="1">
      <alignment horizontal="center" vertical="center"/>
    </xf>
    <xf numFmtId="0" fontId="50" fillId="0" borderId="0" xfId="0" applyFont="1" applyFill="1" applyAlignment="1">
      <alignment horizontal="left" vertical="center"/>
    </xf>
    <xf numFmtId="0" fontId="46" fillId="6" borderId="0" xfId="0" applyFont="1" applyFill="1" applyAlignment="1">
      <alignment vertical="center"/>
    </xf>
    <xf numFmtId="0" fontId="35" fillId="0" borderId="0" xfId="0" applyNumberFormat="1" applyFont="1" applyFill="1" applyAlignment="1">
      <alignment horizontal="center" vertical="center"/>
    </xf>
    <xf numFmtId="0" fontId="35" fillId="0" borderId="0" xfId="0" applyFont="1" applyFill="1" applyAlignment="1">
      <alignment horizontal="center" vertical="center"/>
    </xf>
    <xf numFmtId="0" fontId="35" fillId="0" borderId="0" xfId="0" applyFont="1" applyFill="1" applyAlignment="1">
      <alignment horizontal="left" vertical="center"/>
    </xf>
    <xf numFmtId="4" fontId="35" fillId="0" borderId="0" xfId="0" applyNumberFormat="1" applyFont="1" applyFill="1" applyAlignment="1">
      <alignment vertical="center"/>
    </xf>
    <xf numFmtId="4" fontId="35" fillId="0" borderId="0" xfId="0" applyNumberFormat="1" applyFont="1" applyFill="1" applyAlignment="1">
      <alignment horizontal="center" vertical="center"/>
    </xf>
    <xf numFmtId="173" fontId="35" fillId="0" borderId="0" xfId="0" applyNumberFormat="1" applyFont="1" applyFill="1" applyAlignment="1">
      <alignment horizontal="center" vertical="center"/>
    </xf>
    <xf numFmtId="164" fontId="24" fillId="0" borderId="0" xfId="40" applyFont="1" applyAlignment="1">
      <alignment horizontal="right" vertical="center"/>
    </xf>
    <xf numFmtId="164" fontId="24" fillId="0" borderId="0" xfId="40" applyFont="1" applyAlignment="1">
      <alignment vertical="center"/>
    </xf>
    <xf numFmtId="164" fontId="34" fillId="9" borderId="0" xfId="40" applyFont="1" applyFill="1" applyAlignment="1">
      <alignment horizontal="center" vertical="center" wrapText="1"/>
    </xf>
    <xf numFmtId="3" fontId="24" fillId="0" borderId="0" xfId="40" applyNumberFormat="1" applyFont="1" applyAlignment="1">
      <alignment vertical="center"/>
    </xf>
    <xf numFmtId="44" fontId="35" fillId="0" borderId="20" xfId="48" applyFont="1" applyFill="1" applyBorder="1" applyAlignment="1">
      <alignment horizontal="left" vertical="center"/>
    </xf>
    <xf numFmtId="44" fontId="35" fillId="0" borderId="20" xfId="0" applyNumberFormat="1" applyFont="1" applyFill="1" applyBorder="1" applyAlignment="1">
      <alignment horizontal="left" vertical="center"/>
    </xf>
    <xf numFmtId="0" fontId="35" fillId="0" borderId="0" xfId="0" applyFont="1" applyFill="1" applyAlignment="1">
      <alignment vertical="center" wrapText="1"/>
    </xf>
    <xf numFmtId="4" fontId="35" fillId="0" borderId="0" xfId="0" applyNumberFormat="1" applyFont="1" applyFill="1" applyAlignment="1">
      <alignment vertical="center" wrapText="1"/>
    </xf>
    <xf numFmtId="3" fontId="35" fillId="0" borderId="0" xfId="0" applyNumberFormat="1" applyFont="1" applyFill="1" applyAlignment="1">
      <alignment horizontal="center" vertical="center"/>
    </xf>
    <xf numFmtId="44" fontId="35" fillId="0" borderId="0" xfId="54" applyFont="1" applyFill="1" applyAlignment="1">
      <alignment vertical="center"/>
    </xf>
    <xf numFmtId="0" fontId="51" fillId="15" borderId="9" xfId="0" applyFont="1" applyFill="1" applyBorder="1" applyAlignment="1">
      <alignment horizontal="center" vertical="center" wrapText="1"/>
    </xf>
    <xf numFmtId="0" fontId="33" fillId="10" borderId="9" xfId="0" applyFont="1" applyFill="1" applyBorder="1" applyAlignment="1">
      <alignment horizontal="center" vertical="center" wrapText="1"/>
    </xf>
    <xf numFmtId="0" fontId="51" fillId="15" borderId="9" xfId="0" applyFont="1" applyFill="1" applyBorder="1" applyAlignment="1">
      <alignment horizontal="left" vertical="center" wrapText="1"/>
    </xf>
    <xf numFmtId="0" fontId="35" fillId="8" borderId="20" xfId="54" applyNumberFormat="1" applyFont="1" applyFill="1" applyBorder="1" applyAlignment="1">
      <alignment horizontal="left" vertical="center"/>
    </xf>
    <xf numFmtId="4" fontId="24" fillId="0" borderId="0" xfId="0" applyNumberFormat="1" applyFont="1" applyFill="1" applyAlignment="1">
      <alignment horizontal="center" vertical="center"/>
    </xf>
    <xf numFmtId="0" fontId="26" fillId="0" borderId="9" xfId="30" applyFont="1" applyBorder="1" applyAlignment="1">
      <alignment horizontal="center" vertical="center" wrapText="1"/>
    </xf>
    <xf numFmtId="0" fontId="33" fillId="10" borderId="7" xfId="0" applyFont="1" applyFill="1" applyBorder="1" applyAlignment="1">
      <alignment horizontal="center" vertical="center" wrapText="1"/>
    </xf>
    <xf numFmtId="0" fontId="33" fillId="10" borderId="4" xfId="0" applyFont="1" applyFill="1" applyBorder="1" applyAlignment="1">
      <alignment horizontal="center" vertical="center" wrapText="1"/>
    </xf>
    <xf numFmtId="0" fontId="33" fillId="10" borderId="14" xfId="0" applyFont="1" applyFill="1" applyBorder="1" applyAlignment="1">
      <alignment horizontal="center" vertical="center" wrapText="1"/>
    </xf>
    <xf numFmtId="0" fontId="37" fillId="10" borderId="8" xfId="30" applyFont="1" applyFill="1" applyBorder="1" applyAlignment="1">
      <alignment horizontal="center" vertical="center" wrapText="1"/>
    </xf>
    <xf numFmtId="0" fontId="37" fillId="10" borderId="11" xfId="30" applyFont="1" applyFill="1" applyBorder="1" applyAlignment="1">
      <alignment horizontal="center" vertical="center" wrapText="1"/>
    </xf>
    <xf numFmtId="0" fontId="39" fillId="13" borderId="7" xfId="0" applyFont="1" applyFill="1" applyBorder="1" applyAlignment="1">
      <alignment horizontal="left" vertical="center"/>
    </xf>
    <xf numFmtId="0" fontId="39" fillId="13" borderId="4" xfId="0" applyFont="1" applyFill="1" applyBorder="1" applyAlignment="1">
      <alignment horizontal="left" vertical="center"/>
    </xf>
    <xf numFmtId="0" fontId="39" fillId="13" borderId="14" xfId="0" applyFont="1" applyFill="1" applyBorder="1" applyAlignment="1">
      <alignment horizontal="left" vertical="center"/>
    </xf>
    <xf numFmtId="0" fontId="24" fillId="0" borderId="9" xfId="0" applyFont="1" applyBorder="1" applyAlignment="1">
      <alignment vertical="center"/>
    </xf>
    <xf numFmtId="0" fontId="24" fillId="0" borderId="7" xfId="0" applyFont="1" applyBorder="1" applyAlignment="1">
      <alignment horizontal="left" vertical="center"/>
    </xf>
    <xf numFmtId="0" fontId="24" fillId="0" borderId="4" xfId="0" applyFont="1" applyBorder="1" applyAlignment="1">
      <alignment horizontal="left" vertical="center"/>
    </xf>
    <xf numFmtId="0" fontId="24" fillId="0" borderId="14" xfId="0" applyFont="1" applyBorder="1" applyAlignment="1">
      <alignment horizontal="left" vertical="center"/>
    </xf>
    <xf numFmtId="10" fontId="24" fillId="5" borderId="7" xfId="0" applyNumberFormat="1" applyFont="1" applyFill="1" applyBorder="1" applyAlignment="1">
      <alignment horizontal="left" vertical="center"/>
    </xf>
    <xf numFmtId="10" fontId="24" fillId="5" borderId="4" xfId="0" applyNumberFormat="1" applyFont="1" applyFill="1" applyBorder="1" applyAlignment="1">
      <alignment horizontal="left" vertical="center"/>
    </xf>
    <xf numFmtId="10" fontId="24" fillId="5" borderId="14" xfId="0" applyNumberFormat="1" applyFont="1" applyFill="1" applyBorder="1" applyAlignment="1">
      <alignment horizontal="left" vertical="center"/>
    </xf>
    <xf numFmtId="0" fontId="33" fillId="10" borderId="7" xfId="0" applyFont="1" applyFill="1" applyBorder="1" applyAlignment="1">
      <alignment horizontal="left" vertical="center" wrapText="1"/>
    </xf>
    <xf numFmtId="0" fontId="33" fillId="10" borderId="4" xfId="0" applyFont="1" applyFill="1" applyBorder="1" applyAlignment="1">
      <alignment horizontal="left" vertical="center" wrapText="1"/>
    </xf>
    <xf numFmtId="0" fontId="33" fillId="10" borderId="14" xfId="0" applyFont="1" applyFill="1" applyBorder="1" applyAlignment="1">
      <alignment horizontal="left" vertical="center" wrapText="1"/>
    </xf>
    <xf numFmtId="0" fontId="39" fillId="13" borderId="9" xfId="0" applyFont="1" applyFill="1" applyBorder="1" applyAlignment="1">
      <alignment horizontal="center" vertical="center"/>
    </xf>
    <xf numFmtId="0" fontId="24" fillId="0" borderId="9" xfId="0" applyFont="1" applyBorder="1" applyAlignment="1">
      <alignment horizontal="left" vertical="center"/>
    </xf>
    <xf numFmtId="9" fontId="24" fillId="0" borderId="7" xfId="0" applyNumberFormat="1" applyFont="1" applyBorder="1" applyAlignment="1">
      <alignment horizontal="left" vertical="center"/>
    </xf>
    <xf numFmtId="9" fontId="24" fillId="0" borderId="14" xfId="0" applyNumberFormat="1" applyFont="1" applyBorder="1" applyAlignment="1">
      <alignment horizontal="left" vertical="center"/>
    </xf>
    <xf numFmtId="0" fontId="26" fillId="0" borderId="9" xfId="30" applyFont="1" applyBorder="1" applyAlignment="1">
      <alignment horizontal="center" vertical="center"/>
    </xf>
    <xf numFmtId="0" fontId="33" fillId="10" borderId="12" xfId="0" applyFont="1" applyFill="1" applyBorder="1" applyAlignment="1">
      <alignment horizontal="center" vertical="center" wrapText="1"/>
    </xf>
    <xf numFmtId="0" fontId="33" fillId="10" borderId="13" xfId="0" applyFont="1" applyFill="1" applyBorder="1" applyAlignment="1">
      <alignment horizontal="center" vertical="center" wrapText="1"/>
    </xf>
    <xf numFmtId="0" fontId="33" fillId="10" borderId="10" xfId="0" applyFont="1" applyFill="1" applyBorder="1" applyAlignment="1">
      <alignment horizontal="center" vertical="center" wrapText="1"/>
    </xf>
    <xf numFmtId="0" fontId="32" fillId="0" borderId="0" xfId="30" applyFont="1" applyAlignment="1">
      <alignment horizontal="center" vertical="center"/>
    </xf>
    <xf numFmtId="170" fontId="24" fillId="5" borderId="9" xfId="0" applyNumberFormat="1" applyFont="1" applyFill="1" applyBorder="1" applyAlignment="1">
      <alignment horizontal="center" vertical="center"/>
    </xf>
    <xf numFmtId="9" fontId="24" fillId="0" borderId="7" xfId="0" applyNumberFormat="1" applyFont="1" applyBorder="1" applyAlignment="1">
      <alignment horizontal="left" vertical="center" wrapText="1"/>
    </xf>
    <xf numFmtId="9" fontId="24" fillId="0" borderId="14" xfId="0" applyNumberFormat="1" applyFont="1" applyBorder="1" applyAlignment="1">
      <alignment horizontal="left" vertical="center" wrapText="1"/>
    </xf>
    <xf numFmtId="9" fontId="24" fillId="0" borderId="4" xfId="0" applyNumberFormat="1" applyFont="1" applyBorder="1" applyAlignment="1">
      <alignment horizontal="left" vertical="center"/>
    </xf>
    <xf numFmtId="170" fontId="26" fillId="5" borderId="7" xfId="0" applyNumberFormat="1" applyFont="1" applyFill="1" applyBorder="1" applyAlignment="1">
      <alignment horizontal="center" vertical="center"/>
    </xf>
    <xf numFmtId="170" fontId="24" fillId="5" borderId="4" xfId="0" applyNumberFormat="1" applyFont="1" applyFill="1" applyBorder="1" applyAlignment="1">
      <alignment horizontal="center" vertical="center"/>
    </xf>
    <xf numFmtId="0" fontId="32" fillId="0" borderId="6" xfId="30" applyFont="1" applyBorder="1" applyAlignment="1">
      <alignment horizontal="center" vertical="center"/>
    </xf>
    <xf numFmtId="0" fontId="32" fillId="0" borderId="0" xfId="30" applyFont="1" applyAlignment="1">
      <alignment horizontal="left" vertical="center"/>
    </xf>
    <xf numFmtId="0" fontId="26" fillId="13" borderId="7" xfId="0" applyFont="1" applyFill="1" applyBorder="1" applyAlignment="1">
      <alignment horizontal="center" vertical="center"/>
    </xf>
    <xf numFmtId="0" fontId="26" fillId="13" borderId="4" xfId="0" applyFont="1" applyFill="1" applyBorder="1" applyAlignment="1">
      <alignment horizontal="center" vertical="center"/>
    </xf>
    <xf numFmtId="0" fontId="26" fillId="13" borderId="14" xfId="0" applyFont="1" applyFill="1" applyBorder="1" applyAlignment="1">
      <alignment horizontal="center" vertical="center"/>
    </xf>
    <xf numFmtId="0" fontId="26" fillId="14" borderId="8" xfId="0" applyFont="1" applyFill="1" applyBorder="1" applyAlignment="1">
      <alignment horizontal="center" vertical="center"/>
    </xf>
    <xf numFmtId="0" fontId="26" fillId="14" borderId="21" xfId="0" applyFont="1" applyFill="1" applyBorder="1" applyAlignment="1">
      <alignment horizontal="center" vertical="center"/>
    </xf>
    <xf numFmtId="0" fontId="26" fillId="14" borderId="22" xfId="0" applyFont="1" applyFill="1" applyBorder="1" applyAlignment="1">
      <alignment horizontal="center" vertical="center"/>
    </xf>
    <xf numFmtId="0" fontId="26" fillId="13" borderId="8" xfId="0" applyFont="1" applyFill="1" applyBorder="1" applyAlignment="1">
      <alignment horizontal="center" vertical="center"/>
    </xf>
    <xf numFmtId="0" fontId="26" fillId="13" borderId="21" xfId="0" applyFont="1" applyFill="1" applyBorder="1" applyAlignment="1">
      <alignment horizontal="center" vertical="center"/>
    </xf>
    <xf numFmtId="0" fontId="26" fillId="13" borderId="22" xfId="0" applyFont="1" applyFill="1" applyBorder="1" applyAlignment="1">
      <alignment horizontal="center" vertical="center"/>
    </xf>
    <xf numFmtId="170" fontId="26" fillId="5" borderId="9" xfId="0" applyNumberFormat="1" applyFont="1" applyFill="1" applyBorder="1" applyAlignment="1">
      <alignment horizontal="center" vertical="center"/>
    </xf>
    <xf numFmtId="4" fontId="24" fillId="0" borderId="9" xfId="0" applyNumberFormat="1" applyFont="1" applyBorder="1" applyAlignment="1">
      <alignment horizontal="center" vertical="center"/>
    </xf>
    <xf numFmtId="0" fontId="32" fillId="0" borderId="0" xfId="30" applyFont="1" applyBorder="1" applyAlignment="1">
      <alignment horizontal="center" vertical="center"/>
    </xf>
    <xf numFmtId="170" fontId="24" fillId="5" borderId="7" xfId="0" applyNumberFormat="1" applyFont="1" applyFill="1" applyBorder="1" applyAlignment="1">
      <alignment horizontal="center" vertical="center"/>
    </xf>
    <xf numFmtId="170" fontId="24" fillId="5" borderId="14" xfId="0" applyNumberFormat="1" applyFont="1" applyFill="1" applyBorder="1" applyAlignment="1">
      <alignment horizontal="center" vertical="center"/>
    </xf>
    <xf numFmtId="0" fontId="24" fillId="0" borderId="8" xfId="0" applyFont="1" applyBorder="1" applyAlignment="1">
      <alignment horizontal="center" vertical="center" textRotation="90"/>
    </xf>
    <xf numFmtId="0" fontId="24" fillId="0" borderId="11" xfId="0" applyFont="1" applyBorder="1" applyAlignment="1">
      <alignment horizontal="center" vertical="center" textRotation="90"/>
    </xf>
    <xf numFmtId="0" fontId="24" fillId="0" borderId="12" xfId="0" applyFont="1" applyBorder="1" applyAlignment="1">
      <alignment horizontal="center" vertical="center" textRotation="90"/>
    </xf>
    <xf numFmtId="0" fontId="24" fillId="0" borderId="8" xfId="0" applyFont="1" applyBorder="1" applyAlignment="1">
      <alignment horizontal="center" vertical="center" textRotation="90" wrapText="1"/>
    </xf>
    <xf numFmtId="0" fontId="24" fillId="0" borderId="11" xfId="0" applyFont="1" applyBorder="1" applyAlignment="1">
      <alignment horizontal="center" vertical="center" textRotation="90" wrapText="1"/>
    </xf>
    <xf numFmtId="0" fontId="24" fillId="0" borderId="12" xfId="0" applyFont="1" applyBorder="1" applyAlignment="1">
      <alignment horizontal="center" vertical="center" textRotation="90" wrapText="1"/>
    </xf>
    <xf numFmtId="0" fontId="24" fillId="8" borderId="7" xfId="0" applyFont="1" applyFill="1" applyBorder="1" applyAlignment="1">
      <alignment horizontal="center" vertical="center"/>
    </xf>
    <xf numFmtId="0" fontId="24" fillId="8" borderId="4" xfId="0" applyFont="1" applyFill="1" applyBorder="1" applyAlignment="1">
      <alignment horizontal="center" vertical="center"/>
    </xf>
    <xf numFmtId="0" fontId="24" fillId="8" borderId="14" xfId="0" applyFont="1" applyFill="1" applyBorder="1" applyAlignment="1">
      <alignment horizontal="center" vertical="center"/>
    </xf>
    <xf numFmtId="2" fontId="33" fillId="10" borderId="7" xfId="0" applyNumberFormat="1" applyFont="1" applyFill="1" applyBorder="1" applyAlignment="1">
      <alignment horizontal="left" vertical="center"/>
    </xf>
    <xf numFmtId="2" fontId="33" fillId="10" borderId="4" xfId="0" applyNumberFormat="1" applyFont="1" applyFill="1" applyBorder="1" applyAlignment="1">
      <alignment horizontal="left" vertical="center"/>
    </xf>
    <xf numFmtId="49" fontId="33" fillId="10" borderId="4" xfId="29" applyNumberFormat="1" applyFont="1" applyFill="1" applyBorder="1" applyAlignment="1">
      <alignment horizontal="left" vertical="center"/>
    </xf>
    <xf numFmtId="49" fontId="33" fillId="10" borderId="14" xfId="29" applyNumberFormat="1" applyFont="1" applyFill="1" applyBorder="1" applyAlignment="1">
      <alignment horizontal="left" vertical="center"/>
    </xf>
    <xf numFmtId="49" fontId="24" fillId="7" borderId="7" xfId="0" applyNumberFormat="1" applyFont="1" applyFill="1" applyBorder="1" applyAlignment="1">
      <alignment horizontal="center" vertical="center"/>
    </xf>
    <xf numFmtId="49" fontId="24" fillId="7" borderId="14" xfId="0" applyNumberFormat="1" applyFont="1" applyFill="1" applyBorder="1" applyAlignment="1">
      <alignment horizontal="center" vertical="center"/>
    </xf>
    <xf numFmtId="49" fontId="24" fillId="8" borderId="7" xfId="0" applyNumberFormat="1" applyFont="1" applyFill="1" applyBorder="1" applyAlignment="1">
      <alignment horizontal="center" vertical="center"/>
    </xf>
    <xf numFmtId="49" fontId="24" fillId="8" borderId="14" xfId="0" applyNumberFormat="1" applyFont="1" applyFill="1" applyBorder="1" applyAlignment="1">
      <alignment horizontal="center" vertical="center"/>
    </xf>
    <xf numFmtId="49" fontId="24" fillId="7" borderId="4" xfId="0" applyNumberFormat="1" applyFont="1" applyFill="1" applyBorder="1" applyAlignment="1">
      <alignment horizontal="center" vertical="center"/>
    </xf>
    <xf numFmtId="49" fontId="24" fillId="8" borderId="4" xfId="0" applyNumberFormat="1" applyFont="1" applyFill="1" applyBorder="1" applyAlignment="1">
      <alignment horizontal="center" vertical="center"/>
    </xf>
  </cellXfs>
  <cellStyles count="58">
    <cellStyle name="%" xfId="1" xr:uid="{00000000-0005-0000-0000-000000000000}"/>
    <cellStyle name="% 2" xfId="39" xr:uid="{00000000-0005-0000-0000-000001000000}"/>
    <cellStyle name="Euro" xfId="2" xr:uid="{00000000-0005-0000-0000-000002000000}"/>
    <cellStyle name="Euro 10" xfId="3" xr:uid="{00000000-0005-0000-0000-000003000000}"/>
    <cellStyle name="Euro 11" xfId="4" xr:uid="{00000000-0005-0000-0000-000004000000}"/>
    <cellStyle name="Euro 12" xfId="5" xr:uid="{00000000-0005-0000-0000-000005000000}"/>
    <cellStyle name="Euro 13" xfId="6" xr:uid="{00000000-0005-0000-0000-000006000000}"/>
    <cellStyle name="Euro 14" xfId="7" xr:uid="{00000000-0005-0000-0000-000007000000}"/>
    <cellStyle name="Euro 15" xfId="8" xr:uid="{00000000-0005-0000-0000-000008000000}"/>
    <cellStyle name="Euro 15 2" xfId="40" xr:uid="{00000000-0005-0000-0000-000009000000}"/>
    <cellStyle name="Euro 2" xfId="9" xr:uid="{00000000-0005-0000-0000-00000A000000}"/>
    <cellStyle name="Euro 3" xfId="10" xr:uid="{00000000-0005-0000-0000-00000B000000}"/>
    <cellStyle name="Euro 4" xfId="11" xr:uid="{00000000-0005-0000-0000-00000C000000}"/>
    <cellStyle name="Euro 5" xfId="12" xr:uid="{00000000-0005-0000-0000-00000D000000}"/>
    <cellStyle name="Euro 6" xfId="13" xr:uid="{00000000-0005-0000-0000-00000E000000}"/>
    <cellStyle name="Euro 7" xfId="14" xr:uid="{00000000-0005-0000-0000-00000F000000}"/>
    <cellStyle name="Euro 8" xfId="15" xr:uid="{00000000-0005-0000-0000-000010000000}"/>
    <cellStyle name="Euro 9" xfId="16" xr:uid="{00000000-0005-0000-0000-000011000000}"/>
    <cellStyle name="Euro_1.5 Ruimtestaten SRO N2" xfId="17" xr:uid="{00000000-0005-0000-0000-000012000000}"/>
    <cellStyle name="Followed Hyperlink_Adres-Gymzalen.xls" xfId="18" xr:uid="{00000000-0005-0000-0000-000013000000}"/>
    <cellStyle name="Komma" xfId="19" builtinId="3"/>
    <cellStyle name="Komma 2" xfId="20" xr:uid="{00000000-0005-0000-0000-000015000000}"/>
    <cellStyle name="Komma 3" xfId="37" xr:uid="{00000000-0005-0000-0000-000016000000}"/>
    <cellStyle name="Komma 4" xfId="56" xr:uid="{919DEB51-BFC8-47F3-8C42-1E0AE3D3F518}"/>
    <cellStyle name="Koppen_rekenblad" xfId="21" xr:uid="{00000000-0005-0000-0000-000017000000}"/>
    <cellStyle name="koppenrekenblad2" xfId="22" xr:uid="{00000000-0005-0000-0000-000018000000}"/>
    <cellStyle name="koppenrekenblad2 2" xfId="41" xr:uid="{00000000-0005-0000-0000-000019000000}"/>
    <cellStyle name="m2" xfId="23" xr:uid="{00000000-0005-0000-0000-00001A000000}"/>
    <cellStyle name="NIBa standaard" xfId="24" xr:uid="{00000000-0005-0000-0000-00001B000000}"/>
    <cellStyle name="Ongedefinieerd" xfId="25" xr:uid="{00000000-0005-0000-0000-00001C000000}"/>
    <cellStyle name="prijslijst" xfId="26" xr:uid="{00000000-0005-0000-0000-00001D000000}"/>
    <cellStyle name="Procent" xfId="38" builtinId="5"/>
    <cellStyle name="Procent 2" xfId="35" xr:uid="{00000000-0005-0000-0000-00001F000000}"/>
    <cellStyle name="Procent 3" xfId="44" xr:uid="{00000000-0005-0000-0000-000020000000}"/>
    <cellStyle name="Ruimtestaat_Koppen" xfId="27" xr:uid="{00000000-0005-0000-0000-000021000000}"/>
    <cellStyle name="Standaard" xfId="0" builtinId="0"/>
    <cellStyle name="Standaard 2" xfId="28" xr:uid="{00000000-0005-0000-0000-000023000000}"/>
    <cellStyle name="Standaard 2 2" xfId="42" xr:uid="{00000000-0005-0000-0000-000024000000}"/>
    <cellStyle name="Standaard 3" xfId="29" xr:uid="{00000000-0005-0000-0000-000025000000}"/>
    <cellStyle name="Standaard 3 2" xfId="43" xr:uid="{00000000-0005-0000-0000-000026000000}"/>
    <cellStyle name="Standaard 3 2 2" xfId="51" xr:uid="{00000000-0005-0000-0000-000027000000}"/>
    <cellStyle name="Standaard 3 2 3" xfId="47" xr:uid="{00000000-0005-0000-0000-000028000000}"/>
    <cellStyle name="Standaard 3 3" xfId="49" xr:uid="{00000000-0005-0000-0000-000029000000}"/>
    <cellStyle name="Standaard 3 3 2" xfId="52" xr:uid="{00000000-0005-0000-0000-00002A000000}"/>
    <cellStyle name="Standaard 3 4" xfId="50" xr:uid="{00000000-0005-0000-0000-00002B000000}"/>
    <cellStyle name="Standaard 3 5" xfId="45" xr:uid="{00000000-0005-0000-0000-00002C000000}"/>
    <cellStyle name="Standaard 3 6" xfId="53" xr:uid="{00000000-0005-0000-0000-00002D000000}"/>
    <cellStyle name="Standaard 4" xfId="30" xr:uid="{00000000-0005-0000-0000-00002E000000}"/>
    <cellStyle name="Standaard 5" xfId="34" xr:uid="{00000000-0005-0000-0000-00002F000000}"/>
    <cellStyle name="Standaard 6" xfId="55" xr:uid="{E455430A-9DF4-46E1-A18E-520926441726}"/>
    <cellStyle name="Valuta" xfId="54" builtinId="4"/>
    <cellStyle name="Valuta 2" xfId="31" xr:uid="{00000000-0005-0000-0000-000031000000}"/>
    <cellStyle name="Valuta 3" xfId="36" xr:uid="{00000000-0005-0000-0000-000032000000}"/>
    <cellStyle name="Valuta 4" xfId="48" xr:uid="{00000000-0005-0000-0000-000033000000}"/>
    <cellStyle name="Valuta 5" xfId="46" xr:uid="{00000000-0005-0000-0000-000034000000}"/>
    <cellStyle name="Valuta 6" xfId="57" xr:uid="{2F6036FC-E1D4-4DD3-A240-4ECECFEECB7D}"/>
    <cellStyle name="Währung [0]_Aufmaß" xfId="32" xr:uid="{00000000-0005-0000-0000-000035000000}"/>
    <cellStyle name="Währung_Aufmaß" xfId="33" xr:uid="{00000000-0005-0000-0000-000036000000}"/>
  </cellStyles>
  <dxfs count="19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73" formatCode="_ [$€-413]\ * #,##0.00_ ;_ [$€-413]\ * \-#,##0.00_ ;_ [$€-413]\ * &quot;-&quot;??_ ;_ @_ 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79998168889431442"/>
          <bgColor theme="4" tint="0.79998168889431442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9"/>
        <color theme="1"/>
        <name val="Verdana"/>
        <scheme val="none"/>
      </font>
      <numFmt numFmtId="0" formatCode="General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solid">
          <fgColor indexed="64"/>
          <bgColor theme="0" tint="-0.249977111117893"/>
        </patternFill>
      </fill>
      <alignment vertical="center" textRotation="0" wrapText="0" indent="0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80" formatCode="#,##0_ ;\-#,##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81" formatCode="#,##0.0_ ;\-#,##0.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9" formatCode="#,##0.0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80" formatCode="#,##0_ ;\-#,##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80" formatCode="#,##0_ ;\-#,##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solid">
          <fgColor indexed="64"/>
          <bgColor theme="0" tint="-0.249977111117893"/>
        </patternFill>
      </fill>
      <alignment vertical="center" textRotation="0" wrapText="0" indent="0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indexed="1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ill>
        <patternFill patternType="solid">
          <fgColor theme="4" tint="0.59999389629810485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theme="4" tint="0.59999389629810485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numFmt numFmtId="4" formatCode="#,##0.00"/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64" formatCode="_-&quot;€&quot;\ * #,##0.00_-;_-&quot;€&quot;\ * #,##0.00\-;_-&quot;€&quot;\ * &quot;-&quot;??_-;_-@_-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theme="4" tint="0.59999389629810485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solid">
          <fgColor theme="4" tint="0.59999389629810485"/>
          <bgColor theme="4" tint="0.5999938962981048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theme="4" tint="0.59999389629810485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numFmt numFmtId="4" formatCode="#,##0.00"/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64" formatCode="_-&quot;€&quot;\ * #,##0.00_-;_-&quot;€&quot;\ * #,##0.00\-;_-&quot;€&quot;\ * &quot;-&quot;??_-;_-@_-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4" formatCode="#,##0.00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sz val="9"/>
        <color theme="1"/>
        <name val="Verdana"/>
        <family val="2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theme="4" tint="0.79998168889431442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numFmt numFmtId="4" formatCode="#,##0.00"/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64" formatCode="_-&quot;€&quot;\ * #,##0.00_-;_-&quot;€&quot;\ * #,##0.00\-;_-&quot;€&quot;\ * &quot;-&quot;??_-;_-@_-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9" formatCode="0.0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9" formatCode="0.0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9" formatCode="0.0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8" formatCode="0.00\ &quot;m²&quot;"/>
      <fill>
        <patternFill patternType="none">
          <fgColor indexed="64"/>
          <bgColor auto="1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78" formatCode="0.00\ &quot;m²&quot;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bottom" textRotation="0" wrapTex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9"/>
        <color auto="1"/>
        <name val="Verdana"/>
        <scheme val="none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bottom" textRotation="0" wrapTex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2" formatCode="0.00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E096B"/>
      <color rgb="FF3468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Gegevens\Excel\Calc\AZR\AZR%20psychiatri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Voor..van\meten%20glas\meten%20glas\meten%20glas\meten%20glas\meten%20glas\meten%20glas\meten%20glas\meten%20glas\ati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egevens\Excel\Calc\AZR\AZR%20psychiatri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d3 (3)"/>
      <sheetName val="Blad3 (2)"/>
      <sheetName val="Blad1"/>
      <sheetName val="Blad2"/>
      <sheetName val="Blad3"/>
      <sheetName val="Blad4"/>
      <sheetName val="Psychiatrie"/>
      <sheetName val="Uitgangspunten"/>
      <sheetName val="Nummers"/>
      <sheetName val="Menu"/>
      <sheetName val="Tijdnormen"/>
      <sheetName val="Frekwenties"/>
      <sheetName val="Vloeren"/>
      <sheetName val="Blad3_(3)"/>
      <sheetName val="Blad3_(2)"/>
      <sheetName val="hiddenSheet"/>
      <sheetName val="dv_info"/>
      <sheetName val="Kalender"/>
      <sheetName val="AZR psychiatrie"/>
      <sheetName val="Normen"/>
      <sheetName val="Kalender (2)"/>
      <sheetName val="Opzoeklijst"/>
      <sheetName val="01.255"/>
      <sheetName val="02.255"/>
      <sheetName val="04.255"/>
      <sheetName val="Voorblad"/>
      <sheetName val="1.0a-Contractblad Prodruimten"/>
      <sheetName val="1.0d-Contractblad Algemeen"/>
      <sheetName val="1.1-Jaarprijzen"/>
      <sheetName val="1.5 Opbouw uurtarieven"/>
      <sheetName val="1.1a-Inzet uren per lijn"/>
      <sheetName val="1.1a-Overzicht uren-prijzen"/>
      <sheetName val="1.2-Tijdseenheid Productie"/>
      <sheetName val="MAXIMO VERSU CONTRACT"/>
      <sheetName val="1.3a-Low Care"/>
      <sheetName val="1.3f-Mutaties"/>
      <sheetName val="13g-Mutaties oud"/>
      <sheetName val="1.3c-Plafond en wanden"/>
      <sheetName val="1.3d Vloeronderhoud door ED"/>
      <sheetName val="1.6-Machine-investeringskosten"/>
      <sheetName val="EtagesLijst"/>
      <sheetName val="Werkprogrammas"/>
      <sheetName val="_BuildingSectionListExport"/>
      <sheetName val="_DepartmentListExport"/>
      <sheetName val="_BuildingListExport"/>
      <sheetName val="_LocationListExport"/>
      <sheetName val="_ProgramListExport"/>
      <sheetName val="_SpaceTypeListExport"/>
      <sheetName val="_FloorTypeListExpo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tir.xls"/>
      <sheetName val="#REF"/>
      <sheetName val="atir_xls"/>
      <sheetName val="3-Basis_ruimtestaat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d3 (3)"/>
      <sheetName val="Blad3 (2)"/>
      <sheetName val="Blad1"/>
      <sheetName val="Blad2"/>
      <sheetName val="Blad3"/>
      <sheetName val="Blad4"/>
      <sheetName val="Psychiatrie"/>
      <sheetName val="Nummers"/>
      <sheetName val="Menu"/>
      <sheetName val="Tijdnormen"/>
      <sheetName val="Frekwenties"/>
      <sheetName val="Vloeren"/>
      <sheetName val="Uitgangspunten"/>
      <sheetName val="Blad3_(3)"/>
      <sheetName val="Blad3_(2)"/>
      <sheetName val="hiddenSheet"/>
      <sheetName val="dv_info"/>
      <sheetName val="Kalender"/>
      <sheetName val="EtagesLijst"/>
      <sheetName val="Werkprogrammas"/>
      <sheetName val="_BuildingSectionListExport"/>
      <sheetName val="_DepartmentListExport"/>
      <sheetName val="_BuildingListExport"/>
      <sheetName val="_LocationListExport"/>
      <sheetName val="_ProgramListExport"/>
      <sheetName val="_SpaceTypeListExport"/>
      <sheetName val="_FloorTypeListExpo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0000000}" name="Ruimtegroepen" displayName="Ruimtegroepen" ref="A13:D34" totalsRowShown="0" headerRowDxfId="193" dataDxfId="192" headerRowCellStyle="Standaard 4">
  <autoFilter ref="A13:D34" xr:uid="{00000000-0009-0000-0100-000006000000}"/>
  <tableColumns count="4">
    <tableColumn id="1" xr3:uid="{00000000-0010-0000-0000-000001000000}" name="Code" dataDxfId="191" dataCellStyle="Standaard 4"/>
    <tableColumn id="2" xr3:uid="{00000000-0010-0000-0000-000002000000}" name="Ruimte omschrijving" dataDxfId="190" dataCellStyle="Standaard 4"/>
    <tableColumn id="3" xr3:uid="{00000000-0010-0000-0000-000003000000}" name="Norm (5w)" dataDxfId="189"/>
    <tableColumn id="4" xr3:uid="{00000000-0010-0000-0000-000004000000}" name="Inspectiecategorie" dataDxfId="188"/>
  </tableColumns>
  <tableStyleInfo name="TableStyleMedium9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6C086965-2FC3-4E1C-A98B-A5AB725918B5}" name="InvulExtraW" displayName="InvulExtraW" ref="A8:I12" totalsRowShown="0" headerRowDxfId="75">
  <autoFilter ref="A8:I12" xr:uid="{599340E2-C622-43D7-823A-8E9F50F36A05}"/>
  <tableColumns count="9">
    <tableColumn id="1" xr3:uid="{6E9BA7EF-1A99-41EC-A990-2D5B7009DAB3}" name="Code Taak" dataDxfId="74"/>
    <tableColumn id="2" xr3:uid="{0C17A39C-2493-46E3-8819-8BDC4EB9D05C}" name="Werkzaamheden" dataDxfId="73"/>
    <tableColumn id="3" xr3:uid="{D5799FE8-F593-4612-8E44-30E29ADA22A6}" name="Prijs" dataDxfId="72"/>
    <tableColumn id="4" xr3:uid="{3A2325AE-B398-4BDE-AFB7-DBCD94EA1A1B}" name="Omschrijving" dataDxfId="71"/>
    <tableColumn id="5" xr3:uid="{0BF87C77-C8A9-473E-9F86-825C3507A7B2}" name="2023" dataDxfId="70" dataCellStyle="Valuta">
      <calculatedColumnFormula>(InvulExtraW[[#This Row],[Prijs]]*Tariefsopbouw!$I$37)+InvulExtraW[[#This Row],[Prijs]]</calculatedColumnFormula>
    </tableColumn>
    <tableColumn id="6" xr3:uid="{6A1EDD8E-D8DA-4578-9BF3-E0BFCDA3A740}" name="2024" dataDxfId="69" dataCellStyle="Valuta">
      <calculatedColumnFormula>E9*Tariefsopbouw!$K$37+E9</calculatedColumnFormula>
    </tableColumn>
    <tableColumn id="7" xr3:uid="{C7892319-8797-4115-B8ED-2713BA7258FD}" name="2025" dataDxfId="68" dataCellStyle="Valuta">
      <calculatedColumnFormula>F9*Tariefsopbouw!$M$37+F9</calculatedColumnFormula>
    </tableColumn>
    <tableColumn id="8" xr3:uid="{928DE52A-6E77-4345-91E1-267B6B81379F}" name="2026" dataDxfId="67" dataCellStyle="Valuta">
      <calculatedColumnFormula>G9*Tariefsopbouw!$O$37+InvulExtraW[[#This Row],[2025]]</calculatedColumnFormula>
    </tableColumn>
    <tableColumn id="9" xr3:uid="{C36ACBFB-1F6A-45E5-B921-709FEBF1EA39}" name="2027" dataDxfId="66" dataCellStyle="Valuta">
      <calculatedColumnFormula>H9*Tariefsopbouw!$Q$37+InvulExtraW[[#This Row],[2026]]</calculatedColumnFormula>
    </tableColumn>
  </tableColumns>
  <tableStyleInfo name="TableStyleMedium9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B464BE89-A4B0-4871-8E0F-AE8F5775992C}" name="OverzichtExtraW" displayName="OverzichtExtraW" ref="A14:H27" totalsRowCount="1" headerRowDxfId="65" dataDxfId="64" totalsRowDxfId="63">
  <autoFilter ref="A14:H26" xr:uid="{0A6D65ED-4BF1-4C22-92EC-B4BAE9E4FC64}"/>
  <tableColumns count="8">
    <tableColumn id="11" xr3:uid="{859F61E6-DC69-4199-AC60-43925381063A}" name="Code Locatie" dataDxfId="62" totalsRowDxfId="61"/>
    <tableColumn id="1" xr3:uid="{8939FC97-6F60-4694-8E6D-280BBAE3A71F}" name="Locatie" totalsRowLabel="Totaal" dataDxfId="60" totalsRowDxfId="59">
      <calculatedColumnFormula>VLOOKUP(OverzichtExtraW[[#This Row],[Code Locatie]],Locaties[[Code]:[Locatie]],2,0)</calculatedColumnFormula>
    </tableColumn>
    <tableColumn id="3" xr3:uid="{3A2A1425-1C8F-49B2-9AB9-64C169B317C8}" name="Code Taak" dataDxfId="58" totalsRowDxfId="57"/>
    <tableColumn id="4" xr3:uid="{1B8BFBAE-C92C-479F-A8F5-C26C91021403}" name="Toelichting" dataDxfId="56" totalsRowDxfId="55">
      <calculatedColumnFormula>IF(OverzichtExtraW[[#This Row],[Code Taak]],VLOOKUP(OverzichtExtraW[[#This Row],[Code Taak]],InvulExtraW[[#All],[Code Taak]:[Werkzaamheden]],2,FALSE),"")</calculatedColumnFormula>
    </tableColumn>
    <tableColumn id="5" xr3:uid="{085B05C5-087A-4EBD-A6DF-2BE02C3BB7D2}" name="aantal uur per keer/meter" dataDxfId="54" totalsRowDxfId="53"/>
    <tableColumn id="8" xr3:uid="{072DDB37-F4A0-42FC-95D3-4CF09C01375E}" name="Frequentie (uitv./jaar)" dataDxfId="52" totalsRowDxfId="51"/>
    <tableColumn id="9" xr3:uid="{C53DBF15-09CA-45E2-87DC-AA883F7D3A3D}" name="Kosten/jaar excl. BTW" totalsRowFunction="sum" dataDxfId="50" totalsRowDxfId="49"/>
    <tableColumn id="2" xr3:uid="{F83A5791-6C2B-418B-ACDF-19F201BF5A40}" name="Opmerking" dataDxfId="48" totalsRowDxfId="47"/>
  </tableColumns>
  <tableStyleInfo name="TableStyleMedium9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B000000}" name="InvulRegie" displayName="InvulRegie" ref="B8:D37" totalsRowCount="1" headerRowDxfId="46" dataDxfId="45" totalsRowDxfId="44">
  <autoFilter ref="B8:D36" xr:uid="{00000000-0009-0000-0100-00000B000000}"/>
  <tableColumns count="3">
    <tableColumn id="1" xr3:uid="{00000000-0010-0000-0B00-000001000000}" name="Werkzaamheid" totalsRowLabel="Totaal" totalsRowDxfId="43"/>
    <tableColumn id="2" xr3:uid="{00000000-0010-0000-0B00-000002000000}" name="Eenheid" totalsRowDxfId="42"/>
    <tableColumn id="3" xr3:uid="{00000000-0010-0000-0B00-000003000000}" name="Prijs excl. BTW" dataDxfId="41" totalsRowDxfId="40"/>
  </tableColumns>
  <tableStyleInfo name="TableStyleMedium9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C000000}" name="Samenvattingschoonmaak" displayName="Samenvattingschoonmaak" ref="A6:H11" totalsRowCount="1" headerRowDxfId="39" dataDxfId="37" totalsRowDxfId="35" headerRowBorderDxfId="38" tableBorderDxfId="36">
  <autoFilter ref="A6:H10" xr:uid="{00000000-0009-0000-0100-00000E000000}"/>
  <tableColumns count="8">
    <tableColumn id="8" xr3:uid="{00000000-0010-0000-0C00-000008000000}" name="Code Locatie" dataDxfId="34" totalsRowDxfId="33"/>
    <tableColumn id="1" xr3:uid="{00000000-0010-0000-0C00-000001000000}" name="Locatie" totalsRowLabel="Totaal" dataDxfId="32" totalsRowDxfId="31"/>
    <tableColumn id="2" xr3:uid="{00000000-0010-0000-0C00-000002000000}" name="Oppervlakte i/o" totalsRowFunction="sum" dataDxfId="30" totalsRowDxfId="29"/>
    <tableColumn id="3" xr3:uid="{00000000-0010-0000-0C00-000003000000}" name="Prest. (m2 /jaar)" totalsRowFunction="sum" dataDxfId="28" totalsRowDxfId="27"/>
    <tableColumn id="4" xr3:uid="{00000000-0010-0000-0C00-000004000000}" name="Uren / jaar" totalsRowFunction="sum" dataDxfId="26" totalsRowDxfId="25"/>
    <tableColumn id="5" xr3:uid="{00000000-0010-0000-0C00-000005000000}" name="Norm (m2/uur)" totalsRowFunction="custom" dataDxfId="24" totalsRowDxfId="23">
      <calculatedColumnFormula>D7/E7</calculatedColumnFormula>
      <totalsRowFormula>Samenvattingschoonmaak[[#Totals],[Prest. (m2 /jaar)]]/Samenvattingschoonmaak[[#Totals],[Uren / jaar]]</totalsRowFormula>
    </tableColumn>
    <tableColumn id="6" xr3:uid="{00000000-0010-0000-0C00-000006000000}" name="Kosten / jaar" totalsRowFunction="sum" dataDxfId="22" totalsRowDxfId="21"/>
    <tableColumn id="7" xr3:uid="{00000000-0010-0000-0C00-000007000000}" name="Kosten / m2" totalsRowFunction="custom" dataDxfId="20" totalsRowDxfId="19">
      <calculatedColumnFormula>G7/C7</calculatedColumnFormula>
      <totalsRowFormula>Samenvattingschoonmaak[[#Totals],[Kosten / jaar]]/Samenvattingschoonmaak[[#Totals],[Oppervlakte i/o]]</totalsRowFormula>
    </tableColumn>
  </tableColumns>
  <tableStyleInfo name="TableStyleMedium9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D000000}" name="Totalisatie" displayName="Totalisatie" ref="A14:G19" totalsRowCount="1" headerRowDxfId="18" dataDxfId="16" totalsRowDxfId="14" headerRowBorderDxfId="17" tableBorderDxfId="15">
  <autoFilter ref="A14:G18" xr:uid="{00000000-0009-0000-0100-00000F000000}"/>
  <tableColumns count="7">
    <tableColumn id="8" xr3:uid="{00000000-0010-0000-0D00-000008000000}" name="Code Locatie" dataDxfId="13" totalsRowDxfId="12"/>
    <tableColumn id="1" xr3:uid="{00000000-0010-0000-0D00-000001000000}" name="Locaties" totalsRowLabel="Totaal" dataDxfId="11" totalsRowDxfId="10">
      <calculatedColumnFormula>VLOOKUP(Totalisatie[[#This Row],[Code Locatie]],Locaties[],2,0)</calculatedColumnFormula>
    </tableColumn>
    <tableColumn id="4" xr3:uid="{00000000-0010-0000-0D00-000004000000}" name="Schoonmaakonderhoud_x000a_Kosten / jaar" totalsRowFunction="sum" dataDxfId="9" totalsRowDxfId="8">
      <calculatedColumnFormula>SUMIF('Ruimtestaat'!A:A,Totalisatie[[#This Row],[Code Locatie]],'Ruimtestaat'!AG:AG)</calculatedColumnFormula>
    </tableColumn>
    <tableColumn id="6" xr3:uid="{00000000-0010-0000-0D00-000006000000}" name="Glasbewassing_x000a_Kosten / jaar" totalsRowFunction="sum" dataDxfId="7" totalsRowDxfId="6">
      <calculatedColumnFormula>SUMIF(Glasbewassing!$A$22:$A$39,Totalisatie[[#This Row],[Code Locatie]],Glasbewassing!$G$22:$G$39)</calculatedColumnFormula>
    </tableColumn>
    <tableColumn id="2" xr3:uid="{00000000-0010-0000-0D00-000002000000}" name="Vloeronderhoud_x000a_Kosten / jaar" totalsRowFunction="sum" dataDxfId="5" totalsRowDxfId="4">
      <calculatedColumnFormula>SUMIF(Vloeronderhoud!$A$19:$A$37,Totalisatie[[#This Row],[Code Locatie]],Vloeronderhoud!$H$19:$H$37)</calculatedColumnFormula>
    </tableColumn>
    <tableColumn id="3" xr3:uid="{8FB851B9-D9F8-43D4-9890-F0A63473C934}" name="Extra werkzaamheden_x000a_Kosten / jaar" totalsRowFunction="sum" dataDxfId="3" totalsRowDxfId="2">
      <calculatedColumnFormula>SUMIF(OverzichtExtraW[],Totalisatie[[#This Row],[Code Locatie]],OverzichtExtraW[Kosten/jaar excl. BTW])</calculatedColumnFormula>
    </tableColumn>
    <tableColumn id="5" xr3:uid="{2A8C3CF1-513F-4CAD-A439-3F5FCA3E0363}" name="Totaalprijs_x000a_Kosten / jaar" totalsRowFunction="sum" dataDxfId="1" totalsRowDxfId="0">
      <calculatedColumnFormula>SUM(Totalisatie[[#This Row],[Schoonmaakonderhoud
Kosten / jaar]:[Extra werkzaamheden
Kosten / jaar]])</calculatedColumnFormula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1000000}" name="Vloersoorten" displayName="Vloersoorten" ref="A37:F41" totalsRowShown="0" headerRowDxfId="187" dataDxfId="186">
  <autoFilter ref="A37:F41" xr:uid="{00000000-0009-0000-0100-000007000000}"/>
  <tableColumns count="6">
    <tableColumn id="1" xr3:uid="{00000000-0010-0000-0100-000001000000}" name="Code" dataDxfId="185"/>
    <tableColumn id="4" xr3:uid="{00000000-0010-0000-0100-000004000000}" name="Naam" dataDxfId="184"/>
    <tableColumn id="5" xr3:uid="{00000000-0010-0000-0100-000005000000}" name="Aanpassing norm" dataDxfId="183" dataCellStyle="Procent"/>
    <tableColumn id="2" xr3:uid="{00000000-0010-0000-0100-000002000000}" name="Vloersoort omschrijving" dataDxfId="182" dataCellStyle="Standaard 4"/>
    <tableColumn id="7" xr3:uid="{00000000-0010-0000-0100-000007000000}" name="Kolom2" dataDxfId="181" dataCellStyle="Standaard 4"/>
    <tableColumn id="6" xr3:uid="{00000000-0010-0000-0100-000006000000}" name="Kolom1" dataDxfId="180" dataCellStyle="Standaard 4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2000000}" name="Frequenties" displayName="Frequenties" ref="A44:D54" totalsRowShown="0" headerRowDxfId="179" dataDxfId="178">
  <autoFilter ref="A44:D54" xr:uid="{00000000-0009-0000-0100-000008000000}"/>
  <tableColumns count="4">
    <tableColumn id="1" xr3:uid="{00000000-0010-0000-0200-000001000000}" name="Code" dataDxfId="177" dataCellStyle="Standaard 4"/>
    <tableColumn id="2" xr3:uid="{00000000-0010-0000-0200-000002000000}" name="Frequentie omschrijving" dataDxfId="176" dataCellStyle="Standaard 4"/>
    <tableColumn id="3" xr3:uid="{00000000-0010-0000-0200-000003000000}" name="Aanpassing norm" dataDxfId="175" dataCellStyle="Procent"/>
    <tableColumn id="4" xr3:uid="{00000000-0010-0000-0200-000004000000}" name="Uitvoeringen" dataDxfId="174" dataCellStyle="Procent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3000000}" name="Locaties" displayName="Locaties" ref="A6:F10" totalsRowShown="0" dataDxfId="173">
  <autoFilter ref="A6:F10" xr:uid="{00000000-0009-0000-0100-00000D000000}"/>
  <tableColumns count="6">
    <tableColumn id="1" xr3:uid="{00000000-0010-0000-0300-000001000000}" name="Code" dataDxfId="172"/>
    <tableColumn id="2" xr3:uid="{00000000-0010-0000-0300-000002000000}" name="Locatie" dataDxfId="171"/>
    <tableColumn id="7" xr3:uid="{00000000-0010-0000-0300-000007000000}" name="Aanpassing norm" dataDxfId="170"/>
    <tableColumn id="3" xr3:uid="{00000000-0010-0000-0300-000003000000}" name="Adres" dataDxfId="169"/>
    <tableColumn id="4" xr3:uid="{00000000-0010-0000-0300-000004000000}" name="Postcode" dataDxfId="168"/>
    <tableColumn id="5" xr3:uid="{00000000-0010-0000-0300-000005000000}" name="Plaats" dataDxfId="167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4000000}" name="Ruimtestaat" displayName="Ruimtestaat" ref="A4:AG446" totalsRowShown="0" headerRowDxfId="166" dataDxfId="165">
  <autoFilter ref="A4:AG446" xr:uid="{B78C5E8C-24C7-4A23-AB0F-63FB43A90518}"/>
  <tableColumns count="33">
    <tableColumn id="32" xr3:uid="{00000000-0010-0000-0400-000020000000}" name="Code" dataDxfId="164"/>
    <tableColumn id="1" xr3:uid="{00000000-0010-0000-0400-000001000000}" name="Locatie" dataDxfId="163"/>
    <tableColumn id="3" xr3:uid="{00000000-0010-0000-0400-000003000000}" name="Adres" dataDxfId="162">
      <calculatedColumnFormula>VLOOKUP(Ruimtestaat[[#This Row],[Code]],Locaties[#All],4,FALSE)</calculatedColumnFormula>
    </tableColumn>
    <tableColumn id="4" xr3:uid="{00000000-0010-0000-0400-000004000000}" name="Postcode" dataDxfId="161">
      <calculatedColumnFormula>VLOOKUP(Ruimtestaat[[#This Row],[Code]],Locaties[#All],5,FALSE)</calculatedColumnFormula>
    </tableColumn>
    <tableColumn id="5" xr3:uid="{00000000-0010-0000-0400-000005000000}" name="Plaats" dataDxfId="160">
      <calculatedColumnFormula>VLOOKUP(Ruimtestaat[[#This Row],[Code]],Locaties[#All],6,FALSE)</calculatedColumnFormula>
    </tableColumn>
    <tableColumn id="2" xr3:uid="{00000000-0010-0000-0400-000002000000}" name="Gebouw gedeelte" dataDxfId="159"/>
    <tableColumn id="6" xr3:uid="{00000000-0010-0000-0400-000006000000}" name="Etage" dataDxfId="158"/>
    <tableColumn id="7" xr3:uid="{00000000-0010-0000-0400-000007000000}" name="Ruimte- _x000a_nummer" dataDxfId="157"/>
    <tableColumn id="8" xr3:uid="{00000000-0010-0000-0400-000008000000}" name="Ruimte omschrijving" dataDxfId="156"/>
    <tableColumn id="9" xr3:uid="{00000000-0010-0000-0400-000009000000}" name="Ruimte code" dataDxfId="155"/>
    <tableColumn id="10" xr3:uid="{00000000-0010-0000-0400-00000A000000}" name="Ruimtesoort" dataDxfId="154">
      <calculatedColumnFormula>VLOOKUP(Ruimtestaat[[#This Row],[Ruimte code]],Ruimtegroepen[#All],2,FALSE)</calculatedColumnFormula>
    </tableColumn>
    <tableColumn id="11" xr3:uid="{00000000-0010-0000-0400-00000B000000}" name="Vloer code" dataDxfId="153"/>
    <tableColumn id="12" xr3:uid="{00000000-0010-0000-0400-00000C000000}" name="Vloer afwerking" dataDxfId="152"/>
    <tableColumn id="13" xr3:uid="{00000000-0010-0000-0400-00000D000000}" name="Oppervlak (netto)" dataDxfId="151"/>
    <tableColumn id="14" xr3:uid="{00000000-0010-0000-0400-00000E000000}" name="Oppervlakte n.i.o." dataDxfId="150"/>
    <tableColumn id="15" xr3:uid="{00000000-0010-0000-0400-00000F000000}" name="Inspectie categorie" dataDxfId="149">
      <calculatedColumnFormula>VLOOKUP(Ruimtestaat[[#This Row],[Ruimte code]],Ruimtegroepen[#All],4,FALSE)</calculatedColumnFormula>
    </tableColumn>
    <tableColumn id="16" xr3:uid="{00000000-0010-0000-0400-000010000000}" name="Opmerking 1" dataDxfId="148"/>
    <tableColumn id="17" xr3:uid="{00000000-0010-0000-0400-000011000000}" name="Aantal weken/jr" dataDxfId="147"/>
    <tableColumn id="18" xr3:uid="{00000000-0010-0000-0400-000012000000}" name="Ruimte gebruiks-intentie" dataDxfId="146"/>
    <tableColumn id="19" xr3:uid="{00000000-0010-0000-0400-000013000000}" name="Uitvoeringen werkdagen" dataDxfId="145"/>
    <tableColumn id="20" xr3:uid="{00000000-0010-0000-0400-000014000000}" name="Norm (m2/uur) werkdagen" dataDxfId="144">
      <calculatedColumnFormula>IF(T5&gt;0,VLOOKUP($J5,Ruimtegroepen[],3,FALSE)*VLOOKUP($L5,Vloersoorten[],3,FALSE)*VLOOKUP($S5,Frequenties[],3,FALSE)*VLOOKUP($A5,Locaties[],3,FALSE),0)</calculatedColumnFormula>
    </tableColumn>
    <tableColumn id="21" xr3:uid="{00000000-0010-0000-0400-000015000000}" name="Prest. (m2 /jaar) werkdagen" dataDxfId="143">
      <calculatedColumnFormula>Ruimtestaat[[#This Row],[Uitvoeringen werkdagen]]*Ruimtestaat[[#This Row],[Oppervlak (netto)]]</calculatedColumnFormula>
    </tableColumn>
    <tableColumn id="22" xr3:uid="{00000000-0010-0000-0400-000016000000}" name="uren / jaar werkdagen" dataDxfId="142" dataCellStyle="Komma">
      <calculatedColumnFormula>IF(U5&gt;0,Ruimtestaat[[#This Row],[Prest. (m2 /jaar) werkdagen]]/Ruimtestaat[[#This Row],[Norm (m2/uur) werkdagen]],0)</calculatedColumnFormula>
    </tableColumn>
    <tableColumn id="23" xr3:uid="{00000000-0010-0000-0400-000017000000}" name="kosten / jaar werkdagen" dataDxfId="141" dataCellStyle="Valuta">
      <calculatedColumnFormula>Ruimtestaat[[#This Row],[uren / jaar werkdagen]]*Tariefsopbouw!$D$38</calculatedColumnFormula>
    </tableColumn>
    <tableColumn id="24" xr3:uid="{00000000-0010-0000-0400-000018000000}" name="Frequentie weekend" dataDxfId="140"/>
    <tableColumn id="38" xr3:uid="{00000000-0010-0000-0400-000026000000}" name="Uitvoeringen weekend" dataDxfId="139">
      <calculatedColumnFormula>IF(Ruimtestaat[[#This Row],[Frequentie weekend]]&gt;0,VALUE(LEFT(Y5,1))*R5,0)</calculatedColumnFormula>
    </tableColumn>
    <tableColumn id="25" xr3:uid="{00000000-0010-0000-0400-000019000000}" name="Norm (m2/uur) weekend" dataDxfId="138">
      <calculatedColumnFormula>IF($Z5&gt;0,VLOOKUP($J5,Ruimtegroepen[],3,FALSE)*VLOOKUP($L5,Vloersoorten[],3,FALSE)*VLOOKUP($Y5,Frequenties[],3,FALSE)*VLOOKUP(#REF!,Locaties[],3,FALSE),0)</calculatedColumnFormula>
    </tableColumn>
    <tableColumn id="26" xr3:uid="{00000000-0010-0000-0400-00001A000000}" name="Prest. (m2 /jaar) weekend" dataDxfId="137"/>
    <tableColumn id="27" xr3:uid="{00000000-0010-0000-0400-00001B000000}" name="uren / jaar weekend" dataDxfId="136"/>
    <tableColumn id="28" xr3:uid="{00000000-0010-0000-0400-00001C000000}" name="kosten / jaar weekend" dataDxfId="135">
      <calculatedColumnFormula>Ruimtestaat[[#This Row],[uren / jaar weekend]]*Tariefsopbouw!$D$40</calculatedColumnFormula>
    </tableColumn>
    <tableColumn id="29" xr3:uid="{00000000-0010-0000-0400-00001D000000}" name="Prest. (m2 /jaar)" dataDxfId="134" dataCellStyle="Komma">
      <calculatedColumnFormula>Ruimtestaat[[#This Row],[Prest. (m2 /jaar) weekend]]+Ruimtestaat[[#This Row],[Prest. (m2 /jaar) werkdagen]]</calculatedColumnFormula>
    </tableColumn>
    <tableColumn id="30" xr3:uid="{00000000-0010-0000-0400-00001E000000}" name="uren / jaar" dataDxfId="133" dataCellStyle="Komma">
      <calculatedColumnFormula>Ruimtestaat[[#This Row],[uren / jaar weekend]]+Ruimtestaat[[#This Row],[uren / jaar werkdagen]]</calculatedColumnFormula>
    </tableColumn>
    <tableColumn id="31" xr3:uid="{00000000-0010-0000-0400-00001F000000}" name="kosten / jaar" dataDxfId="132">
      <calculatedColumnFormula>Ruimtestaat[[#This Row],[kosten / jaar weekend]]+Ruimtestaat[[#This Row],[kosten / jaar werkdagen]]</calculatedColumnFormula>
    </tableColumn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5000000}" name="InvulGlas" displayName="InvulGlas" ref="A8:I20" totalsRowShown="0" headerRowDxfId="131">
  <autoFilter ref="A8:I20" xr:uid="{00000000-0009-0000-0100-000003000000}"/>
  <tableColumns count="9">
    <tableColumn id="1" xr3:uid="{00000000-0010-0000-0500-000001000000}" name="Code taak" dataDxfId="130"/>
    <tableColumn id="2" xr3:uid="{00000000-0010-0000-0500-000002000000}" name="Glassoort/voorziening"/>
    <tableColumn id="3" xr3:uid="{00000000-0010-0000-0500-000003000000}" name="Prijs excl. BTW" dataDxfId="129"/>
    <tableColumn id="4" xr3:uid="{00000000-0010-0000-0500-000004000000}" name="Eenheid" dataDxfId="128"/>
    <tableColumn id="5" xr3:uid="{CC43D47B-51D1-48C7-9FBE-6228B4D72C08}" name="2023" dataDxfId="127" dataCellStyle="Valuta">
      <calculatedColumnFormula>(InvulGlas[[#This Row],[Prijs excl. BTW]]*Tariefsopbouw!$I$35)+InvulGlas[[#This Row],[Prijs excl. BTW]]</calculatedColumnFormula>
    </tableColumn>
    <tableColumn id="6" xr3:uid="{14AF2224-D978-4323-B50E-296D91A6AA97}" name="2024" dataDxfId="126" dataCellStyle="Valuta">
      <calculatedColumnFormula>E9*Tariefsopbouw!$K$35+Glasbewassing!E9</calculatedColumnFormula>
    </tableColumn>
    <tableColumn id="7" xr3:uid="{C18EB174-680A-4DCC-A57F-327D4F1C3675}" name="2025" dataDxfId="125" dataCellStyle="Valuta">
      <calculatedColumnFormula>F9*Tariefsopbouw!$M$35+Glasbewassing!F9</calculatedColumnFormula>
    </tableColumn>
    <tableColumn id="8" xr3:uid="{2002E41E-1578-4095-8CE5-943025AA110B}" name="2026" dataDxfId="124" dataCellStyle="Valuta">
      <calculatedColumnFormula>G10*Tariefsopbouw!$O$35+Glasbewassing!G10</calculatedColumnFormula>
    </tableColumn>
    <tableColumn id="9" xr3:uid="{95B9447D-2760-430F-8929-530FC65F506E}" name="2027" dataDxfId="123" dataCellStyle="Valuta">
      <calculatedColumnFormula>H9*Tariefsopbouw!$Q$35+Glasbewassing!H9</calculatedColumnFormula>
    </tableColumn>
  </tableColumns>
  <tableStyleInfo name="TableStyleMedium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6000000}" name="OverzichtGlas" displayName="OverzichtGlas" ref="A22:G40" totalsRowCount="1" headerRowDxfId="122" dataDxfId="121" totalsRowDxfId="120">
  <autoFilter ref="A22:G39" xr:uid="{00000000-0009-0000-0100-000004000000}"/>
  <tableColumns count="7">
    <tableColumn id="1" xr3:uid="{00000000-0010-0000-0600-000001000000}" name="Code Locatie" totalsRowLabel="Totaal" dataDxfId="119" totalsRowDxfId="118"/>
    <tableColumn id="2" xr3:uid="{00000000-0010-0000-0600-000002000000}" name="Locatie" dataDxfId="117" totalsRowDxfId="116">
      <calculatedColumnFormula>VLOOKUP(OverzichtGlas[[#This Row],[Code Locatie]],Locaties[],2,0)</calculatedColumnFormula>
    </tableColumn>
    <tableColumn id="3" xr3:uid="{00000000-0010-0000-0600-000003000000}" name="Code taak" dataDxfId="115" totalsRowDxfId="114"/>
    <tableColumn id="4" xr3:uid="{00000000-0010-0000-0600-000004000000}" name="Glassoort/voorziening" dataDxfId="113" totalsRowDxfId="112">
      <calculatedColumnFormula>IF(Glasbewassing!$C23&gt;0,VLOOKUP(Glasbewassing!$C23,$A$8:$B$20,2,FALSE),"Hier vult u de inzet van eventuele hoogwerkers in")</calculatedColumnFormula>
    </tableColumn>
    <tableColumn id="5" xr3:uid="{00000000-0010-0000-0600-000005000000}" name="Oppervlakte of dagen" dataDxfId="111" totalsRowDxfId="110"/>
    <tableColumn id="7" xr3:uid="{00000000-0010-0000-0600-000007000000}" name="Frequentie" dataDxfId="109" totalsRowDxfId="108"/>
    <tableColumn id="8" xr3:uid="{00000000-0010-0000-0600-000008000000}" name="Kosten/jaar excl. BTW" totalsRowFunction="sum" dataDxfId="107" totalsRowDxfId="106">
      <calculatedColumnFormula>IF(C23&gt;0,VLOOKUP(OverzichtGlas[[#This Row],[Code taak]],InvulGlas[],3,0)*E23*F23,0)</calculatedColumnFormula>
    </tableColumn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7000000}" name="InvulVloer" displayName="InvulVloer" ref="A8:I16" totalsRowShown="0" headerRowDxfId="105">
  <autoFilter ref="A8:I16" xr:uid="{00000000-0009-0000-0100-000001000000}"/>
  <tableColumns count="9">
    <tableColumn id="1" xr3:uid="{00000000-0010-0000-0700-000001000000}" name="Code Taak" dataDxfId="104"/>
    <tableColumn id="2" xr3:uid="{00000000-0010-0000-0700-000002000000}" name="Werkzaamheden"/>
    <tableColumn id="3" xr3:uid="{00000000-0010-0000-0700-000003000000}" name="Prijs" dataDxfId="103"/>
    <tableColumn id="4" xr3:uid="{00000000-0010-0000-0700-000004000000}" name="Omschrijving2" dataDxfId="102"/>
    <tableColumn id="5" xr3:uid="{8DD3E179-6B7B-4CB1-A28F-5B8ADA215124}" name="2023" dataDxfId="101" dataCellStyle="Valuta"/>
    <tableColumn id="6" xr3:uid="{BB6E692A-46D1-42B6-A2AC-B4AAABCA88E4}" name="2024" dataDxfId="100" dataCellStyle="Valuta"/>
    <tableColumn id="7" xr3:uid="{6BFC02B3-9153-4384-A0A7-3FBFD6F25134}" name="2025" dataDxfId="99" dataCellStyle="Valuta"/>
    <tableColumn id="8" xr3:uid="{228E54AD-BFA8-4C70-8624-B963D0DBB212}" name="2026" dataDxfId="98" dataCellStyle="Valuta"/>
    <tableColumn id="9" xr3:uid="{2398F346-59C2-4DEF-820B-7FDF89228FD6}" name="2027" dataDxfId="97" dataCellStyle="Valuta"/>
  </tableColumns>
  <tableStyleInfo name="TableStyleMedium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8000000}" name="OverzichtVloer" displayName="OverzichtVloer" ref="A18:I37" totalsRowCount="1" headerRowDxfId="96" dataDxfId="95" totalsRowDxfId="94">
  <autoFilter ref="A18:I36" xr:uid="{00000000-0009-0000-0100-000002000000}"/>
  <tableColumns count="9">
    <tableColumn id="11" xr3:uid="{00000000-0010-0000-0800-00000B000000}" name="Code Locatie" dataDxfId="93" totalsRowDxfId="92"/>
    <tableColumn id="1" xr3:uid="{00000000-0010-0000-0800-000001000000}" name="Locatie" totalsRowLabel="Totaal" dataDxfId="91" totalsRowDxfId="90"/>
    <tableColumn id="3" xr3:uid="{00000000-0010-0000-0800-000003000000}" name="Code Taak" dataDxfId="89" totalsRowDxfId="88"/>
    <tableColumn id="4" xr3:uid="{00000000-0010-0000-0800-000004000000}" name="Vloersoort / toelichting" dataDxfId="87" totalsRowDxfId="86">
      <calculatedColumnFormula>IF(Vloeronderhoud!$C19&gt;0,VLOOKUP(Vloeronderhoud!$C19,$A$8:$B$16,2,FALSE),"")</calculatedColumnFormula>
    </tableColumn>
    <tableColumn id="5" xr3:uid="{00000000-0010-0000-0800-000005000000}" name="Vloersoort" dataDxfId="85" totalsRowDxfId="84"/>
    <tableColumn id="6" xr3:uid="{00000000-0010-0000-0800-000006000000}" name="Oppervlakte" dataDxfId="83" totalsRowDxfId="82">
      <calculatedColumnFormula>SUMIFS('Ruimtestaat'!$N:$N,'Ruimtestaat'!L:L,Vloeronderhoud!E19,'Ruimtestaat'!A:A,Vloeronderhoud!A19)</calculatedColumnFormula>
    </tableColumn>
    <tableColumn id="8" xr3:uid="{00000000-0010-0000-0800-000008000000}" name="Frequentie (uitv./jaar)" dataDxfId="81" totalsRowDxfId="80"/>
    <tableColumn id="9" xr3:uid="{00000000-0010-0000-0800-000009000000}" name="Kosten/jaar excl. BTW" totalsRowFunction="sum" dataDxfId="79" totalsRowDxfId="78">
      <calculatedColumnFormula>G19*#REF!*F19</calculatedColumnFormula>
    </tableColumn>
    <tableColumn id="2" xr3:uid="{3D57AF76-12E7-4FE8-AC08-4DCCC94E1733}" name="Opmerking" dataDxfId="77" totalsRowDxfId="76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6.bin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EE8A5-78E4-4C57-8430-12CDE2A20B61}">
  <sheetPr>
    <pageSetUpPr fitToPage="1"/>
  </sheetPr>
  <dimension ref="A1:D91"/>
  <sheetViews>
    <sheetView zoomScaleNormal="100" workbookViewId="0">
      <selection activeCell="C9" sqref="C9"/>
    </sheetView>
  </sheetViews>
  <sheetFormatPr defaultColWidth="9" defaultRowHeight="12.75"/>
  <cols>
    <col min="1" max="1" width="29.5703125" style="205" customWidth="1"/>
    <col min="2" max="2" width="33.28515625" style="205" customWidth="1"/>
    <col min="3" max="3" width="45.42578125" style="205" bestFit="1" customWidth="1"/>
    <col min="4" max="4" width="54" style="205" customWidth="1"/>
    <col min="5" max="16384" width="9" style="199"/>
  </cols>
  <sheetData>
    <row r="1" spans="1:4" ht="14.25" customHeight="1">
      <c r="A1" s="304" t="s">
        <v>274</v>
      </c>
      <c r="B1" s="305"/>
      <c r="C1" s="305"/>
      <c r="D1" s="306"/>
    </row>
    <row r="2" spans="1:4">
      <c r="A2" s="223" t="s">
        <v>275</v>
      </c>
      <c r="B2" s="223" t="s">
        <v>276</v>
      </c>
      <c r="C2" s="223" t="s">
        <v>277</v>
      </c>
      <c r="D2" s="223" t="s">
        <v>278</v>
      </c>
    </row>
    <row r="3" spans="1:4">
      <c r="A3" s="223"/>
      <c r="B3" s="223"/>
      <c r="C3" s="223"/>
      <c r="D3" s="223" t="s">
        <v>279</v>
      </c>
    </row>
    <row r="4" spans="1:4">
      <c r="A4" s="223" t="s">
        <v>280</v>
      </c>
      <c r="B4" s="223"/>
      <c r="C4" s="223"/>
      <c r="D4" s="223"/>
    </row>
    <row r="5" spans="1:4" ht="25.5">
      <c r="A5" s="200" t="s">
        <v>281</v>
      </c>
      <c r="B5" s="200"/>
      <c r="C5" s="201" t="s">
        <v>282</v>
      </c>
      <c r="D5" s="201"/>
    </row>
    <row r="6" spans="1:4" ht="25.5">
      <c r="A6" s="200" t="s">
        <v>283</v>
      </c>
      <c r="B6" s="200" t="s">
        <v>284</v>
      </c>
      <c r="C6" s="201" t="s">
        <v>285</v>
      </c>
      <c r="D6" s="201" t="s">
        <v>286</v>
      </c>
    </row>
    <row r="7" spans="1:4">
      <c r="A7" s="200" t="s">
        <v>287</v>
      </c>
      <c r="B7" s="200" t="s">
        <v>284</v>
      </c>
      <c r="C7" s="201" t="s">
        <v>285</v>
      </c>
      <c r="D7" s="201" t="s">
        <v>288</v>
      </c>
    </row>
    <row r="8" spans="1:4" ht="25.5">
      <c r="A8" s="200" t="s">
        <v>289</v>
      </c>
      <c r="B8" s="200" t="s">
        <v>290</v>
      </c>
      <c r="C8" s="201" t="s">
        <v>291</v>
      </c>
      <c r="D8" s="201" t="s">
        <v>292</v>
      </c>
    </row>
    <row r="9" spans="1:4" ht="25.5">
      <c r="A9" s="200" t="s">
        <v>289</v>
      </c>
      <c r="B9" s="200" t="s">
        <v>293</v>
      </c>
      <c r="C9" s="201" t="s">
        <v>294</v>
      </c>
      <c r="D9" s="201" t="s">
        <v>292</v>
      </c>
    </row>
    <row r="10" spans="1:4">
      <c r="A10" s="200" t="s">
        <v>295</v>
      </c>
      <c r="B10" s="200" t="s">
        <v>293</v>
      </c>
      <c r="C10" s="201" t="s">
        <v>296</v>
      </c>
      <c r="D10" s="201"/>
    </row>
    <row r="11" spans="1:4" ht="30" customHeight="1">
      <c r="A11" s="200" t="s">
        <v>297</v>
      </c>
      <c r="B11" s="200" t="s">
        <v>284</v>
      </c>
      <c r="C11" s="201" t="s">
        <v>285</v>
      </c>
      <c r="D11" s="201" t="s">
        <v>298</v>
      </c>
    </row>
    <row r="12" spans="1:4">
      <c r="A12" s="200" t="s">
        <v>299</v>
      </c>
      <c r="B12" s="200" t="s">
        <v>284</v>
      </c>
      <c r="C12" s="201" t="s">
        <v>285</v>
      </c>
      <c r="D12" s="200" t="s">
        <v>300</v>
      </c>
    </row>
    <row r="13" spans="1:4" ht="25.5">
      <c r="A13" s="202" t="s">
        <v>301</v>
      </c>
      <c r="B13" s="202" t="s">
        <v>284</v>
      </c>
      <c r="C13" s="203" t="s">
        <v>285</v>
      </c>
      <c r="D13" s="203" t="s">
        <v>302</v>
      </c>
    </row>
    <row r="14" spans="1:4" ht="25.5">
      <c r="A14" s="200" t="s">
        <v>303</v>
      </c>
      <c r="B14" s="200" t="s">
        <v>284</v>
      </c>
      <c r="C14" s="201" t="s">
        <v>285</v>
      </c>
      <c r="D14" s="201" t="s">
        <v>304</v>
      </c>
    </row>
    <row r="15" spans="1:4">
      <c r="A15" s="200" t="s">
        <v>295</v>
      </c>
      <c r="B15" s="200" t="s">
        <v>293</v>
      </c>
      <c r="C15" s="201" t="s">
        <v>296</v>
      </c>
      <c r="D15" s="204"/>
    </row>
    <row r="16" spans="1:4" ht="25.5">
      <c r="A16" s="200" t="s">
        <v>305</v>
      </c>
      <c r="B16" s="200" t="s">
        <v>293</v>
      </c>
      <c r="C16" s="201" t="s">
        <v>285</v>
      </c>
      <c r="D16" s="201" t="s">
        <v>306</v>
      </c>
    </row>
    <row r="17" spans="1:4" ht="25.5">
      <c r="A17" s="200" t="s">
        <v>307</v>
      </c>
      <c r="B17" s="200" t="s">
        <v>284</v>
      </c>
      <c r="C17" s="201" t="s">
        <v>285</v>
      </c>
      <c r="D17" s="204" t="s">
        <v>308</v>
      </c>
    </row>
    <row r="18" spans="1:4" ht="25.5">
      <c r="A18" s="200" t="s">
        <v>309</v>
      </c>
      <c r="B18" s="200" t="s">
        <v>284</v>
      </c>
      <c r="C18" s="201" t="s">
        <v>285</v>
      </c>
      <c r="D18" s="204" t="s">
        <v>310</v>
      </c>
    </row>
    <row r="19" spans="1:4" ht="25.5">
      <c r="A19" s="200" t="s">
        <v>311</v>
      </c>
      <c r="B19" s="200" t="s">
        <v>293</v>
      </c>
      <c r="C19" s="201" t="s">
        <v>285</v>
      </c>
      <c r="D19" s="204" t="s">
        <v>304</v>
      </c>
    </row>
    <row r="20" spans="1:4" ht="25.5">
      <c r="A20" s="200" t="s">
        <v>312</v>
      </c>
      <c r="B20" s="200" t="s">
        <v>284</v>
      </c>
      <c r="C20" s="201" t="s">
        <v>285</v>
      </c>
      <c r="D20" s="204" t="s">
        <v>310</v>
      </c>
    </row>
    <row r="21" spans="1:4">
      <c r="A21" s="200" t="s">
        <v>313</v>
      </c>
      <c r="B21" s="200" t="s">
        <v>314</v>
      </c>
      <c r="C21" s="201" t="s">
        <v>315</v>
      </c>
      <c r="D21" s="204"/>
    </row>
    <row r="22" spans="1:4" ht="25.5">
      <c r="A22" s="200" t="s">
        <v>313</v>
      </c>
      <c r="B22" s="200" t="s">
        <v>293</v>
      </c>
      <c r="C22" s="201" t="s">
        <v>285</v>
      </c>
      <c r="D22" s="204" t="s">
        <v>308</v>
      </c>
    </row>
    <row r="23" spans="1:4" ht="25.5">
      <c r="A23" s="200" t="s">
        <v>316</v>
      </c>
      <c r="B23" s="200" t="s">
        <v>284</v>
      </c>
      <c r="C23" s="201" t="s">
        <v>285</v>
      </c>
      <c r="D23" s="204" t="s">
        <v>317</v>
      </c>
    </row>
    <row r="24" spans="1:4" ht="25.5">
      <c r="A24" s="200" t="s">
        <v>318</v>
      </c>
      <c r="B24" s="200" t="s">
        <v>284</v>
      </c>
      <c r="C24" s="201" t="s">
        <v>285</v>
      </c>
      <c r="D24" s="204" t="s">
        <v>319</v>
      </c>
    </row>
    <row r="25" spans="1:4" ht="38.25">
      <c r="A25" s="200" t="s">
        <v>320</v>
      </c>
      <c r="B25" s="200" t="s">
        <v>284</v>
      </c>
      <c r="C25" s="201" t="s">
        <v>285</v>
      </c>
      <c r="D25" s="204" t="s">
        <v>321</v>
      </c>
    </row>
    <row r="26" spans="1:4" ht="25.5">
      <c r="A26" s="200" t="s">
        <v>322</v>
      </c>
      <c r="B26" s="200" t="s">
        <v>284</v>
      </c>
      <c r="C26" s="201" t="s">
        <v>285</v>
      </c>
      <c r="D26" s="204" t="s">
        <v>317</v>
      </c>
    </row>
    <row r="27" spans="1:4" ht="25.5">
      <c r="A27" s="200" t="s">
        <v>323</v>
      </c>
      <c r="B27" s="200" t="s">
        <v>293</v>
      </c>
      <c r="C27" s="201" t="s">
        <v>285</v>
      </c>
      <c r="D27" s="204" t="s">
        <v>324</v>
      </c>
    </row>
    <row r="28" spans="1:4" ht="25.5">
      <c r="A28" s="200" t="s">
        <v>325</v>
      </c>
      <c r="B28" s="200" t="s">
        <v>293</v>
      </c>
      <c r="C28" s="201" t="s">
        <v>285</v>
      </c>
      <c r="D28" s="204" t="s">
        <v>308</v>
      </c>
    </row>
    <row r="29" spans="1:4" ht="25.5">
      <c r="A29" s="200" t="s">
        <v>326</v>
      </c>
      <c r="B29" s="200" t="s">
        <v>284</v>
      </c>
      <c r="C29" s="201" t="s">
        <v>285</v>
      </c>
      <c r="D29" s="204" t="s">
        <v>308</v>
      </c>
    </row>
    <row r="30" spans="1:4" ht="25.5">
      <c r="A30" s="200" t="s">
        <v>327</v>
      </c>
      <c r="B30" s="200" t="s">
        <v>293</v>
      </c>
      <c r="C30" s="201" t="s">
        <v>285</v>
      </c>
      <c r="D30" s="204" t="s">
        <v>308</v>
      </c>
    </row>
    <row r="31" spans="1:4">
      <c r="A31" s="223" t="s">
        <v>275</v>
      </c>
      <c r="B31" s="223" t="s">
        <v>276</v>
      </c>
      <c r="C31" s="223" t="s">
        <v>277</v>
      </c>
      <c r="D31" s="223" t="s">
        <v>278</v>
      </c>
    </row>
    <row r="32" spans="1:4">
      <c r="A32" s="223"/>
      <c r="B32" s="223"/>
      <c r="C32" s="223"/>
      <c r="D32" s="223" t="s">
        <v>279</v>
      </c>
    </row>
    <row r="33" spans="1:4">
      <c r="A33" s="223" t="s">
        <v>328</v>
      </c>
      <c r="B33" s="223"/>
      <c r="C33" s="223"/>
      <c r="D33" s="223"/>
    </row>
    <row r="34" spans="1:4" ht="25.5">
      <c r="A34" s="200" t="s">
        <v>281</v>
      </c>
      <c r="B34" s="200"/>
      <c r="C34" s="201" t="s">
        <v>329</v>
      </c>
      <c r="D34" s="204"/>
    </row>
    <row r="35" spans="1:4" ht="25.5">
      <c r="A35" s="200" t="s">
        <v>330</v>
      </c>
      <c r="B35" s="200" t="s">
        <v>293</v>
      </c>
      <c r="C35" s="201" t="s">
        <v>285</v>
      </c>
      <c r="D35" s="204" t="s">
        <v>331</v>
      </c>
    </row>
    <row r="36" spans="1:4" ht="25.5">
      <c r="A36" s="200" t="s">
        <v>332</v>
      </c>
      <c r="B36" s="200" t="s">
        <v>293</v>
      </c>
      <c r="C36" s="201" t="s">
        <v>285</v>
      </c>
      <c r="D36" s="204" t="s">
        <v>333</v>
      </c>
    </row>
    <row r="37" spans="1:4" ht="38.25">
      <c r="A37" s="200" t="s">
        <v>334</v>
      </c>
      <c r="B37" s="200" t="s">
        <v>284</v>
      </c>
      <c r="C37" s="201" t="s">
        <v>285</v>
      </c>
      <c r="D37" s="204" t="s">
        <v>335</v>
      </c>
    </row>
    <row r="38" spans="1:4" ht="25.5">
      <c r="A38" s="200" t="s">
        <v>305</v>
      </c>
      <c r="B38" s="200" t="s">
        <v>293</v>
      </c>
      <c r="C38" s="201" t="s">
        <v>285</v>
      </c>
      <c r="D38" s="201" t="s">
        <v>306</v>
      </c>
    </row>
    <row r="39" spans="1:4" ht="25.5">
      <c r="A39" s="200" t="s">
        <v>272</v>
      </c>
      <c r="B39" s="200" t="s">
        <v>293</v>
      </c>
      <c r="C39" s="201" t="s">
        <v>285</v>
      </c>
      <c r="D39" s="201" t="s">
        <v>331</v>
      </c>
    </row>
    <row r="40" spans="1:4" ht="25.5">
      <c r="A40" s="200" t="s">
        <v>336</v>
      </c>
      <c r="B40" s="200" t="s">
        <v>293</v>
      </c>
      <c r="C40" s="201" t="s">
        <v>285</v>
      </c>
      <c r="D40" s="201" t="s">
        <v>337</v>
      </c>
    </row>
    <row r="41" spans="1:4" ht="25.5">
      <c r="A41" s="200" t="s">
        <v>338</v>
      </c>
      <c r="B41" s="200" t="s">
        <v>293</v>
      </c>
      <c r="C41" s="201" t="s">
        <v>285</v>
      </c>
      <c r="D41" s="201" t="s">
        <v>339</v>
      </c>
    </row>
    <row r="42" spans="1:4">
      <c r="A42" s="200" t="s">
        <v>340</v>
      </c>
      <c r="B42" s="200" t="s">
        <v>284</v>
      </c>
      <c r="C42" s="201" t="s">
        <v>285</v>
      </c>
      <c r="D42" s="204" t="s">
        <v>300</v>
      </c>
    </row>
    <row r="43" spans="1:4" ht="25.5">
      <c r="A43" s="200" t="s">
        <v>341</v>
      </c>
      <c r="B43" s="200" t="s">
        <v>284</v>
      </c>
      <c r="C43" s="201" t="s">
        <v>285</v>
      </c>
      <c r="D43" s="204" t="s">
        <v>308</v>
      </c>
    </row>
    <row r="44" spans="1:4" ht="25.5">
      <c r="A44" s="200" t="s">
        <v>342</v>
      </c>
      <c r="B44" s="200" t="s">
        <v>293</v>
      </c>
      <c r="C44" s="201" t="s">
        <v>285</v>
      </c>
      <c r="D44" s="204" t="s">
        <v>343</v>
      </c>
    </row>
    <row r="45" spans="1:4" ht="25.5">
      <c r="A45" s="200" t="s">
        <v>344</v>
      </c>
      <c r="B45" s="200" t="s">
        <v>293</v>
      </c>
      <c r="C45" s="201" t="s">
        <v>285</v>
      </c>
      <c r="D45" s="204" t="s">
        <v>345</v>
      </c>
    </row>
    <row r="46" spans="1:4" ht="25.5">
      <c r="A46" s="200" t="s">
        <v>346</v>
      </c>
      <c r="B46" s="200" t="s">
        <v>293</v>
      </c>
      <c r="C46" s="201" t="s">
        <v>285</v>
      </c>
      <c r="D46" s="201" t="s">
        <v>347</v>
      </c>
    </row>
    <row r="47" spans="1:4" ht="25.5">
      <c r="A47" s="200" t="s">
        <v>348</v>
      </c>
      <c r="B47" s="200" t="s">
        <v>293</v>
      </c>
      <c r="C47" s="201" t="s">
        <v>285</v>
      </c>
      <c r="D47" s="204" t="s">
        <v>308</v>
      </c>
    </row>
    <row r="48" spans="1:4">
      <c r="A48" s="200" t="s">
        <v>349</v>
      </c>
      <c r="B48" s="200" t="s">
        <v>284</v>
      </c>
      <c r="C48" s="201" t="s">
        <v>285</v>
      </c>
      <c r="D48" s="204" t="s">
        <v>300</v>
      </c>
    </row>
    <row r="49" spans="1:4" ht="25.5">
      <c r="A49" s="200" t="s">
        <v>350</v>
      </c>
      <c r="B49" s="200" t="s">
        <v>284</v>
      </c>
      <c r="C49" s="201" t="s">
        <v>285</v>
      </c>
      <c r="D49" s="204" t="s">
        <v>306</v>
      </c>
    </row>
    <row r="50" spans="1:4" ht="38.25">
      <c r="A50" s="200" t="s">
        <v>351</v>
      </c>
      <c r="B50" s="200" t="s">
        <v>293</v>
      </c>
      <c r="C50" s="201" t="s">
        <v>285</v>
      </c>
      <c r="D50" s="204" t="s">
        <v>352</v>
      </c>
    </row>
    <row r="51" spans="1:4">
      <c r="A51" s="223" t="s">
        <v>275</v>
      </c>
      <c r="B51" s="223" t="s">
        <v>276</v>
      </c>
      <c r="C51" s="223" t="s">
        <v>277</v>
      </c>
      <c r="D51" s="223" t="s">
        <v>278</v>
      </c>
    </row>
    <row r="52" spans="1:4">
      <c r="A52" s="223"/>
      <c r="B52" s="223"/>
      <c r="C52" s="223"/>
      <c r="D52" s="223" t="s">
        <v>279</v>
      </c>
    </row>
    <row r="53" spans="1:4">
      <c r="A53" s="223" t="s">
        <v>353</v>
      </c>
      <c r="B53" s="223"/>
      <c r="C53" s="223"/>
      <c r="D53" s="223"/>
    </row>
    <row r="54" spans="1:4" ht="38.25">
      <c r="A54" s="200" t="s">
        <v>281</v>
      </c>
      <c r="B54" s="200"/>
      <c r="C54" s="201" t="s">
        <v>354</v>
      </c>
      <c r="D54" s="201"/>
    </row>
    <row r="55" spans="1:4" ht="25.5">
      <c r="A55" s="200" t="s">
        <v>355</v>
      </c>
      <c r="B55" s="200" t="s">
        <v>293</v>
      </c>
      <c r="C55" s="201" t="s">
        <v>356</v>
      </c>
      <c r="D55" s="204" t="s">
        <v>357</v>
      </c>
    </row>
    <row r="56" spans="1:4" ht="25.5">
      <c r="A56" s="200" t="s">
        <v>358</v>
      </c>
      <c r="B56" s="200" t="s">
        <v>293</v>
      </c>
      <c r="C56" s="201" t="s">
        <v>285</v>
      </c>
      <c r="D56" s="204" t="s">
        <v>359</v>
      </c>
    </row>
    <row r="57" spans="1:4">
      <c r="A57" s="200" t="s">
        <v>360</v>
      </c>
      <c r="B57" s="200" t="s">
        <v>293</v>
      </c>
      <c r="C57" s="201" t="s">
        <v>285</v>
      </c>
      <c r="D57" s="204" t="s">
        <v>361</v>
      </c>
    </row>
    <row r="58" spans="1:4">
      <c r="A58" s="200" t="s">
        <v>360</v>
      </c>
      <c r="B58" s="200" t="s">
        <v>293</v>
      </c>
      <c r="C58" s="201" t="s">
        <v>362</v>
      </c>
      <c r="D58" s="204"/>
    </row>
    <row r="59" spans="1:4">
      <c r="A59" s="200" t="s">
        <v>363</v>
      </c>
      <c r="B59" s="200" t="s">
        <v>293</v>
      </c>
      <c r="C59" s="201" t="s">
        <v>285</v>
      </c>
      <c r="D59" s="204" t="s">
        <v>361</v>
      </c>
    </row>
    <row r="60" spans="1:4" ht="25.5">
      <c r="A60" s="200" t="s">
        <v>364</v>
      </c>
      <c r="B60" s="200" t="s">
        <v>293</v>
      </c>
      <c r="C60" s="201" t="s">
        <v>285</v>
      </c>
      <c r="D60" s="204" t="s">
        <v>308</v>
      </c>
    </row>
    <row r="61" spans="1:4">
      <c r="A61" s="200" t="s">
        <v>365</v>
      </c>
      <c r="B61" s="200" t="s">
        <v>293</v>
      </c>
      <c r="C61" s="201" t="s">
        <v>285</v>
      </c>
      <c r="D61" s="204" t="s">
        <v>361</v>
      </c>
    </row>
    <row r="62" spans="1:4">
      <c r="A62" s="200" t="s">
        <v>365</v>
      </c>
      <c r="B62" s="200" t="s">
        <v>293</v>
      </c>
      <c r="C62" s="201" t="s">
        <v>362</v>
      </c>
      <c r="D62" s="204"/>
    </row>
    <row r="63" spans="1:4" ht="25.5">
      <c r="A63" s="200" t="s">
        <v>366</v>
      </c>
      <c r="B63" s="200" t="s">
        <v>293</v>
      </c>
      <c r="C63" s="201" t="s">
        <v>285</v>
      </c>
      <c r="D63" s="204" t="s">
        <v>367</v>
      </c>
    </row>
    <row r="64" spans="1:4">
      <c r="A64" s="200" t="s">
        <v>366</v>
      </c>
      <c r="B64" s="200" t="s">
        <v>293</v>
      </c>
      <c r="C64" s="201" t="s">
        <v>362</v>
      </c>
      <c r="D64" s="204"/>
    </row>
    <row r="65" spans="1:4" ht="25.5">
      <c r="A65" s="200" t="s">
        <v>368</v>
      </c>
      <c r="B65" s="200" t="s">
        <v>293</v>
      </c>
      <c r="C65" s="201" t="s">
        <v>285</v>
      </c>
      <c r="D65" s="204" t="s">
        <v>369</v>
      </c>
    </row>
    <row r="66" spans="1:4" ht="25.5">
      <c r="A66" s="200" t="s">
        <v>368</v>
      </c>
      <c r="B66" s="200" t="s">
        <v>293</v>
      </c>
      <c r="C66" s="201" t="s">
        <v>362</v>
      </c>
      <c r="D66" s="204"/>
    </row>
    <row r="67" spans="1:4" ht="25.5">
      <c r="A67" s="200" t="s">
        <v>370</v>
      </c>
      <c r="B67" s="200" t="s">
        <v>293</v>
      </c>
      <c r="C67" s="201" t="s">
        <v>285</v>
      </c>
      <c r="D67" s="204" t="s">
        <v>371</v>
      </c>
    </row>
    <row r="68" spans="1:4" ht="25.5">
      <c r="A68" s="200" t="s">
        <v>372</v>
      </c>
      <c r="B68" s="200" t="s">
        <v>293</v>
      </c>
      <c r="C68" s="201" t="s">
        <v>285</v>
      </c>
      <c r="D68" s="204" t="s">
        <v>319</v>
      </c>
    </row>
    <row r="69" spans="1:4">
      <c r="A69" s="200" t="s">
        <v>372</v>
      </c>
      <c r="B69" s="200" t="s">
        <v>293</v>
      </c>
      <c r="C69" s="201" t="s">
        <v>362</v>
      </c>
      <c r="D69" s="204"/>
    </row>
    <row r="70" spans="1:4" ht="25.5">
      <c r="A70" s="200" t="s">
        <v>373</v>
      </c>
      <c r="B70" s="200" t="s">
        <v>293</v>
      </c>
      <c r="C70" s="201" t="s">
        <v>374</v>
      </c>
      <c r="D70" s="204" t="s">
        <v>333</v>
      </c>
    </row>
    <row r="71" spans="1:4">
      <c r="A71" s="200" t="s">
        <v>373</v>
      </c>
      <c r="B71" s="200" t="s">
        <v>293</v>
      </c>
      <c r="C71" s="201" t="s">
        <v>362</v>
      </c>
      <c r="D71" s="204"/>
    </row>
    <row r="72" spans="1:4">
      <c r="A72" s="223" t="s">
        <v>275</v>
      </c>
      <c r="B72" s="223" t="s">
        <v>276</v>
      </c>
      <c r="C72" s="223" t="s">
        <v>277</v>
      </c>
      <c r="D72" s="223" t="s">
        <v>278</v>
      </c>
    </row>
    <row r="73" spans="1:4">
      <c r="A73" s="223"/>
      <c r="B73" s="223"/>
      <c r="C73" s="223"/>
      <c r="D73" s="223" t="s">
        <v>279</v>
      </c>
    </row>
    <row r="74" spans="1:4">
      <c r="A74" s="223" t="s">
        <v>375</v>
      </c>
      <c r="B74" s="223"/>
      <c r="C74" s="223"/>
      <c r="D74" s="223"/>
    </row>
    <row r="75" spans="1:4" ht="25.5">
      <c r="A75" s="200" t="s">
        <v>281</v>
      </c>
      <c r="B75" s="200"/>
      <c r="C75" s="201" t="s">
        <v>376</v>
      </c>
      <c r="D75" s="201"/>
    </row>
    <row r="76" spans="1:4">
      <c r="A76" s="223" t="s">
        <v>377</v>
      </c>
      <c r="B76" s="223"/>
      <c r="C76" s="223"/>
      <c r="D76" s="223"/>
    </row>
    <row r="77" spans="1:4" ht="25.5">
      <c r="A77" s="200" t="s">
        <v>378</v>
      </c>
      <c r="B77" s="200" t="s">
        <v>293</v>
      </c>
      <c r="C77" s="201" t="s">
        <v>379</v>
      </c>
      <c r="D77" s="204" t="s">
        <v>380</v>
      </c>
    </row>
    <row r="78" spans="1:4" ht="25.5">
      <c r="A78" s="200" t="s">
        <v>381</v>
      </c>
      <c r="B78" s="200" t="s">
        <v>293</v>
      </c>
      <c r="C78" s="201" t="s">
        <v>379</v>
      </c>
      <c r="D78" s="204" t="s">
        <v>380</v>
      </c>
    </row>
    <row r="79" spans="1:4" ht="25.5">
      <c r="A79" s="200" t="s">
        <v>382</v>
      </c>
      <c r="B79" s="200" t="s">
        <v>293</v>
      </c>
      <c r="C79" s="201" t="s">
        <v>379</v>
      </c>
      <c r="D79" s="204" t="s">
        <v>383</v>
      </c>
    </row>
    <row r="80" spans="1:4" ht="25.5">
      <c r="A80" s="200" t="s">
        <v>384</v>
      </c>
      <c r="B80" s="200" t="s">
        <v>293</v>
      </c>
      <c r="C80" s="201" t="s">
        <v>379</v>
      </c>
      <c r="D80" s="204" t="s">
        <v>385</v>
      </c>
    </row>
    <row r="81" spans="1:4" ht="25.5">
      <c r="A81" s="200" t="s">
        <v>424</v>
      </c>
      <c r="B81" s="200" t="s">
        <v>293</v>
      </c>
      <c r="C81" s="201" t="s">
        <v>379</v>
      </c>
      <c r="D81" s="204" t="s">
        <v>385</v>
      </c>
    </row>
    <row r="82" spans="1:4">
      <c r="A82" s="223" t="s">
        <v>273</v>
      </c>
      <c r="B82" s="223"/>
      <c r="C82" s="223"/>
      <c r="D82" s="223"/>
    </row>
    <row r="83" spans="1:4" ht="25.5">
      <c r="A83" s="200" t="s">
        <v>378</v>
      </c>
      <c r="B83" s="200" t="s">
        <v>293</v>
      </c>
      <c r="C83" s="201" t="s">
        <v>379</v>
      </c>
      <c r="D83" s="204" t="s">
        <v>380</v>
      </c>
    </row>
    <row r="84" spans="1:4" ht="25.5">
      <c r="A84" s="200" t="s">
        <v>381</v>
      </c>
      <c r="B84" s="200" t="s">
        <v>293</v>
      </c>
      <c r="C84" s="201" t="s">
        <v>379</v>
      </c>
      <c r="D84" s="204" t="s">
        <v>380</v>
      </c>
    </row>
    <row r="85" spans="1:4" ht="25.5">
      <c r="A85" s="200" t="s">
        <v>382</v>
      </c>
      <c r="B85" s="200" t="s">
        <v>293</v>
      </c>
      <c r="C85" s="201" t="s">
        <v>379</v>
      </c>
      <c r="D85" s="204" t="s">
        <v>383</v>
      </c>
    </row>
    <row r="86" spans="1:4" ht="25.5">
      <c r="A86" s="200" t="s">
        <v>384</v>
      </c>
      <c r="B86" s="200" t="s">
        <v>293</v>
      </c>
      <c r="C86" s="201" t="s">
        <v>379</v>
      </c>
      <c r="D86" s="204" t="s">
        <v>385</v>
      </c>
    </row>
    <row r="87" spans="1:4" ht="25.5">
      <c r="A87" s="200" t="s">
        <v>424</v>
      </c>
      <c r="B87" s="200" t="s">
        <v>293</v>
      </c>
      <c r="C87" s="201" t="s">
        <v>379</v>
      </c>
      <c r="D87" s="204" t="s">
        <v>385</v>
      </c>
    </row>
    <row r="88" spans="1:4">
      <c r="A88" s="223" t="s">
        <v>38</v>
      </c>
      <c r="B88" s="223"/>
      <c r="C88" s="223"/>
      <c r="D88" s="223"/>
    </row>
    <row r="89" spans="1:4" ht="25.5">
      <c r="A89" s="200" t="s">
        <v>378</v>
      </c>
      <c r="B89" s="200" t="s">
        <v>293</v>
      </c>
      <c r="C89" s="201" t="s">
        <v>386</v>
      </c>
      <c r="D89" s="204" t="s">
        <v>380</v>
      </c>
    </row>
    <row r="90" spans="1:4" ht="25.5">
      <c r="A90" s="200" t="s">
        <v>381</v>
      </c>
      <c r="B90" s="200" t="s">
        <v>293</v>
      </c>
      <c r="C90" s="201" t="s">
        <v>386</v>
      </c>
      <c r="D90" s="204" t="s">
        <v>380</v>
      </c>
    </row>
    <row r="91" spans="1:4" ht="25.5">
      <c r="A91" s="200" t="s">
        <v>382</v>
      </c>
      <c r="B91" s="200" t="s">
        <v>293</v>
      </c>
      <c r="C91" s="201" t="s">
        <v>386</v>
      </c>
      <c r="D91" s="204" t="s">
        <v>383</v>
      </c>
    </row>
  </sheetData>
  <mergeCells count="1">
    <mergeCell ref="A1:D1"/>
  </mergeCells>
  <pageMargins left="0.7" right="0.7" top="0.75" bottom="0.75" header="0.3" footer="0.3"/>
  <pageSetup paperSize="9" scale="55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A5A14-0FAA-4265-9ED6-C97F3E9736F4}">
  <sheetPr>
    <tabColor theme="0" tint="-0.14999847407452621"/>
    <pageSetUpPr fitToPage="1"/>
  </sheetPr>
  <dimension ref="A1:I56"/>
  <sheetViews>
    <sheetView view="pageBreakPreview" zoomScaleNormal="100" zoomScaleSheetLayoutView="100" workbookViewId="0">
      <selection activeCell="C12" sqref="C12"/>
    </sheetView>
  </sheetViews>
  <sheetFormatPr defaultColWidth="9.140625" defaultRowHeight="11.25"/>
  <cols>
    <col min="1" max="1" width="9.7109375" style="4" customWidth="1"/>
    <col min="2" max="2" width="42.42578125" style="4" customWidth="1"/>
    <col min="3" max="3" width="14.85546875" style="21" customWidth="1"/>
    <col min="4" max="4" width="41.5703125" style="4" bestFit="1" customWidth="1"/>
    <col min="5" max="5" width="18.140625" style="4" bestFit="1" customWidth="1"/>
    <col min="6" max="6" width="17.7109375" style="156" bestFit="1" customWidth="1"/>
    <col min="7" max="7" width="17.7109375" style="4" bestFit="1" customWidth="1"/>
    <col min="8" max="8" width="19.85546875" style="4" customWidth="1"/>
    <col min="9" max="9" width="19.7109375" style="4" customWidth="1"/>
    <col min="10" max="10" width="13.85546875" style="4" customWidth="1"/>
    <col min="11" max="16384" width="9.140625" style="4"/>
  </cols>
  <sheetData>
    <row r="1" spans="1:9" s="9" customFormat="1" ht="26.25" customHeight="1">
      <c r="A1" s="330" t="s">
        <v>791</v>
      </c>
      <c r="B1" s="330"/>
      <c r="C1" s="330"/>
      <c r="D1" s="330"/>
      <c r="E1" s="330"/>
      <c r="F1" s="330"/>
      <c r="G1" s="330"/>
      <c r="H1" s="330"/>
    </row>
    <row r="2" spans="1:9" s="9" customFormat="1" ht="15" customHeight="1">
      <c r="A2" s="348" t="s">
        <v>431</v>
      </c>
      <c r="B2" s="331"/>
      <c r="C2" s="331"/>
      <c r="D2" s="331"/>
      <c r="E2" s="331"/>
      <c r="F2" s="331"/>
      <c r="G2" s="331"/>
      <c r="H2" s="331"/>
    </row>
    <row r="3" spans="1:9" ht="15" customHeight="1">
      <c r="B3" s="21"/>
      <c r="C3" s="4"/>
    </row>
    <row r="4" spans="1:9" ht="15" customHeight="1">
      <c r="A4" s="4" t="s">
        <v>182</v>
      </c>
      <c r="B4" s="35"/>
      <c r="C4" s="35"/>
      <c r="D4" s="35"/>
      <c r="E4" s="35"/>
      <c r="F4" s="288"/>
      <c r="G4" s="289"/>
    </row>
    <row r="5" spans="1:9" ht="15" customHeight="1">
      <c r="A5" s="4" t="s">
        <v>248</v>
      </c>
      <c r="B5" s="35"/>
      <c r="C5" s="35"/>
      <c r="D5" s="35"/>
      <c r="E5" s="35"/>
      <c r="F5" s="288"/>
      <c r="G5" s="289"/>
    </row>
    <row r="6" spans="1:9" ht="15" customHeight="1">
      <c r="A6" s="4" t="s">
        <v>241</v>
      </c>
      <c r="B6" s="38"/>
      <c r="C6" s="39"/>
      <c r="D6" s="39"/>
      <c r="E6" s="39"/>
      <c r="F6" s="158"/>
    </row>
    <row r="7" spans="1:9" ht="15" customHeight="1">
      <c r="B7" s="38"/>
      <c r="C7" s="38"/>
      <c r="D7" s="34"/>
      <c r="E7" s="349" t="s">
        <v>403</v>
      </c>
      <c r="F7" s="349"/>
      <c r="G7" s="349"/>
      <c r="H7" s="349"/>
      <c r="I7" s="349"/>
    </row>
    <row r="8" spans="1:9" s="8" customFormat="1" ht="26.25" customHeight="1">
      <c r="A8" s="51" t="s">
        <v>213</v>
      </c>
      <c r="B8" s="52" t="s">
        <v>161</v>
      </c>
      <c r="C8" s="53" t="s">
        <v>153</v>
      </c>
      <c r="D8" s="51" t="s">
        <v>799</v>
      </c>
      <c r="E8" s="51" t="s">
        <v>432</v>
      </c>
      <c r="F8" s="51" t="s">
        <v>433</v>
      </c>
      <c r="G8" s="51" t="s">
        <v>434</v>
      </c>
      <c r="H8" s="51" t="s">
        <v>435</v>
      </c>
      <c r="I8" s="51" t="s">
        <v>786</v>
      </c>
    </row>
    <row r="9" spans="1:9" ht="15" customHeight="1">
      <c r="A9" s="283">
        <v>1</v>
      </c>
      <c r="B9" s="294" t="s">
        <v>796</v>
      </c>
      <c r="C9" s="56">
        <v>0</v>
      </c>
      <c r="D9" s="284" t="s">
        <v>186</v>
      </c>
      <c r="E9" s="292">
        <f>(InvulExtraW[[#This Row],[Prijs]]*Tariefsopbouw!$I$37)+InvulExtraW[[#This Row],[Prijs]]</f>
        <v>0</v>
      </c>
      <c r="F9" s="293">
        <f>E9*Tariefsopbouw!$K$37+E9</f>
        <v>0</v>
      </c>
      <c r="G9" s="293">
        <f>F9*Tariefsopbouw!$M$37+F9</f>
        <v>0</v>
      </c>
      <c r="H9" s="293">
        <f>G9*Tariefsopbouw!$O$37+InvulExtraW[[#This Row],[2025]]</f>
        <v>0</v>
      </c>
      <c r="I9" s="293">
        <f>H9*Tariefsopbouw!$Q$37+InvulExtraW[[#This Row],[2026]]</f>
        <v>0</v>
      </c>
    </row>
    <row r="10" spans="1:9" ht="15" customHeight="1">
      <c r="A10" s="283">
        <v>2</v>
      </c>
      <c r="B10" s="294" t="s">
        <v>797</v>
      </c>
      <c r="C10" s="56">
        <v>0</v>
      </c>
      <c r="D10" s="284" t="s">
        <v>186</v>
      </c>
      <c r="E10" s="292">
        <f>(InvulExtraW[[#This Row],[Prijs]]*Tariefsopbouw!$I$37)+InvulExtraW[[#This Row],[Prijs]]</f>
        <v>0</v>
      </c>
      <c r="F10" s="293">
        <f>E10*Tariefsopbouw!$K$37+E10</f>
        <v>0</v>
      </c>
      <c r="G10" s="293">
        <f>F10*Tariefsopbouw!$M$37+F10</f>
        <v>0</v>
      </c>
      <c r="H10" s="293">
        <f>G10*Tariefsopbouw!$O$37+InvulExtraW[[#This Row],[2025]]</f>
        <v>0</v>
      </c>
      <c r="I10" s="293">
        <f>H10*Tariefsopbouw!$Q$37+InvulExtraW[[#This Row],[2026]]</f>
        <v>0</v>
      </c>
    </row>
    <row r="11" spans="1:9" ht="15" customHeight="1">
      <c r="A11" s="283">
        <v>3</v>
      </c>
      <c r="B11" s="294" t="s">
        <v>793</v>
      </c>
      <c r="C11" s="56">
        <v>0</v>
      </c>
      <c r="D11" s="284" t="s">
        <v>798</v>
      </c>
      <c r="E11" s="292">
        <f>(InvulExtraW[[#This Row],[Prijs]]*Tariefsopbouw!$I$37)+InvulExtraW[[#This Row],[Prijs]]</f>
        <v>0</v>
      </c>
      <c r="F11" s="292">
        <f>E11*Tariefsopbouw!$K$37+E11</f>
        <v>0</v>
      </c>
      <c r="G11" s="292">
        <f>F11*Tariefsopbouw!$M$37+F11</f>
        <v>0</v>
      </c>
      <c r="H11" s="292">
        <f>G11*Tariefsopbouw!$O$37+InvulExtraW[[#This Row],[2025]]</f>
        <v>0</v>
      </c>
      <c r="I11" s="292">
        <f>H11*Tariefsopbouw!$Q$37+InvulExtraW[[#This Row],[2026]]</f>
        <v>0</v>
      </c>
    </row>
    <row r="12" spans="1:9" ht="15" customHeight="1">
      <c r="A12" s="283">
        <v>4</v>
      </c>
      <c r="B12" s="294" t="s">
        <v>795</v>
      </c>
      <c r="C12" s="56">
        <v>0</v>
      </c>
      <c r="D12" s="284" t="s">
        <v>798</v>
      </c>
      <c r="E12" s="292">
        <f>(InvulExtraW[[#This Row],[Prijs]]*Tariefsopbouw!$I$37)+InvulExtraW[[#This Row],[Prijs]]</f>
        <v>0</v>
      </c>
      <c r="F12" s="292">
        <f>E12*Tariefsopbouw!$K$37+E12</f>
        <v>0</v>
      </c>
      <c r="G12" s="292">
        <f>F12*Tariefsopbouw!$M$37+F12</f>
        <v>0</v>
      </c>
      <c r="H12" s="292">
        <f>G12*Tariefsopbouw!$O$37+InvulExtraW[[#This Row],[2025]]</f>
        <v>0</v>
      </c>
      <c r="I12" s="292">
        <f>H12*Tariefsopbouw!$Q$37+InvulExtraW[[#This Row],[2026]]</f>
        <v>0</v>
      </c>
    </row>
    <row r="13" spans="1:9" ht="15" customHeight="1">
      <c r="B13" s="21"/>
      <c r="E13" s="40"/>
      <c r="F13" s="159"/>
      <c r="G13" s="40"/>
      <c r="H13" s="40"/>
    </row>
    <row r="14" spans="1:9" s="33" customFormat="1" ht="26.25" customHeight="1">
      <c r="A14" s="51" t="s">
        <v>212</v>
      </c>
      <c r="B14" s="52" t="s">
        <v>146</v>
      </c>
      <c r="C14" s="51" t="s">
        <v>213</v>
      </c>
      <c r="D14" s="62" t="s">
        <v>800</v>
      </c>
      <c r="E14" s="62" t="s">
        <v>802</v>
      </c>
      <c r="F14" s="62" t="s">
        <v>168</v>
      </c>
      <c r="G14" s="290" t="s">
        <v>148</v>
      </c>
      <c r="H14" s="62" t="s">
        <v>425</v>
      </c>
    </row>
    <row r="15" spans="1:9" ht="15" customHeight="1">
      <c r="A15" s="283">
        <v>1</v>
      </c>
      <c r="B15" s="284" t="str">
        <f>VLOOKUP(OverzichtExtraW[[#This Row],[Code Locatie]],Locaties[[Code]:[Locatie]],2,0)</f>
        <v>Groenlo</v>
      </c>
      <c r="C15" s="283">
        <v>1</v>
      </c>
      <c r="D15" s="295" t="str">
        <f>IF(OverzichtExtraW[[#This Row],[Code Taak]],VLOOKUP(OverzichtExtraW[[#This Row],[Code Taak]],InvulExtraW[[#All],[Code Taak]:[Werkzaamheden]],2,FALSE),"")</f>
        <v>Conciërge taken (tussen 6.00 en 21.30 uur)</v>
      </c>
      <c r="E15" s="283">
        <v>4</v>
      </c>
      <c r="F15" s="296">
        <v>10</v>
      </c>
      <c r="G15" s="287">
        <f>$C$9*OverzichtExtraW[[#This Row],[aantal uur per keer/meter]]*OverzichtExtraW[[#This Row],[Frequentie (uitv./jaar)]]</f>
        <v>0</v>
      </c>
      <c r="H15" s="283"/>
    </row>
    <row r="16" spans="1:9" ht="15" customHeight="1">
      <c r="A16" s="283">
        <v>1</v>
      </c>
      <c r="B16" s="284" t="str">
        <f>VLOOKUP(OverzichtExtraW[[#This Row],[Code Locatie]],Locaties[[Code]:[Locatie]],2,0)</f>
        <v>Groenlo</v>
      </c>
      <c r="C16" s="283">
        <v>2</v>
      </c>
      <c r="D16" s="295" t="str">
        <f>IF(OverzichtExtraW[[#This Row],[Code Taak]],VLOOKUP(OverzichtExtraW[[#This Row],[Code Taak]],InvulExtraW[[#All],[Code Taak]:[Werkzaamheden]],2,FALSE),"")</f>
        <v>Conciërge taken (avond, na 21.30 uur)</v>
      </c>
      <c r="E16" s="283">
        <v>2</v>
      </c>
      <c r="F16" s="296">
        <v>10</v>
      </c>
      <c r="G16" s="287">
        <f>$C$10*OverzichtExtraW[[#This Row],[aantal uur per keer/meter]]*OverzichtExtraW[[#This Row],[Frequentie (uitv./jaar)]]</f>
        <v>0</v>
      </c>
      <c r="H16" s="283"/>
    </row>
    <row r="17" spans="1:8" ht="15" customHeight="1">
      <c r="A17" s="283">
        <v>1</v>
      </c>
      <c r="B17" s="284" t="str">
        <f>VLOOKUP(OverzichtExtraW[[#This Row],[Code Locatie]],Locaties[[Code]:[Locatie]],2,0)</f>
        <v>Groenlo</v>
      </c>
      <c r="C17" s="283">
        <v>3</v>
      </c>
      <c r="D17" s="295" t="str">
        <f>IF(OverzichtExtraW[[#This Row],[Code Taak]],VLOOKUP(OverzichtExtraW[[#This Row],[Code Taak]],InvulExtraW[[#All],[Code Taak]:[Werkzaamheden]],2,FALSE),"")</f>
        <v>Gladheidbestrijding</v>
      </c>
      <c r="E17" s="282">
        <v>100</v>
      </c>
      <c r="F17" s="296">
        <v>1</v>
      </c>
      <c r="G17" s="297">
        <f>$C$11*OverzichtExtraW[[#This Row],[aantal uur per keer/meter]]*OverzichtExtraW[[#This Row],[Frequentie (uitv./jaar)]]</f>
        <v>0</v>
      </c>
      <c r="H17" s="285"/>
    </row>
    <row r="18" spans="1:8" ht="15" customHeight="1">
      <c r="A18" s="283">
        <v>1</v>
      </c>
      <c r="B18" s="284" t="str">
        <f>VLOOKUP(OverzichtExtraW[[#This Row],[Code Locatie]],Locaties[[Code]:[Locatie]],2,0)</f>
        <v>Groenlo</v>
      </c>
      <c r="C18" s="283">
        <v>4</v>
      </c>
      <c r="D18" s="295" t="str">
        <f>IF(OverzichtExtraW[[#This Row],[Code Taak]],VLOOKUP(OverzichtExtraW[[#This Row],[Code Taak]],InvulExtraW[[#All],[Code Taak]:[Werkzaamheden]],2,FALSE),"")</f>
        <v>Sneeuwruimen</v>
      </c>
      <c r="E18" s="282">
        <v>100</v>
      </c>
      <c r="F18" s="296">
        <v>1</v>
      </c>
      <c r="G18" s="297">
        <f>$C$12*OverzichtExtraW[[#This Row],[aantal uur per keer/meter]]*OverzichtExtraW[[#This Row],[Frequentie (uitv./jaar)]]</f>
        <v>0</v>
      </c>
      <c r="H18" s="285"/>
    </row>
    <row r="19" spans="1:8" ht="15" customHeight="1">
      <c r="A19" s="283">
        <v>3</v>
      </c>
      <c r="B19" s="284" t="str">
        <f>VLOOKUP(OverzichtExtraW[[#This Row],[Code Locatie]],Locaties[[Code]:[Locatie]],2,0)</f>
        <v>Lichtenvoorde gebouw 1</v>
      </c>
      <c r="C19" s="283">
        <v>1</v>
      </c>
      <c r="D19" s="295" t="str">
        <f>IF(OverzichtExtraW[[#This Row],[Code Taak]],VLOOKUP(OverzichtExtraW[[#This Row],[Code Taak]],InvulExtraW[[#All],[Code Taak]:[Werkzaamheden]],2,FALSE),"")</f>
        <v>Conciërge taken (tussen 6.00 en 21.30 uur)</v>
      </c>
      <c r="E19" s="283">
        <v>4</v>
      </c>
      <c r="F19" s="296">
        <v>10</v>
      </c>
      <c r="G19" s="287">
        <f>$C$9*OverzichtExtraW[[#This Row],[aantal uur per keer/meter]]*OverzichtExtraW[[#This Row],[Frequentie (uitv./jaar)]]</f>
        <v>0</v>
      </c>
      <c r="H19" s="283"/>
    </row>
    <row r="20" spans="1:8" ht="15" customHeight="1">
      <c r="A20" s="283">
        <v>3</v>
      </c>
      <c r="B20" s="284" t="str">
        <f>VLOOKUP(OverzichtExtraW[[#This Row],[Code Locatie]],Locaties[[Code]:[Locatie]],2,0)</f>
        <v>Lichtenvoorde gebouw 1</v>
      </c>
      <c r="C20" s="283">
        <v>2</v>
      </c>
      <c r="D20" s="295" t="str">
        <f>IF(OverzichtExtraW[[#This Row],[Code Taak]],VLOOKUP(OverzichtExtraW[[#This Row],[Code Taak]],InvulExtraW[[#All],[Code Taak]:[Werkzaamheden]],2,FALSE),"")</f>
        <v>Conciërge taken (avond, na 21.30 uur)</v>
      </c>
      <c r="E20" s="283">
        <v>2</v>
      </c>
      <c r="F20" s="296">
        <v>10</v>
      </c>
      <c r="G20" s="287">
        <f>$C$10*OverzichtExtraW[[#This Row],[aantal uur per keer/meter]]*OverzichtExtraW[[#This Row],[Frequentie (uitv./jaar)]]</f>
        <v>0</v>
      </c>
      <c r="H20" s="283"/>
    </row>
    <row r="21" spans="1:8" ht="15" customHeight="1">
      <c r="A21" s="283">
        <v>3</v>
      </c>
      <c r="B21" s="284" t="str">
        <f>VLOOKUP(OverzichtExtraW[[#This Row],[Code Locatie]],Locaties[[Code]:[Locatie]],2,0)</f>
        <v>Lichtenvoorde gebouw 1</v>
      </c>
      <c r="C21" s="283">
        <v>3</v>
      </c>
      <c r="D21" s="295" t="str">
        <f>IF(OverzichtExtraW[[#This Row],[Code Taak]],VLOOKUP(OverzichtExtraW[[#This Row],[Code Taak]],InvulExtraW[[#All],[Code Taak]:[Werkzaamheden]],2,FALSE),"")</f>
        <v>Gladheidbestrijding</v>
      </c>
      <c r="E21" s="282">
        <v>100</v>
      </c>
      <c r="F21" s="296">
        <v>1</v>
      </c>
      <c r="G21" s="297">
        <f>$C$11*OverzichtExtraW[[#This Row],[aantal uur per keer/meter]]*OverzichtExtraW[[#This Row],[Frequentie (uitv./jaar)]]</f>
        <v>0</v>
      </c>
      <c r="H21" s="285"/>
    </row>
    <row r="22" spans="1:8" ht="15" customHeight="1">
      <c r="A22" s="283">
        <v>4</v>
      </c>
      <c r="B22" s="284" t="str">
        <f>VLOOKUP(OverzichtExtraW[[#This Row],[Code Locatie]],Locaties[[Code]:[Locatie]],2,0)</f>
        <v>Lichtenvoorde gebouw 3</v>
      </c>
      <c r="C22" s="283">
        <v>4</v>
      </c>
      <c r="D22" s="295" t="str">
        <f>IF(OverzichtExtraW[[#This Row],[Code Taak]],VLOOKUP(OverzichtExtraW[[#This Row],[Code Taak]],InvulExtraW[[#All],[Code Taak]:[Werkzaamheden]],2,FALSE),"")</f>
        <v>Sneeuwruimen</v>
      </c>
      <c r="E22" s="282">
        <v>100</v>
      </c>
      <c r="F22" s="296">
        <v>1</v>
      </c>
      <c r="G22" s="297">
        <f>$C$12*OverzichtExtraW[[#This Row],[aantal uur per keer/meter]]*OverzichtExtraW[[#This Row],[Frequentie (uitv./jaar)]]</f>
        <v>0</v>
      </c>
      <c r="H22" s="285"/>
    </row>
    <row r="23" spans="1:8" ht="15" customHeight="1">
      <c r="A23" s="283">
        <v>4</v>
      </c>
      <c r="B23" s="284" t="str">
        <f>VLOOKUP(OverzichtExtraW[[#This Row],[Code Locatie]],Locaties[[Code]:[Locatie]],2,0)</f>
        <v>Lichtenvoorde gebouw 3</v>
      </c>
      <c r="C23" s="283">
        <v>1</v>
      </c>
      <c r="D23" s="295" t="str">
        <f>IF(OverzichtExtraW[[#This Row],[Code Taak]],VLOOKUP(OverzichtExtraW[[#This Row],[Code Taak]],InvulExtraW[[#All],[Code Taak]:[Werkzaamheden]],2,FALSE),"")</f>
        <v>Conciërge taken (tussen 6.00 en 21.30 uur)</v>
      </c>
      <c r="E23" s="283">
        <v>4</v>
      </c>
      <c r="F23" s="296">
        <v>10</v>
      </c>
      <c r="G23" s="287">
        <f>$C$9*OverzichtExtraW[[#This Row],[aantal uur per keer/meter]]*OverzichtExtraW[[#This Row],[Frequentie (uitv./jaar)]]</f>
        <v>0</v>
      </c>
      <c r="H23" s="283"/>
    </row>
    <row r="24" spans="1:8" ht="15" customHeight="1">
      <c r="A24" s="283">
        <v>4</v>
      </c>
      <c r="B24" s="284" t="str">
        <f>VLOOKUP(OverzichtExtraW[[#This Row],[Code Locatie]],Locaties[[Code]:[Locatie]],2,0)</f>
        <v>Lichtenvoorde gebouw 3</v>
      </c>
      <c r="C24" s="283">
        <v>2</v>
      </c>
      <c r="D24" s="295" t="str">
        <f>IF(OverzichtExtraW[[#This Row],[Code Taak]],VLOOKUP(OverzichtExtraW[[#This Row],[Code Taak]],InvulExtraW[[#All],[Code Taak]:[Werkzaamheden]],2,FALSE),"")</f>
        <v>Conciërge taken (avond, na 21.30 uur)</v>
      </c>
      <c r="E24" s="283">
        <v>2</v>
      </c>
      <c r="F24" s="296">
        <v>10</v>
      </c>
      <c r="G24" s="287">
        <f>$C$10*OverzichtExtraW[[#This Row],[aantal uur per keer/meter]]*OverzichtExtraW[[#This Row],[Frequentie (uitv./jaar)]]</f>
        <v>0</v>
      </c>
      <c r="H24" s="283"/>
    </row>
    <row r="25" spans="1:8" ht="15" customHeight="1">
      <c r="A25" s="283">
        <v>4</v>
      </c>
      <c r="B25" s="284" t="str">
        <f>VLOOKUP(OverzichtExtraW[[#This Row],[Code Locatie]],Locaties[[Code]:[Locatie]],2,0)</f>
        <v>Lichtenvoorde gebouw 3</v>
      </c>
      <c r="C25" s="283">
        <v>3</v>
      </c>
      <c r="D25" s="295" t="str">
        <f>IF(OverzichtExtraW[[#This Row],[Code Taak]],VLOOKUP(OverzichtExtraW[[#This Row],[Code Taak]],InvulExtraW[[#All],[Code Taak]:[Werkzaamheden]],2,FALSE),"")</f>
        <v>Gladheidbestrijding</v>
      </c>
      <c r="E25" s="282">
        <v>100</v>
      </c>
      <c r="F25" s="296">
        <v>1</v>
      </c>
      <c r="G25" s="297">
        <f>$C$11*OverzichtExtraW[[#This Row],[aantal uur per keer/meter]]*OverzichtExtraW[[#This Row],[Frequentie (uitv./jaar)]]</f>
        <v>0</v>
      </c>
      <c r="H25" s="285"/>
    </row>
    <row r="26" spans="1:8" ht="15" customHeight="1">
      <c r="A26" s="283">
        <v>4</v>
      </c>
      <c r="B26" s="284" t="str">
        <f>VLOOKUP(OverzichtExtraW[[#This Row],[Code Locatie]],Locaties[[Code]:[Locatie]],2,0)</f>
        <v>Lichtenvoorde gebouw 3</v>
      </c>
      <c r="C26" s="283">
        <v>4</v>
      </c>
      <c r="D26" s="295" t="str">
        <f>IF(OverzichtExtraW[[#This Row],[Code Taak]],VLOOKUP(OverzichtExtraW[[#This Row],[Code Taak]],InvulExtraW[[#All],[Code Taak]:[Werkzaamheden]],2,FALSE),"")</f>
        <v>Sneeuwruimen</v>
      </c>
      <c r="E26" s="282">
        <v>100</v>
      </c>
      <c r="F26" s="296">
        <v>1</v>
      </c>
      <c r="G26" s="297">
        <f>$C$12*OverzichtExtraW[[#This Row],[aantal uur per keer/meter]]*OverzichtExtraW[[#This Row],[Frequentie (uitv./jaar)]]</f>
        <v>0</v>
      </c>
      <c r="H26" s="285"/>
    </row>
    <row r="27" spans="1:8" ht="15" customHeight="1">
      <c r="A27" s="170"/>
      <c r="B27" s="171" t="s">
        <v>33</v>
      </c>
      <c r="C27" s="170"/>
      <c r="D27" s="172"/>
      <c r="E27" s="170"/>
      <c r="F27" s="170"/>
      <c r="G27" s="174">
        <f>SUBTOTAL(109,OverzichtExtraW[Kosten/jaar excl. BTW])</f>
        <v>0</v>
      </c>
      <c r="H27" s="244"/>
    </row>
    <row r="28" spans="1:8" ht="15" customHeight="1">
      <c r="A28" s="37"/>
      <c r="C28" s="35"/>
      <c r="D28" s="35"/>
      <c r="E28" s="35"/>
      <c r="F28" s="159"/>
      <c r="G28" s="291"/>
      <c r="H28" s="289"/>
    </row>
    <row r="29" spans="1:8" ht="15" customHeight="1"/>
    <row r="30" spans="1:8" ht="15" customHeight="1"/>
    <row r="31" spans="1:8" ht="15" customHeight="1"/>
    <row r="32" spans="1:8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3.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</sheetData>
  <mergeCells count="3">
    <mergeCell ref="A1:H1"/>
    <mergeCell ref="A2:H2"/>
    <mergeCell ref="E7:I7"/>
  </mergeCells>
  <pageMargins left="0.7" right="0.7" top="0.75" bottom="0.75" header="0.3" footer="0.3"/>
  <pageSetup paperSize="9" scale="66" orientation="landscape" r:id="rId1"/>
  <tableParts count="2">
    <tablePart r:id="rId2"/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 tint="-0.14999847407452621"/>
    <pageSetUpPr fitToPage="1"/>
  </sheetPr>
  <dimension ref="A1:I84"/>
  <sheetViews>
    <sheetView view="pageBreakPreview" zoomScaleNormal="100" zoomScaleSheetLayoutView="100" workbookViewId="0">
      <selection sqref="A1:I1"/>
    </sheetView>
  </sheetViews>
  <sheetFormatPr defaultColWidth="9.140625" defaultRowHeight="18.75" customHeight="1"/>
  <cols>
    <col min="1" max="1" width="9.140625" style="79"/>
    <col min="2" max="2" width="80.42578125" style="2" customWidth="1"/>
    <col min="3" max="3" width="23.42578125" style="2" customWidth="1"/>
    <col min="4" max="4" width="15.140625" style="2" customWidth="1"/>
    <col min="5" max="9" width="17.7109375" style="2" bestFit="1" customWidth="1"/>
    <col min="10" max="16384" width="9.140625" style="2"/>
  </cols>
  <sheetData>
    <row r="1" spans="1:9" s="9" customFormat="1" ht="18.75" customHeight="1">
      <c r="A1" s="350" t="s">
        <v>183</v>
      </c>
      <c r="B1" s="350"/>
      <c r="C1" s="350"/>
      <c r="D1" s="350"/>
      <c r="E1" s="350"/>
      <c r="F1" s="350"/>
      <c r="G1" s="350"/>
      <c r="H1" s="350"/>
      <c r="I1" s="350"/>
    </row>
    <row r="2" spans="1:9" s="9" customFormat="1" ht="13.5" customHeight="1">
      <c r="A2" s="351" t="s">
        <v>217</v>
      </c>
      <c r="B2" s="336"/>
      <c r="C2" s="336"/>
      <c r="D2" s="336"/>
      <c r="E2" s="336"/>
      <c r="F2" s="336"/>
      <c r="G2" s="336"/>
      <c r="H2" s="336"/>
      <c r="I2" s="352"/>
    </row>
    <row r="3" spans="1:9" s="87" customFormat="1" ht="8.25" customHeight="1">
      <c r="A3" s="86"/>
    </row>
    <row r="4" spans="1:9" s="87" customFormat="1" ht="15" customHeight="1">
      <c r="A4" s="87" t="s">
        <v>182</v>
      </c>
    </row>
    <row r="5" spans="1:9" s="87" customFormat="1" ht="15" customHeight="1">
      <c r="A5" s="87" t="s">
        <v>184</v>
      </c>
    </row>
    <row r="6" spans="1:9" s="87" customFormat="1" ht="15" customHeight="1">
      <c r="A6" s="87" t="s">
        <v>230</v>
      </c>
    </row>
    <row r="7" spans="1:9" s="87" customFormat="1" ht="18.75" customHeight="1">
      <c r="A7" s="86"/>
      <c r="E7" s="349" t="s">
        <v>403</v>
      </c>
      <c r="F7" s="349"/>
      <c r="G7" s="349"/>
      <c r="H7" s="349"/>
      <c r="I7" s="349"/>
    </row>
    <row r="8" spans="1:9" s="31" customFormat="1" ht="26.25" customHeight="1">
      <c r="A8" s="84"/>
      <c r="B8" s="83" t="s">
        <v>185</v>
      </c>
      <c r="C8" s="83" t="s">
        <v>152</v>
      </c>
      <c r="D8" s="33" t="s">
        <v>181</v>
      </c>
      <c r="E8" s="76">
        <v>2023</v>
      </c>
      <c r="F8" s="76">
        <v>2024</v>
      </c>
      <c r="G8" s="76">
        <v>2025</v>
      </c>
      <c r="H8" s="76">
        <v>2026</v>
      </c>
      <c r="I8" s="76">
        <v>2027</v>
      </c>
    </row>
    <row r="9" spans="1:9" ht="18.75" customHeight="1">
      <c r="A9" s="353" t="s">
        <v>199</v>
      </c>
      <c r="B9" s="83" t="s">
        <v>187</v>
      </c>
      <c r="C9" s="83" t="s">
        <v>186</v>
      </c>
      <c r="D9" s="85">
        <v>0</v>
      </c>
      <c r="E9" s="229">
        <f>InvulRegie[[#This Row],[Prijs excl. BTW]]*Tariefsopbouw!$I$37+InvulRegie[[#This Row],[Prijs excl. BTW]]</f>
        <v>0</v>
      </c>
      <c r="F9" s="229">
        <f>E9*Tariefsopbouw!$K$37+'Regie en afroep'!E9</f>
        <v>0</v>
      </c>
      <c r="G9" s="229">
        <f>F9*Tariefsopbouw!$M$37+'Regie en afroep'!F9</f>
        <v>0</v>
      </c>
      <c r="H9" s="229">
        <f>G9*Tariefsopbouw!$O$37+'Regie en afroep'!G9</f>
        <v>0</v>
      </c>
      <c r="I9" s="229">
        <f>H9*Tariefsopbouw!$Q$37+H9</f>
        <v>0</v>
      </c>
    </row>
    <row r="10" spans="1:9" ht="18.75" customHeight="1">
      <c r="A10" s="354"/>
      <c r="B10" s="83" t="s">
        <v>188</v>
      </c>
      <c r="C10" s="83" t="s">
        <v>186</v>
      </c>
      <c r="D10" s="85">
        <v>0</v>
      </c>
      <c r="E10" s="230">
        <f>InvulRegie[[#This Row],[Prijs excl. BTW]]*Tariefsopbouw!$I$37+InvulRegie[[#This Row],[Prijs excl. BTW]]</f>
        <v>0</v>
      </c>
      <c r="F10" s="230">
        <f>E10*Tariefsopbouw!$K$37+'Regie en afroep'!E10</f>
        <v>0</v>
      </c>
      <c r="G10" s="230">
        <f>F10*Tariefsopbouw!$M$37+'Regie en afroep'!F10</f>
        <v>0</v>
      </c>
      <c r="H10" s="230">
        <f>G10*Tariefsopbouw!$O$37+'Regie en afroep'!G10</f>
        <v>0</v>
      </c>
      <c r="I10" s="230">
        <f>H10*Tariefsopbouw!$Q$37+H10</f>
        <v>0</v>
      </c>
    </row>
    <row r="11" spans="1:9" ht="18.75" customHeight="1">
      <c r="A11" s="354"/>
      <c r="B11" s="82" t="s">
        <v>189</v>
      </c>
      <c r="C11" s="83" t="s">
        <v>186</v>
      </c>
      <c r="D11" s="85">
        <v>0</v>
      </c>
      <c r="E11" s="230">
        <f>InvulRegie[[#This Row],[Prijs excl. BTW]]*Tariefsopbouw!$I$37+InvulRegie[[#This Row],[Prijs excl. BTW]]</f>
        <v>0</v>
      </c>
      <c r="F11" s="230">
        <f>E11*Tariefsopbouw!$K$37+'Regie en afroep'!E11</f>
        <v>0</v>
      </c>
      <c r="G11" s="230">
        <f>F11*Tariefsopbouw!$M$37+'Regie en afroep'!F11</f>
        <v>0</v>
      </c>
      <c r="H11" s="230">
        <f>G11*Tariefsopbouw!$O$37+'Regie en afroep'!G11</f>
        <v>0</v>
      </c>
      <c r="I11" s="230">
        <f>H11*Tariefsopbouw!$Q$37+H11</f>
        <v>0</v>
      </c>
    </row>
    <row r="12" spans="1:9" ht="18.75" customHeight="1">
      <c r="A12" s="354"/>
      <c r="B12" s="82" t="s">
        <v>206</v>
      </c>
      <c r="C12" s="83" t="s">
        <v>186</v>
      </c>
      <c r="D12" s="85">
        <v>0</v>
      </c>
      <c r="E12" s="231">
        <f>InvulRegie[[#This Row],[Prijs excl. BTW]]*Tariefsopbouw!$I$37+InvulRegie[[#This Row],[Prijs excl. BTW]]</f>
        <v>0</v>
      </c>
      <c r="F12" s="231">
        <f>E12*Tariefsopbouw!$K$37+'Regie en afroep'!E12</f>
        <v>0</v>
      </c>
      <c r="G12" s="231">
        <f>F12*Tariefsopbouw!$M$37+'Regie en afroep'!F12</f>
        <v>0</v>
      </c>
      <c r="H12" s="231">
        <f>G12*Tariefsopbouw!$O$37+'Regie en afroep'!G12</f>
        <v>0</v>
      </c>
      <c r="I12" s="231">
        <f>H12*Tariefsopbouw!$Q$37+H12</f>
        <v>0</v>
      </c>
    </row>
    <row r="13" spans="1:9" ht="18.75" customHeight="1">
      <c r="A13" s="355"/>
      <c r="B13" s="83" t="s">
        <v>195</v>
      </c>
      <c r="C13" s="83" t="s">
        <v>186</v>
      </c>
      <c r="D13" s="85">
        <v>0</v>
      </c>
      <c r="E13" s="230">
        <f>InvulRegie[[#This Row],[Prijs excl. BTW]]*Tariefsopbouw!$I$37+InvulRegie[[#This Row],[Prijs excl. BTW]]</f>
        <v>0</v>
      </c>
      <c r="F13" s="230">
        <f>E13*Tariefsopbouw!$K$37+'Regie en afroep'!E13</f>
        <v>0</v>
      </c>
      <c r="G13" s="230">
        <f>F13*Tariefsopbouw!$M$37+'Regie en afroep'!F13</f>
        <v>0</v>
      </c>
      <c r="H13" s="230">
        <f>G13*Tariefsopbouw!$O$37+'Regie en afroep'!G13</f>
        <v>0</v>
      </c>
      <c r="I13" s="230">
        <f>H13*Tariefsopbouw!$Q$37+H13</f>
        <v>0</v>
      </c>
    </row>
    <row r="14" spans="1:9" ht="18.75" customHeight="1">
      <c r="A14" s="353" t="s">
        <v>131</v>
      </c>
      <c r="B14" s="83" t="s">
        <v>42</v>
      </c>
      <c r="C14" s="83" t="s">
        <v>43</v>
      </c>
      <c r="D14" s="85">
        <v>0</v>
      </c>
      <c r="E14" s="231">
        <f>InvulRegie[[#This Row],[Prijs excl. BTW]]*Tariefsopbouw!$I$37+InvulRegie[[#This Row],[Prijs excl. BTW]]</f>
        <v>0</v>
      </c>
      <c r="F14" s="231">
        <f>E14*Tariefsopbouw!$K$37+'Regie en afroep'!E14</f>
        <v>0</v>
      </c>
      <c r="G14" s="231">
        <f>F14*Tariefsopbouw!$M$37+'Regie en afroep'!F14</f>
        <v>0</v>
      </c>
      <c r="H14" s="231">
        <f>G14*Tariefsopbouw!$O$37+'Regie en afroep'!G14</f>
        <v>0</v>
      </c>
      <c r="I14" s="231">
        <f>H14*Tariefsopbouw!$Q$37+H14</f>
        <v>0</v>
      </c>
    </row>
    <row r="15" spans="1:9" ht="18.75" customHeight="1">
      <c r="A15" s="354"/>
      <c r="B15" s="83" t="s">
        <v>44</v>
      </c>
      <c r="C15" s="83" t="s">
        <v>190</v>
      </c>
      <c r="D15" s="85">
        <v>0</v>
      </c>
      <c r="E15" s="230">
        <f>InvulRegie[[#This Row],[Prijs excl. BTW]]*Tariefsopbouw!$I$37+InvulRegie[[#This Row],[Prijs excl. BTW]]</f>
        <v>0</v>
      </c>
      <c r="F15" s="230">
        <f>E15*Tariefsopbouw!$K$37+'Regie en afroep'!E15</f>
        <v>0</v>
      </c>
      <c r="G15" s="230">
        <f>F15*Tariefsopbouw!$M$37+'Regie en afroep'!F15</f>
        <v>0</v>
      </c>
      <c r="H15" s="230">
        <f>G15*Tariefsopbouw!$O$37+'Regie en afroep'!G15</f>
        <v>0</v>
      </c>
      <c r="I15" s="230">
        <f>H15*Tariefsopbouw!$Q$37+H15</f>
        <v>0</v>
      </c>
    </row>
    <row r="16" spans="1:9" ht="18.75" customHeight="1">
      <c r="A16" s="354"/>
      <c r="B16" s="83" t="s">
        <v>191</v>
      </c>
      <c r="C16" s="83" t="s">
        <v>190</v>
      </c>
      <c r="D16" s="85">
        <v>0</v>
      </c>
      <c r="E16" s="231">
        <f>InvulRegie[[#This Row],[Prijs excl. BTW]]*Tariefsopbouw!$I$37+InvulRegie[[#This Row],[Prijs excl. BTW]]</f>
        <v>0</v>
      </c>
      <c r="F16" s="231">
        <f>E16*Tariefsopbouw!$K$37+'Regie en afroep'!E16</f>
        <v>0</v>
      </c>
      <c r="G16" s="231">
        <f>F16*Tariefsopbouw!$M$37+'Regie en afroep'!F16</f>
        <v>0</v>
      </c>
      <c r="H16" s="231">
        <f>G16*Tariefsopbouw!$O$37+'Regie en afroep'!G16</f>
        <v>0</v>
      </c>
      <c r="I16" s="231">
        <f>H16*Tariefsopbouw!$Q$37+H16</f>
        <v>0</v>
      </c>
    </row>
    <row r="17" spans="1:9" ht="18.75" customHeight="1">
      <c r="A17" s="354"/>
      <c r="B17" s="83" t="s">
        <v>192</v>
      </c>
      <c r="C17" s="83" t="s">
        <v>45</v>
      </c>
      <c r="D17" s="85">
        <v>0</v>
      </c>
      <c r="E17" s="230">
        <f>InvulRegie[[#This Row],[Prijs excl. BTW]]*Tariefsopbouw!$I$37+InvulRegie[[#This Row],[Prijs excl. BTW]]</f>
        <v>0</v>
      </c>
      <c r="F17" s="230">
        <f>E17*Tariefsopbouw!$K$37+'Regie en afroep'!E17</f>
        <v>0</v>
      </c>
      <c r="G17" s="230">
        <f>F17*Tariefsopbouw!$M$37+'Regie en afroep'!F17</f>
        <v>0</v>
      </c>
      <c r="H17" s="230">
        <f>G17*Tariefsopbouw!$O$37+'Regie en afroep'!G17</f>
        <v>0</v>
      </c>
      <c r="I17" s="230">
        <f>H17*Tariefsopbouw!$Q$37+H17</f>
        <v>0</v>
      </c>
    </row>
    <row r="18" spans="1:9" ht="18.75" customHeight="1">
      <c r="A18" s="354"/>
      <c r="B18" s="83" t="s">
        <v>252</v>
      </c>
      <c r="C18" s="83" t="s">
        <v>45</v>
      </c>
      <c r="D18" s="85">
        <v>0</v>
      </c>
      <c r="E18" s="231">
        <f>InvulRegie[[#This Row],[Prijs excl. BTW]]*Tariefsopbouw!$I$37+InvulRegie[[#This Row],[Prijs excl. BTW]]</f>
        <v>0</v>
      </c>
      <c r="F18" s="231">
        <f>E18*Tariefsopbouw!$K$37+'Regie en afroep'!E18</f>
        <v>0</v>
      </c>
      <c r="G18" s="231">
        <f>F18*Tariefsopbouw!$M$37+'Regie en afroep'!F18</f>
        <v>0</v>
      </c>
      <c r="H18" s="231">
        <f>G18*Tariefsopbouw!$O$37+'Regie en afroep'!G18</f>
        <v>0</v>
      </c>
      <c r="I18" s="231">
        <f>H18*Tariefsopbouw!$Q$37+H18</f>
        <v>0</v>
      </c>
    </row>
    <row r="19" spans="1:9" ht="18.75" customHeight="1">
      <c r="A19" s="354"/>
      <c r="B19" s="83" t="s">
        <v>193</v>
      </c>
      <c r="C19" s="83" t="s">
        <v>45</v>
      </c>
      <c r="D19" s="85">
        <v>0</v>
      </c>
      <c r="E19" s="230">
        <f>InvulRegie[[#This Row],[Prijs excl. BTW]]*Tariefsopbouw!$I$37+InvulRegie[[#This Row],[Prijs excl. BTW]]</f>
        <v>0</v>
      </c>
      <c r="F19" s="230">
        <f>E19*Tariefsopbouw!$K$37+'Regie en afroep'!E19</f>
        <v>0</v>
      </c>
      <c r="G19" s="230">
        <f>F19*Tariefsopbouw!$M$37+'Regie en afroep'!F19</f>
        <v>0</v>
      </c>
      <c r="H19" s="230">
        <f>G19*Tariefsopbouw!$O$37+'Regie en afroep'!G19</f>
        <v>0</v>
      </c>
      <c r="I19" s="230">
        <f>H19*Tariefsopbouw!$Q$37+H19</f>
        <v>0</v>
      </c>
    </row>
    <row r="20" spans="1:9" ht="18.75" customHeight="1">
      <c r="A20" s="355"/>
      <c r="B20" s="83" t="s">
        <v>194</v>
      </c>
      <c r="C20" s="83" t="s">
        <v>45</v>
      </c>
      <c r="D20" s="85">
        <v>0</v>
      </c>
      <c r="E20" s="231">
        <f>InvulRegie[[#This Row],[Prijs excl. BTW]]*Tariefsopbouw!$I$37+InvulRegie[[#This Row],[Prijs excl. BTW]]</f>
        <v>0</v>
      </c>
      <c r="F20" s="231">
        <f>E20*Tariefsopbouw!$K$37+'Regie en afroep'!E20</f>
        <v>0</v>
      </c>
      <c r="G20" s="231">
        <f>F20*Tariefsopbouw!$M$37+'Regie en afroep'!F20</f>
        <v>0</v>
      </c>
      <c r="H20" s="231">
        <f>G20*Tariefsopbouw!$O$37+'Regie en afroep'!G20</f>
        <v>0</v>
      </c>
      <c r="I20" s="231">
        <f>H20*Tariefsopbouw!$Q$37+H20</f>
        <v>0</v>
      </c>
    </row>
    <row r="21" spans="1:9" ht="18.75" customHeight="1">
      <c r="A21" s="353" t="s">
        <v>196</v>
      </c>
      <c r="B21" s="83" t="s">
        <v>58</v>
      </c>
      <c r="C21" s="83" t="s">
        <v>50</v>
      </c>
      <c r="D21" s="85">
        <v>0</v>
      </c>
      <c r="E21" s="230">
        <f>InvulRegie[[#This Row],[Prijs excl. BTW]]*Tariefsopbouw!$I$37+InvulRegie[[#This Row],[Prijs excl. BTW]]</f>
        <v>0</v>
      </c>
      <c r="F21" s="230">
        <f>E21*Tariefsopbouw!$K$37+'Regie en afroep'!E21</f>
        <v>0</v>
      </c>
      <c r="G21" s="230">
        <f>F21*Tariefsopbouw!$M$37+'Regie en afroep'!F21</f>
        <v>0</v>
      </c>
      <c r="H21" s="230">
        <f>G21*Tariefsopbouw!$O$37+'Regie en afroep'!G21</f>
        <v>0</v>
      </c>
      <c r="I21" s="230">
        <f>H21*Tariefsopbouw!$Q$37+H21</f>
        <v>0</v>
      </c>
    </row>
    <row r="22" spans="1:9" ht="18.75" customHeight="1">
      <c r="A22" s="355"/>
      <c r="B22" s="83" t="s">
        <v>46</v>
      </c>
      <c r="C22" s="83" t="s">
        <v>74</v>
      </c>
      <c r="D22" s="85">
        <v>0</v>
      </c>
      <c r="E22" s="231">
        <f>InvulRegie[[#This Row],[Prijs excl. BTW]]*Tariefsopbouw!$I$37+InvulRegie[[#This Row],[Prijs excl. BTW]]</f>
        <v>0</v>
      </c>
      <c r="F22" s="231">
        <f>E22*Tariefsopbouw!$K$37+'Regie en afroep'!E22</f>
        <v>0</v>
      </c>
      <c r="G22" s="231">
        <f>F22*Tariefsopbouw!$M$37+'Regie en afroep'!F22</f>
        <v>0</v>
      </c>
      <c r="H22" s="231">
        <f>G22*Tariefsopbouw!$O$37+'Regie en afroep'!G22</f>
        <v>0</v>
      </c>
      <c r="I22" s="231">
        <f>H22*Tariefsopbouw!$Q$37+H22</f>
        <v>0</v>
      </c>
    </row>
    <row r="23" spans="1:9" ht="18.75" customHeight="1">
      <c r="A23" s="353" t="s">
        <v>207</v>
      </c>
      <c r="B23" s="83" t="s">
        <v>197</v>
      </c>
      <c r="C23" s="83" t="s">
        <v>198</v>
      </c>
      <c r="D23" s="85">
        <v>0</v>
      </c>
      <c r="E23" s="230">
        <f>InvulRegie[[#This Row],[Prijs excl. BTW]]*Tariefsopbouw!$I$37+InvulRegie[[#This Row],[Prijs excl. BTW]]</f>
        <v>0</v>
      </c>
      <c r="F23" s="230">
        <f>E23*Tariefsopbouw!$K$37+'Regie en afroep'!E23</f>
        <v>0</v>
      </c>
      <c r="G23" s="230">
        <f>F23*Tariefsopbouw!$M$37+'Regie en afroep'!F23</f>
        <v>0</v>
      </c>
      <c r="H23" s="230">
        <f>G23*Tariefsopbouw!$O$37+'Regie en afroep'!G23</f>
        <v>0</v>
      </c>
      <c r="I23" s="230">
        <f>H23*Tariefsopbouw!$Q$37+H23</f>
        <v>0</v>
      </c>
    </row>
    <row r="24" spans="1:9" ht="18.75" customHeight="1">
      <c r="A24" s="354"/>
      <c r="B24" s="83" t="s">
        <v>245</v>
      </c>
      <c r="C24" s="83" t="s">
        <v>198</v>
      </c>
      <c r="D24" s="85">
        <v>0</v>
      </c>
      <c r="E24" s="231">
        <f>InvulRegie[[#This Row],[Prijs excl. BTW]]*Tariefsopbouw!$I$37+InvulRegie[[#This Row],[Prijs excl. BTW]]</f>
        <v>0</v>
      </c>
      <c r="F24" s="231">
        <f>E24*Tariefsopbouw!$K$37+'Regie en afroep'!E24</f>
        <v>0</v>
      </c>
      <c r="G24" s="231">
        <f>F24*Tariefsopbouw!$M$37+'Regie en afroep'!F24</f>
        <v>0</v>
      </c>
      <c r="H24" s="231">
        <f>G24*Tariefsopbouw!$O$37+'Regie en afroep'!G24</f>
        <v>0</v>
      </c>
      <c r="I24" s="231">
        <f>H24*Tariefsopbouw!$Q$37+H24</f>
        <v>0</v>
      </c>
    </row>
    <row r="25" spans="1:9" ht="18.75" customHeight="1">
      <c r="A25" s="354"/>
      <c r="B25" s="83" t="s">
        <v>247</v>
      </c>
      <c r="C25" s="83" t="s">
        <v>198</v>
      </c>
      <c r="D25" s="85">
        <v>0</v>
      </c>
      <c r="E25" s="230">
        <f>InvulRegie[[#This Row],[Prijs excl. BTW]]*Tariefsopbouw!$I$37+InvulRegie[[#This Row],[Prijs excl. BTW]]</f>
        <v>0</v>
      </c>
      <c r="F25" s="230">
        <f>E25*Tariefsopbouw!$K$37+'Regie en afroep'!E25</f>
        <v>0</v>
      </c>
      <c r="G25" s="230">
        <f>F25*Tariefsopbouw!$M$37+'Regie en afroep'!F25</f>
        <v>0</v>
      </c>
      <c r="H25" s="230">
        <f>G25*Tariefsopbouw!$O$37+'Regie en afroep'!G25</f>
        <v>0</v>
      </c>
      <c r="I25" s="230">
        <f>H25*Tariefsopbouw!$Q$37+H25</f>
        <v>0</v>
      </c>
    </row>
    <row r="26" spans="1:9" ht="18.75" customHeight="1">
      <c r="A26" s="354"/>
      <c r="B26" s="83" t="s">
        <v>246</v>
      </c>
      <c r="C26" s="83" t="s">
        <v>198</v>
      </c>
      <c r="D26" s="85">
        <v>0</v>
      </c>
      <c r="E26" s="231">
        <f>InvulRegie[[#This Row],[Prijs excl. BTW]]*Tariefsopbouw!$I$37+InvulRegie[[#This Row],[Prijs excl. BTW]]</f>
        <v>0</v>
      </c>
      <c r="F26" s="231">
        <f>E26*Tariefsopbouw!$K$37+'Regie en afroep'!E26</f>
        <v>0</v>
      </c>
      <c r="G26" s="231">
        <f>F26*Tariefsopbouw!$M$37+'Regie en afroep'!F26</f>
        <v>0</v>
      </c>
      <c r="H26" s="231">
        <f>G26*Tariefsopbouw!$O$37+'Regie en afroep'!G26</f>
        <v>0</v>
      </c>
      <c r="I26" s="231">
        <f>H26*Tariefsopbouw!$Q$37+H26</f>
        <v>0</v>
      </c>
    </row>
    <row r="27" spans="1:9" ht="18.75" customHeight="1">
      <c r="A27" s="355"/>
      <c r="B27" s="83" t="s">
        <v>49</v>
      </c>
      <c r="C27" s="83" t="s">
        <v>198</v>
      </c>
      <c r="D27" s="85">
        <v>0</v>
      </c>
      <c r="E27" s="230">
        <f>InvulRegie[[#This Row],[Prijs excl. BTW]]*Tariefsopbouw!$I$37+InvulRegie[[#This Row],[Prijs excl. BTW]]</f>
        <v>0</v>
      </c>
      <c r="F27" s="230">
        <f>E27*Tariefsopbouw!$K$37+'Regie en afroep'!E27</f>
        <v>0</v>
      </c>
      <c r="G27" s="230">
        <f>F27*Tariefsopbouw!$M$37+'Regie en afroep'!F27</f>
        <v>0</v>
      </c>
      <c r="H27" s="230">
        <f>G27*Tariefsopbouw!$O$37+'Regie en afroep'!G27</f>
        <v>0</v>
      </c>
      <c r="I27" s="230">
        <f>H27*Tariefsopbouw!$Q$37+H27</f>
        <v>0</v>
      </c>
    </row>
    <row r="28" spans="1:9" ht="18.75" customHeight="1">
      <c r="A28" s="353" t="s">
        <v>202</v>
      </c>
      <c r="B28" s="83" t="s">
        <v>51</v>
      </c>
      <c r="C28" s="83" t="s">
        <v>50</v>
      </c>
      <c r="D28" s="85">
        <v>0</v>
      </c>
      <c r="E28" s="231">
        <f>InvulRegie[[#This Row],[Prijs excl. BTW]]*Tariefsopbouw!$I$37+InvulRegie[[#This Row],[Prijs excl. BTW]]</f>
        <v>0</v>
      </c>
      <c r="F28" s="231">
        <f>E28*Tariefsopbouw!$K$37+'Regie en afroep'!E28</f>
        <v>0</v>
      </c>
      <c r="G28" s="231">
        <f>F28*Tariefsopbouw!$M$37+'Regie en afroep'!F28</f>
        <v>0</v>
      </c>
      <c r="H28" s="231">
        <f>G28*Tariefsopbouw!$O$37+'Regie en afroep'!G28</f>
        <v>0</v>
      </c>
      <c r="I28" s="231">
        <f>H28*Tariefsopbouw!$Q$37+H28</f>
        <v>0</v>
      </c>
    </row>
    <row r="29" spans="1:9" ht="18.75" customHeight="1">
      <c r="A29" s="354"/>
      <c r="B29" s="83" t="s">
        <v>52</v>
      </c>
      <c r="C29" s="83" t="s">
        <v>50</v>
      </c>
      <c r="D29" s="85">
        <v>0</v>
      </c>
      <c r="E29" s="230">
        <f>InvulRegie[[#This Row],[Prijs excl. BTW]]*Tariefsopbouw!$I$37+InvulRegie[[#This Row],[Prijs excl. BTW]]</f>
        <v>0</v>
      </c>
      <c r="F29" s="230">
        <f>E29*Tariefsopbouw!$K$37+'Regie en afroep'!E29</f>
        <v>0</v>
      </c>
      <c r="G29" s="230">
        <f>F29*Tariefsopbouw!$M$37+'Regie en afroep'!F29</f>
        <v>0</v>
      </c>
      <c r="H29" s="230">
        <f>G29*Tariefsopbouw!$O$37+'Regie en afroep'!G29</f>
        <v>0</v>
      </c>
      <c r="I29" s="230">
        <f>H29*Tariefsopbouw!$Q$37+H29</f>
        <v>0</v>
      </c>
    </row>
    <row r="30" spans="1:9" ht="18.75" customHeight="1">
      <c r="A30" s="354"/>
      <c r="B30" s="83" t="s">
        <v>53</v>
      </c>
      <c r="C30" s="83" t="s">
        <v>50</v>
      </c>
      <c r="D30" s="85">
        <v>0</v>
      </c>
      <c r="E30" s="231">
        <f>InvulRegie[[#This Row],[Prijs excl. BTW]]*Tariefsopbouw!$I$37+InvulRegie[[#This Row],[Prijs excl. BTW]]</f>
        <v>0</v>
      </c>
      <c r="F30" s="231">
        <f>E30*Tariefsopbouw!$K$37+'Regie en afroep'!E30</f>
        <v>0</v>
      </c>
      <c r="G30" s="231">
        <f>F30*Tariefsopbouw!$M$37+'Regie en afroep'!F30</f>
        <v>0</v>
      </c>
      <c r="H30" s="231">
        <f>G30*Tariefsopbouw!$O$37+'Regie en afroep'!G30</f>
        <v>0</v>
      </c>
      <c r="I30" s="231">
        <f>H30*Tariefsopbouw!$Q$37+H30</f>
        <v>0</v>
      </c>
    </row>
    <row r="31" spans="1:9" ht="18.75" customHeight="1">
      <c r="A31" s="354"/>
      <c r="B31" s="83" t="s">
        <v>54</v>
      </c>
      <c r="C31" s="83" t="s">
        <v>50</v>
      </c>
      <c r="D31" s="85">
        <v>0</v>
      </c>
      <c r="E31" s="230">
        <f>InvulRegie[[#This Row],[Prijs excl. BTW]]*Tariefsopbouw!$I$37+InvulRegie[[#This Row],[Prijs excl. BTW]]</f>
        <v>0</v>
      </c>
      <c r="F31" s="230">
        <f>E31*Tariefsopbouw!$K$37+'Regie en afroep'!E31</f>
        <v>0</v>
      </c>
      <c r="G31" s="230">
        <f>F31*Tariefsopbouw!$M$37+'Regie en afroep'!F31</f>
        <v>0</v>
      </c>
      <c r="H31" s="230">
        <f>G31*Tariefsopbouw!$O$37+'Regie en afroep'!G31</f>
        <v>0</v>
      </c>
      <c r="I31" s="230">
        <f>H31*Tariefsopbouw!$Q$37+H31</f>
        <v>0</v>
      </c>
    </row>
    <row r="32" spans="1:9" ht="18.75" customHeight="1">
      <c r="A32" s="355"/>
      <c r="B32" s="83" t="s">
        <v>47</v>
      </c>
      <c r="C32" s="83" t="s">
        <v>48</v>
      </c>
      <c r="D32" s="85">
        <v>0</v>
      </c>
      <c r="E32" s="231">
        <f>InvulRegie[[#This Row],[Prijs excl. BTW]]*Tariefsopbouw!$I$37+InvulRegie[[#This Row],[Prijs excl. BTW]]</f>
        <v>0</v>
      </c>
      <c r="F32" s="231">
        <f>E32*Tariefsopbouw!$K$37+'Regie en afroep'!E32</f>
        <v>0</v>
      </c>
      <c r="G32" s="231">
        <f>F32*Tariefsopbouw!$M$37+'Regie en afroep'!F32</f>
        <v>0</v>
      </c>
      <c r="H32" s="231">
        <f>G32*Tariefsopbouw!$O$37+'Regie en afroep'!G32</f>
        <v>0</v>
      </c>
      <c r="I32" s="231">
        <f>H32*Tariefsopbouw!$Q$37+H32</f>
        <v>0</v>
      </c>
    </row>
    <row r="33" spans="1:9" ht="18.75" customHeight="1">
      <c r="A33" s="356" t="s">
        <v>203</v>
      </c>
      <c r="B33" s="83" t="s">
        <v>55</v>
      </c>
      <c r="C33" s="83" t="s">
        <v>229</v>
      </c>
      <c r="D33" s="85">
        <v>0</v>
      </c>
      <c r="E33" s="230">
        <f>InvulRegie[[#This Row],[Prijs excl. BTW]]*Tariefsopbouw!$I$37+InvulRegie[[#This Row],[Prijs excl. BTW]]</f>
        <v>0</v>
      </c>
      <c r="F33" s="230">
        <f>E33*Tariefsopbouw!$K$37+'Regie en afroep'!E33</f>
        <v>0</v>
      </c>
      <c r="G33" s="230">
        <f>F33*Tariefsopbouw!$M$37+'Regie en afroep'!F33</f>
        <v>0</v>
      </c>
      <c r="H33" s="230">
        <f>G33*Tariefsopbouw!$O$37+'Regie en afroep'!G33</f>
        <v>0</v>
      </c>
      <c r="I33" s="230">
        <f>H33*Tariefsopbouw!$Q$37+H33</f>
        <v>0</v>
      </c>
    </row>
    <row r="34" spans="1:9" ht="18.75" customHeight="1">
      <c r="A34" s="357"/>
      <c r="B34" s="83" t="s">
        <v>56</v>
      </c>
      <c r="C34" s="83" t="s">
        <v>57</v>
      </c>
      <c r="D34" s="85">
        <v>0</v>
      </c>
      <c r="E34" s="231">
        <f>InvulRegie[[#This Row],[Prijs excl. BTW]]*Tariefsopbouw!$I$37+InvulRegie[[#This Row],[Prijs excl. BTW]]</f>
        <v>0</v>
      </c>
      <c r="F34" s="231">
        <f>E34*Tariefsopbouw!$K$37+'Regie en afroep'!E34</f>
        <v>0</v>
      </c>
      <c r="G34" s="231">
        <f>F34*Tariefsopbouw!$M$37+'Regie en afroep'!F34</f>
        <v>0</v>
      </c>
      <c r="H34" s="231">
        <f>G34*Tariefsopbouw!$O$37+'Regie en afroep'!G34</f>
        <v>0</v>
      </c>
      <c r="I34" s="231">
        <f>H34*Tariefsopbouw!$Q$37+H34</f>
        <v>0</v>
      </c>
    </row>
    <row r="35" spans="1:9" ht="18.75" customHeight="1">
      <c r="A35" s="357"/>
      <c r="B35" s="83" t="s">
        <v>204</v>
      </c>
      <c r="C35" s="83" t="s">
        <v>57</v>
      </c>
      <c r="D35" s="85">
        <v>0</v>
      </c>
      <c r="E35" s="230">
        <f>InvulRegie[[#This Row],[Prijs excl. BTW]]*Tariefsopbouw!$I$37+InvulRegie[[#This Row],[Prijs excl. BTW]]</f>
        <v>0</v>
      </c>
      <c r="F35" s="230">
        <f>E35*Tariefsopbouw!$K$37+'Regie en afroep'!E35</f>
        <v>0</v>
      </c>
      <c r="G35" s="230">
        <f>F35*Tariefsopbouw!$M$37+'Regie en afroep'!F35</f>
        <v>0</v>
      </c>
      <c r="H35" s="230">
        <f>G35*Tariefsopbouw!$O$37+'Regie en afroep'!G35</f>
        <v>0</v>
      </c>
      <c r="I35" s="230">
        <f>H35*Tariefsopbouw!$Q$37+H35</f>
        <v>0</v>
      </c>
    </row>
    <row r="36" spans="1:9" ht="18.75" customHeight="1" thickBot="1">
      <c r="A36" s="358"/>
      <c r="B36" s="83" t="s">
        <v>205</v>
      </c>
      <c r="C36" s="83" t="s">
        <v>57</v>
      </c>
      <c r="D36" s="85">
        <v>0</v>
      </c>
      <c r="E36" s="231">
        <f>InvulRegie[[#This Row],[Prijs excl. BTW]]*Tariefsopbouw!$I$37+InvulRegie[[#This Row],[Prijs excl. BTW]]</f>
        <v>0</v>
      </c>
      <c r="F36" s="231">
        <f>E36*Tariefsopbouw!$K$37+'Regie en afroep'!E36</f>
        <v>0</v>
      </c>
      <c r="G36" s="231">
        <f>F36*Tariefsopbouw!$M$37+'Regie en afroep'!F36</f>
        <v>0</v>
      </c>
      <c r="H36" s="231">
        <f>G36*Tariefsopbouw!$O$37+'Regie en afroep'!G36</f>
        <v>0</v>
      </c>
      <c r="I36" s="231">
        <f>H36*Tariefsopbouw!$Q$37+H36</f>
        <v>0</v>
      </c>
    </row>
    <row r="37" spans="1:9" s="146" customFormat="1" ht="26.25" customHeight="1" thickTop="1">
      <c r="A37" s="144"/>
      <c r="B37" s="145" t="s">
        <v>33</v>
      </c>
      <c r="C37" s="145"/>
      <c r="D37" s="145"/>
      <c r="E37" s="228"/>
      <c r="F37" s="228"/>
      <c r="G37" s="228"/>
      <c r="H37" s="228"/>
      <c r="I37" s="228"/>
    </row>
    <row r="72" spans="1:1" ht="18.75" customHeight="1">
      <c r="A72" s="80"/>
    </row>
    <row r="73" spans="1:1" ht="18.75" customHeight="1">
      <c r="A73" s="80"/>
    </row>
    <row r="74" spans="1:1" ht="18.75" customHeight="1">
      <c r="A74" s="80"/>
    </row>
    <row r="75" spans="1:1" ht="18.75" customHeight="1">
      <c r="A75" s="80"/>
    </row>
    <row r="76" spans="1:1" ht="18.75" customHeight="1">
      <c r="A76" s="80"/>
    </row>
    <row r="77" spans="1:1" ht="18.75" customHeight="1">
      <c r="A77" s="80"/>
    </row>
    <row r="78" spans="1:1" ht="18.75" customHeight="1">
      <c r="A78" s="80"/>
    </row>
    <row r="79" spans="1:1" ht="18.75" customHeight="1">
      <c r="A79" s="80"/>
    </row>
    <row r="80" spans="1:1" ht="18.75" customHeight="1">
      <c r="A80" s="80"/>
    </row>
    <row r="81" spans="1:1" ht="18.75" customHeight="1">
      <c r="A81" s="80"/>
    </row>
    <row r="82" spans="1:1" ht="18.75" customHeight="1">
      <c r="A82" s="80"/>
    </row>
    <row r="83" spans="1:1" ht="18.75" customHeight="1">
      <c r="A83" s="80"/>
    </row>
    <row r="84" spans="1:1" ht="18.75" customHeight="1">
      <c r="A84" s="80"/>
    </row>
  </sheetData>
  <mergeCells count="9">
    <mergeCell ref="A1:I1"/>
    <mergeCell ref="A2:I2"/>
    <mergeCell ref="A28:A32"/>
    <mergeCell ref="A33:A36"/>
    <mergeCell ref="A23:A27"/>
    <mergeCell ref="A14:A20"/>
    <mergeCell ref="A21:A22"/>
    <mergeCell ref="E7:I7"/>
    <mergeCell ref="A9:A13"/>
  </mergeCells>
  <phoneticPr fontId="20" type="noConversion"/>
  <pageMargins left="0.70866141732283472" right="0.70866141732283472" top="0.74803149606299213" bottom="0.74803149606299213" header="0.31496062992125984" footer="0.31496062992125984"/>
  <pageSetup paperSize="9" scale="61" fitToHeight="0" orientation="landscape" r:id="rId1"/>
  <headerFooter alignWithMargins="0">
    <oddFooter>&amp;L&amp;F&amp;C&amp;D&amp;R&amp;A</oddFooter>
  </headerFooter>
  <rowBreaks count="1" manualBreakCount="1">
    <brk id="86" max="16383" man="1"/>
  </rowBreaks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Blad61">
    <tabColor theme="0" tint="-0.14999847407452621"/>
    <pageSetUpPr fitToPage="1"/>
  </sheetPr>
  <dimension ref="A1:H27"/>
  <sheetViews>
    <sheetView showGridLines="0" tabSelected="1" view="pageBreakPreview" zoomScaleNormal="100" zoomScaleSheetLayoutView="100" workbookViewId="0">
      <selection activeCell="F15" sqref="F15"/>
    </sheetView>
  </sheetViews>
  <sheetFormatPr defaultColWidth="9.140625" defaultRowHeight="18.75" customHeight="1"/>
  <cols>
    <col min="1" max="1" width="13.7109375" style="3" customWidth="1"/>
    <col min="2" max="2" width="32.85546875" style="141" customWidth="1"/>
    <col min="3" max="5" width="23.28515625" style="3" customWidth="1"/>
    <col min="6" max="6" width="24.7109375" style="3" customWidth="1"/>
    <col min="7" max="8" width="23.28515625" style="3" customWidth="1"/>
    <col min="9" max="11" width="15.85546875" style="3" customWidth="1"/>
    <col min="12" max="16384" width="9.140625" style="3"/>
  </cols>
  <sheetData>
    <row r="1" spans="1:8" s="9" customFormat="1" ht="17.25" customHeight="1">
      <c r="A1" s="330" t="s">
        <v>219</v>
      </c>
      <c r="B1" s="330"/>
      <c r="C1" s="330"/>
      <c r="D1" s="330"/>
      <c r="E1" s="330"/>
      <c r="F1" s="330"/>
      <c r="G1" s="330"/>
      <c r="H1" s="330"/>
    </row>
    <row r="2" spans="1:8" s="9" customFormat="1" ht="15" customHeight="1">
      <c r="A2" s="348" t="s">
        <v>231</v>
      </c>
      <c r="B2" s="331"/>
      <c r="C2" s="331"/>
      <c r="D2" s="331"/>
      <c r="E2" s="331"/>
      <c r="F2" s="331"/>
      <c r="G2" s="331"/>
      <c r="H2" s="331"/>
    </row>
    <row r="3" spans="1:8" s="4" customFormat="1" ht="11.25">
      <c r="B3" s="21"/>
    </row>
    <row r="4" spans="1:8" ht="11.25">
      <c r="A4" s="141"/>
      <c r="B4" s="3"/>
    </row>
    <row r="5" spans="1:8" ht="11.25">
      <c r="A5" s="95" t="s">
        <v>228</v>
      </c>
      <c r="B5" s="3"/>
    </row>
    <row r="6" spans="1:8" s="45" customFormat="1" ht="25.5" customHeight="1">
      <c r="A6" s="137" t="s">
        <v>212</v>
      </c>
      <c r="B6" s="138" t="s">
        <v>146</v>
      </c>
      <c r="C6" s="137" t="s">
        <v>172</v>
      </c>
      <c r="D6" s="139" t="s">
        <v>128</v>
      </c>
      <c r="E6" s="139" t="s">
        <v>173</v>
      </c>
      <c r="F6" s="137" t="s">
        <v>127</v>
      </c>
      <c r="G6" s="140" t="s">
        <v>174</v>
      </c>
      <c r="H6" s="46" t="s">
        <v>175</v>
      </c>
    </row>
    <row r="7" spans="1:8" ht="18.75" customHeight="1">
      <c r="A7" s="183">
        <v>1</v>
      </c>
      <c r="B7" s="184" t="str">
        <f>VLOOKUP(Samenvattingschoonmaak[[#This Row],[Code Locatie]],Locaties[],2,0)</f>
        <v>Groenlo</v>
      </c>
      <c r="C7" s="185">
        <f>SUMIF('Ruimtestaat'!$A:$A,Totalisatie!$A7,'Ruimtestaat'!$N:$N)</f>
        <v>8214.8500000000022</v>
      </c>
      <c r="D7" s="185">
        <f>SUMIF('Ruimtestaat'!$A:$A,Totalisatie!$A7,'Ruimtestaat'!$AE:$AE)</f>
        <v>1571506.2399999998</v>
      </c>
      <c r="E7" s="186">
        <f>SUMIF('Ruimtestaat'!$A:$A,Totalisatie!$A7,'Ruimtestaat'!$AF:$AF)</f>
        <v>15715.062400000001</v>
      </c>
      <c r="F7" s="187">
        <f>D7/E7</f>
        <v>99.999999999999986</v>
      </c>
      <c r="G7" s="188">
        <f>SUMIF('Ruimtestaat'!$A:$A,Totalisatie!$A7,'Ruimtestaat'!$AG:$AG)</f>
        <v>392876.55999999994</v>
      </c>
      <c r="H7" s="189">
        <f>G7/C7</f>
        <v>47.825165401681083</v>
      </c>
    </row>
    <row r="8" spans="1:8" ht="18.75" customHeight="1">
      <c r="A8" s="183">
        <v>2</v>
      </c>
      <c r="B8" s="184" t="str">
        <f>VLOOKUP(Samenvattingschoonmaak[[#This Row],[Code Locatie]],Locaties[],2,0)</f>
        <v>Groenlo - Gymzaal</v>
      </c>
      <c r="C8" s="185">
        <f>SUMIF('Ruimtestaat'!$A:$A,Totalisatie!$A8,'Ruimtestaat'!$N:$N)</f>
        <v>406.03999999999996</v>
      </c>
      <c r="D8" s="185">
        <f>SUMIF('Ruimtestaat'!$A:$A,Totalisatie!$A8,'Ruimtestaat'!$AE:$AE)</f>
        <v>67410.399999999994</v>
      </c>
      <c r="E8" s="186">
        <f>SUMIF('Ruimtestaat'!$A:$A,Totalisatie!$A8,'Ruimtestaat'!$AF:$AF)</f>
        <v>674.10400000000004</v>
      </c>
      <c r="F8" s="187">
        <f t="shared" ref="F8:F10" si="0">D8/E8</f>
        <v>99.999999999999986</v>
      </c>
      <c r="G8" s="188">
        <f>SUMIF('Ruimtestaat'!$A:$A,Totalisatie!$A8,'Ruimtestaat'!$AG:$AG)</f>
        <v>16852.599999999999</v>
      </c>
      <c r="H8" s="189">
        <f t="shared" ref="H8:H10" si="1">G8/C8</f>
        <v>41.504777854398583</v>
      </c>
    </row>
    <row r="9" spans="1:8" ht="18.75" customHeight="1">
      <c r="A9" s="183">
        <v>3</v>
      </c>
      <c r="B9" s="184" t="str">
        <f>VLOOKUP(Samenvattingschoonmaak[[#This Row],[Code Locatie]],Locaties[],2,0)</f>
        <v>Lichtenvoorde gebouw 1</v>
      </c>
      <c r="C9" s="185">
        <f>SUMIF('Ruimtestaat'!$A:$A,Totalisatie!$A9,'Ruimtestaat'!$N:$N)</f>
        <v>5463.5300000000016</v>
      </c>
      <c r="D9" s="185">
        <f>SUMIF('Ruimtestaat'!$A:$A,Totalisatie!$A9,'Ruimtestaat'!$AE:$AE)</f>
        <v>902235.6</v>
      </c>
      <c r="E9" s="186">
        <f>SUMIF('Ruimtestaat'!$A:$A,Totalisatie!$A9,'Ruimtestaat'!$AF:$AF)</f>
        <v>9022.3559999999979</v>
      </c>
      <c r="F9" s="187">
        <f t="shared" si="0"/>
        <v>100.00000000000001</v>
      </c>
      <c r="G9" s="188">
        <f>SUMIF('Ruimtestaat'!$A:$A,Totalisatie!$A9,'Ruimtestaat'!$AG:$AG)</f>
        <v>225558.9</v>
      </c>
      <c r="H9" s="189">
        <f t="shared" si="1"/>
        <v>41.28446260933864</v>
      </c>
    </row>
    <row r="10" spans="1:8" ht="18.75" customHeight="1">
      <c r="A10" s="183">
        <v>4</v>
      </c>
      <c r="B10" s="184" t="str">
        <f>VLOOKUP(Samenvattingschoonmaak[[#This Row],[Code Locatie]],Locaties[],2,0)</f>
        <v>Lichtenvoorde gebouw 3</v>
      </c>
      <c r="C10" s="185">
        <f>SUMIF('Ruimtestaat'!$A:$A,Totalisatie!$A10,'Ruimtestaat'!$N:$N)</f>
        <v>3654.5500000000011</v>
      </c>
      <c r="D10" s="185">
        <f>SUMIF('Ruimtestaat'!$A:$A,Totalisatie!$A10,'Ruimtestaat'!$AE:$AE)</f>
        <v>689513.23999999987</v>
      </c>
      <c r="E10" s="186">
        <f>SUMIF('Ruimtestaat'!$A:$A,Totalisatie!$A10,'Ruimtestaat'!$AF:$AF)</f>
        <v>6895.1324000000013</v>
      </c>
      <c r="F10" s="187">
        <f t="shared" si="0"/>
        <v>99.999999999999957</v>
      </c>
      <c r="G10" s="188">
        <f>SUMIF('Ruimtestaat'!$A:$A,Totalisatie!$A10,'Ruimtestaat'!$AG:$AG)</f>
        <v>172378.30999999997</v>
      </c>
      <c r="H10" s="189">
        <f t="shared" si="1"/>
        <v>47.168135611771604</v>
      </c>
    </row>
    <row r="11" spans="1:8" s="45" customFormat="1" ht="25.5" customHeight="1">
      <c r="A11" s="176"/>
      <c r="B11" s="177" t="s">
        <v>33</v>
      </c>
      <c r="C11" s="178">
        <f>SUBTOTAL(109,Samenvattingschoonmaak[Oppervlakte i/o])</f>
        <v>17738.970000000008</v>
      </c>
      <c r="D11" s="178">
        <f>SUBTOTAL(109,Samenvattingschoonmaak[Prest. (m2 /jaar)])</f>
        <v>3230665.4799999995</v>
      </c>
      <c r="E11" s="179">
        <f>SUBTOTAL(109,Samenvattingschoonmaak[Uren / jaar])</f>
        <v>32306.654800000004</v>
      </c>
      <c r="F11" s="178">
        <f>Samenvattingschoonmaak[[#Totals],[Prest. (m2 /jaar)]]/Samenvattingschoonmaak[[#Totals],[Uren / jaar]]</f>
        <v>99.999999999999972</v>
      </c>
      <c r="G11" s="180">
        <f>SUBTOTAL(109,Samenvattingschoonmaak[Kosten / jaar])</f>
        <v>807666.36999999988</v>
      </c>
      <c r="H11" s="181">
        <f>Samenvattingschoonmaak[[#Totals],[Kosten / jaar]]/Samenvattingschoonmaak[[#Totals],[Oppervlakte i/o]]</f>
        <v>45.530623818632058</v>
      </c>
    </row>
    <row r="12" spans="1:8" ht="18.75" customHeight="1">
      <c r="A12" s="141"/>
      <c r="B12" s="3"/>
    </row>
    <row r="13" spans="1:8" ht="18.75" customHeight="1">
      <c r="A13" s="95" t="s">
        <v>178</v>
      </c>
      <c r="B13" s="44"/>
      <c r="C13" s="44"/>
      <c r="D13" s="44"/>
      <c r="E13" s="44"/>
      <c r="F13" s="44"/>
      <c r="H13" s="44"/>
    </row>
    <row r="14" spans="1:8" ht="37.5" customHeight="1">
      <c r="A14" s="137" t="s">
        <v>212</v>
      </c>
      <c r="B14" s="138" t="s">
        <v>221</v>
      </c>
      <c r="C14" s="137" t="s">
        <v>180</v>
      </c>
      <c r="D14" s="140" t="s">
        <v>176</v>
      </c>
      <c r="E14" s="140" t="s">
        <v>177</v>
      </c>
      <c r="F14" s="140" t="s">
        <v>792</v>
      </c>
      <c r="G14" s="255" t="s">
        <v>220</v>
      </c>
    </row>
    <row r="15" spans="1:8" ht="18.75" customHeight="1">
      <c r="A15" s="183">
        <v>1</v>
      </c>
      <c r="B15" s="184" t="str">
        <f>VLOOKUP(Totalisatie[[#This Row],[Code Locatie]],Locaties[],2,0)</f>
        <v>Groenlo</v>
      </c>
      <c r="C15" s="188">
        <f>SUMIF('Ruimtestaat'!A:A,Totalisatie[[#This Row],[Code Locatie]],'Ruimtestaat'!AG:AG)</f>
        <v>392876.55999999994</v>
      </c>
      <c r="D15" s="190">
        <f>SUMIF(Glasbewassing!$A$22:$A$39,Totalisatie[[#This Row],[Code Locatie]],Glasbewassing!$G$22:$G$39)</f>
        <v>0</v>
      </c>
      <c r="E15" s="243">
        <f>SUMIF(Vloeronderhoud!$A$19:$A$37,Totalisatie[[#This Row],[Code Locatie]],Vloeronderhoud!$H$19:$H$37)</f>
        <v>0</v>
      </c>
      <c r="F15" s="243">
        <f ca="1">SUMIF(OverzichtExtraW[],Totalisatie[[#This Row],[Code Locatie]],OverzichtExtraW[Kosten/jaar excl. BTW])</f>
        <v>0</v>
      </c>
      <c r="G15" s="188">
        <f ca="1">SUM(Totalisatie[[#This Row],[Schoonmaakonderhoud
Kosten / jaar]:[Extra werkzaamheden
Kosten / jaar]])</f>
        <v>392876.55999999994</v>
      </c>
    </row>
    <row r="16" spans="1:8" ht="18.75" customHeight="1">
      <c r="A16" s="183">
        <v>2</v>
      </c>
      <c r="B16" s="184" t="str">
        <f>VLOOKUP(Totalisatie[[#This Row],[Code Locatie]],Locaties[],2,0)</f>
        <v>Groenlo - Gymzaal</v>
      </c>
      <c r="C16" s="188">
        <f>SUMIF('Ruimtestaat'!A:A,Totalisatie[[#This Row],[Code Locatie]],'Ruimtestaat'!AG:AG)</f>
        <v>16852.599999999999</v>
      </c>
      <c r="D16" s="190">
        <f>SUMIF(Glasbewassing!$A$22:$A$39,Totalisatie[[#This Row],[Code Locatie]],Glasbewassing!$G$22:$G$39)</f>
        <v>0</v>
      </c>
      <c r="E16" s="243">
        <f>SUMIF(Vloeronderhoud!$A$19:$A$37,Totalisatie[[#This Row],[Code Locatie]],Vloeronderhoud!$H$19:$H$37)</f>
        <v>0</v>
      </c>
      <c r="F16" s="243">
        <f ca="1">SUMIF(OverzichtExtraW[],Totalisatie[[#This Row],[Code Locatie]],OverzichtExtraW[Kosten/jaar excl. BTW])</f>
        <v>0</v>
      </c>
      <c r="G16" s="188">
        <f ca="1">SUM(Totalisatie[[#This Row],[Schoonmaakonderhoud
Kosten / jaar]:[Extra werkzaamheden
Kosten / jaar]])</f>
        <v>16852.599999999999</v>
      </c>
    </row>
    <row r="17" spans="1:8" ht="18.75" customHeight="1">
      <c r="A17" s="183">
        <v>3</v>
      </c>
      <c r="B17" s="184" t="str">
        <f>VLOOKUP(Totalisatie[[#This Row],[Code Locatie]],Locaties[],2,0)</f>
        <v>Lichtenvoorde gebouw 1</v>
      </c>
      <c r="C17" s="188">
        <f>SUMIF('Ruimtestaat'!A:A,Totalisatie[[#This Row],[Code Locatie]],'Ruimtestaat'!AG:AG)</f>
        <v>225558.9</v>
      </c>
      <c r="D17" s="190">
        <f>SUMIF(Glasbewassing!$A$22:$A$39,Totalisatie[[#This Row],[Code Locatie]],Glasbewassing!$G$22:$G$39)</f>
        <v>0</v>
      </c>
      <c r="E17" s="243">
        <f>SUMIF(Vloeronderhoud!$A$19:$A$37,Totalisatie[[#This Row],[Code Locatie]],Vloeronderhoud!$H$19:$H$37)</f>
        <v>0</v>
      </c>
      <c r="F17" s="243">
        <f ca="1">SUMIF(OverzichtExtraW[],Totalisatie[[#This Row],[Code Locatie]],OverzichtExtraW[Kosten/jaar excl. BTW])</f>
        <v>0</v>
      </c>
      <c r="G17" s="188">
        <f ca="1">SUM(Totalisatie[[#This Row],[Schoonmaakonderhoud
Kosten / jaar]:[Extra werkzaamheden
Kosten / jaar]])</f>
        <v>225558.9</v>
      </c>
    </row>
    <row r="18" spans="1:8" ht="18.75" customHeight="1">
      <c r="A18" s="183">
        <v>4</v>
      </c>
      <c r="B18" s="184" t="str">
        <f>VLOOKUP(Totalisatie[[#This Row],[Code Locatie]],Locaties[],2,0)</f>
        <v>Lichtenvoorde gebouw 3</v>
      </c>
      <c r="C18" s="188">
        <f>SUMIF('Ruimtestaat'!A:A,Totalisatie[[#This Row],[Code Locatie]],'Ruimtestaat'!AG:AG)</f>
        <v>172378.30999999997</v>
      </c>
      <c r="D18" s="190">
        <f>SUMIF(Glasbewassing!$A$22:$A$39,Totalisatie[[#This Row],[Code Locatie]],Glasbewassing!$G$22:$G$39)</f>
        <v>0</v>
      </c>
      <c r="E18" s="243">
        <f>SUMIF(Vloeronderhoud!$A$19:$A$37,Totalisatie[[#This Row],[Code Locatie]],Vloeronderhoud!$H$19:$H$37)</f>
        <v>0</v>
      </c>
      <c r="F18" s="243">
        <f ca="1">SUMIF(OverzichtExtraW[],Totalisatie[[#This Row],[Code Locatie]],OverzichtExtraW[Kosten/jaar excl. BTW])</f>
        <v>0</v>
      </c>
      <c r="G18" s="188">
        <f ca="1">SUM(Totalisatie[[#This Row],[Schoonmaakonderhoud
Kosten / jaar]:[Extra werkzaamheden
Kosten / jaar]])</f>
        <v>172378.30999999997</v>
      </c>
    </row>
    <row r="19" spans="1:8" ht="18.75" customHeight="1">
      <c r="A19" s="176"/>
      <c r="B19" s="177" t="s">
        <v>33</v>
      </c>
      <c r="C19" s="180">
        <f>SUBTOTAL(109,Totalisatie[Schoonmaakonderhoud
Kosten / jaar])</f>
        <v>807666.36999999988</v>
      </c>
      <c r="D19" s="180">
        <f>SUBTOTAL(109,Totalisatie[Glasbewassing
Kosten / jaar])</f>
        <v>0</v>
      </c>
      <c r="E19" s="180">
        <f>SUBTOTAL(109,Totalisatie[Vloeronderhoud
Kosten / jaar])</f>
        <v>0</v>
      </c>
      <c r="F19" s="180">
        <f ca="1">SUBTOTAL(109,Totalisatie[Extra werkzaamheden
Kosten / jaar])</f>
        <v>0</v>
      </c>
      <c r="G19" s="180">
        <f ca="1">SUBTOTAL(109,Totalisatie[Totaalprijs
Kosten / jaar])</f>
        <v>807666.36999999988</v>
      </c>
    </row>
    <row r="20" spans="1:8" ht="18.75" customHeight="1">
      <c r="A20" s="141"/>
      <c r="B20" s="3"/>
    </row>
    <row r="21" spans="1:8" ht="18.75" customHeight="1">
      <c r="A21" s="141"/>
      <c r="B21" s="3"/>
    </row>
    <row r="22" spans="1:8" ht="12.75">
      <c r="A22" s="95" t="s">
        <v>222</v>
      </c>
      <c r="B22" s="3"/>
      <c r="H22" s="153"/>
    </row>
    <row r="23" spans="1:8" ht="18.75" customHeight="1">
      <c r="A23" s="362" t="s">
        <v>226</v>
      </c>
      <c r="B23" s="363"/>
      <c r="C23" s="364" t="s">
        <v>428</v>
      </c>
      <c r="D23" s="364"/>
      <c r="E23" s="364"/>
      <c r="F23" s="364"/>
      <c r="G23" s="365"/>
    </row>
    <row r="24" spans="1:8" ht="18.75" customHeight="1">
      <c r="A24" s="142" t="s">
        <v>132</v>
      </c>
      <c r="B24" s="366" t="s">
        <v>232</v>
      </c>
      <c r="C24" s="367"/>
      <c r="D24" s="142" t="s">
        <v>132</v>
      </c>
      <c r="E24" s="366" t="s">
        <v>232</v>
      </c>
      <c r="F24" s="370"/>
      <c r="G24" s="367"/>
    </row>
    <row r="25" spans="1:8" ht="18.75" customHeight="1">
      <c r="A25" s="143" t="s">
        <v>223</v>
      </c>
      <c r="B25" s="368" t="s">
        <v>232</v>
      </c>
      <c r="C25" s="369"/>
      <c r="D25" s="143" t="s">
        <v>223</v>
      </c>
      <c r="E25" s="368" t="s">
        <v>232</v>
      </c>
      <c r="F25" s="371"/>
      <c r="G25" s="369"/>
    </row>
    <row r="26" spans="1:8" ht="18.75" customHeight="1">
      <c r="A26" s="142" t="s">
        <v>224</v>
      </c>
      <c r="B26" s="366" t="s">
        <v>232</v>
      </c>
      <c r="C26" s="367"/>
      <c r="D26" s="142" t="s">
        <v>224</v>
      </c>
      <c r="E26" s="366" t="s">
        <v>232</v>
      </c>
      <c r="F26" s="370"/>
      <c r="G26" s="367"/>
    </row>
    <row r="27" spans="1:8" ht="37.5" customHeight="1">
      <c r="A27" s="143" t="s">
        <v>225</v>
      </c>
      <c r="B27" s="368" t="s">
        <v>232</v>
      </c>
      <c r="C27" s="369"/>
      <c r="D27" s="143" t="s">
        <v>225</v>
      </c>
      <c r="E27" s="359" t="s">
        <v>232</v>
      </c>
      <c r="F27" s="360"/>
      <c r="G27" s="361"/>
    </row>
  </sheetData>
  <mergeCells count="12">
    <mergeCell ref="A1:H1"/>
    <mergeCell ref="A2:H2"/>
    <mergeCell ref="E27:G27"/>
    <mergeCell ref="A23:B23"/>
    <mergeCell ref="C23:G23"/>
    <mergeCell ref="B24:C24"/>
    <mergeCell ref="B25:C25"/>
    <mergeCell ref="B26:C26"/>
    <mergeCell ref="B27:C27"/>
    <mergeCell ref="E24:G24"/>
    <mergeCell ref="E25:G25"/>
    <mergeCell ref="E26:G26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scale="47" orientation="portrait" r:id="rId1"/>
  <headerFooter>
    <oddFooter>&amp;L&amp;F&amp;C&amp;D&amp;R&amp;A</oddFooter>
  </headerFooter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0A2CE-E853-43DD-BE77-77E79055D275}">
  <sheetPr>
    <pageSetUpPr fitToPage="1"/>
  </sheetPr>
  <dimension ref="A1:C42"/>
  <sheetViews>
    <sheetView zoomScaleNormal="100" workbookViewId="0">
      <selection activeCell="A21" sqref="A21"/>
    </sheetView>
  </sheetViews>
  <sheetFormatPr defaultColWidth="9" defaultRowHeight="12.75"/>
  <cols>
    <col min="1" max="1" width="52" style="205" customWidth="1"/>
    <col min="2" max="2" width="19.5703125" style="205" customWidth="1"/>
    <col min="3" max="3" width="37.42578125" style="205" bestFit="1" customWidth="1"/>
    <col min="4" max="16384" width="9" style="199"/>
  </cols>
  <sheetData>
    <row r="1" spans="1:3" ht="22.5">
      <c r="A1" s="223" t="s">
        <v>427</v>
      </c>
      <c r="B1" s="223"/>
      <c r="C1" s="223"/>
    </row>
    <row r="2" spans="1:3">
      <c r="A2" s="223" t="s">
        <v>275</v>
      </c>
      <c r="B2" s="223" t="s">
        <v>276</v>
      </c>
      <c r="C2" s="223" t="s">
        <v>387</v>
      </c>
    </row>
    <row r="3" spans="1:3">
      <c r="A3" s="223" t="s">
        <v>280</v>
      </c>
      <c r="B3" s="223"/>
      <c r="C3" s="223"/>
    </row>
    <row r="4" spans="1:3">
      <c r="A4" s="200" t="s">
        <v>283</v>
      </c>
      <c r="B4" s="200" t="s">
        <v>284</v>
      </c>
      <c r="C4" s="201" t="s">
        <v>388</v>
      </c>
    </row>
    <row r="5" spans="1:3">
      <c r="A5" s="200" t="s">
        <v>289</v>
      </c>
      <c r="B5" s="200" t="s">
        <v>284</v>
      </c>
      <c r="C5" s="201" t="s">
        <v>388</v>
      </c>
    </row>
    <row r="6" spans="1:3" ht="15.75" customHeight="1">
      <c r="A6" s="200" t="s">
        <v>297</v>
      </c>
      <c r="B6" s="200" t="s">
        <v>284</v>
      </c>
      <c r="C6" s="201" t="s">
        <v>388</v>
      </c>
    </row>
    <row r="7" spans="1:3">
      <c r="A7" s="200" t="s">
        <v>299</v>
      </c>
      <c r="B7" s="200" t="s">
        <v>284</v>
      </c>
      <c r="C7" s="201" t="s">
        <v>388</v>
      </c>
    </row>
    <row r="8" spans="1:3">
      <c r="A8" s="202" t="s">
        <v>301</v>
      </c>
      <c r="B8" s="202" t="s">
        <v>284</v>
      </c>
      <c r="C8" s="203" t="s">
        <v>388</v>
      </c>
    </row>
    <row r="9" spans="1:3">
      <c r="A9" s="200" t="s">
        <v>303</v>
      </c>
      <c r="B9" s="200" t="s">
        <v>284</v>
      </c>
      <c r="C9" s="201" t="s">
        <v>388</v>
      </c>
    </row>
    <row r="10" spans="1:3">
      <c r="A10" s="200" t="s">
        <v>305</v>
      </c>
      <c r="B10" s="200" t="s">
        <v>293</v>
      </c>
      <c r="C10" s="201" t="s">
        <v>388</v>
      </c>
    </row>
    <row r="11" spans="1:3">
      <c r="A11" s="200" t="s">
        <v>307</v>
      </c>
      <c r="B11" s="200" t="s">
        <v>284</v>
      </c>
      <c r="C11" s="201" t="s">
        <v>388</v>
      </c>
    </row>
    <row r="12" spans="1:3">
      <c r="A12" s="200" t="s">
        <v>309</v>
      </c>
      <c r="B12" s="200" t="s">
        <v>284</v>
      </c>
      <c r="C12" s="201" t="s">
        <v>388</v>
      </c>
    </row>
    <row r="13" spans="1:3">
      <c r="A13" s="200" t="s">
        <v>311</v>
      </c>
      <c r="B13" s="200" t="s">
        <v>293</v>
      </c>
      <c r="C13" s="201" t="s">
        <v>388</v>
      </c>
    </row>
    <row r="14" spans="1:3">
      <c r="A14" s="200" t="s">
        <v>312</v>
      </c>
      <c r="B14" s="200" t="s">
        <v>284</v>
      </c>
      <c r="C14" s="201" t="s">
        <v>388</v>
      </c>
    </row>
    <row r="15" spans="1:3">
      <c r="A15" s="200" t="s">
        <v>313</v>
      </c>
      <c r="B15" s="200" t="s">
        <v>284</v>
      </c>
      <c r="C15" s="201" t="s">
        <v>388</v>
      </c>
    </row>
    <row r="16" spans="1:3">
      <c r="A16" s="200" t="s">
        <v>318</v>
      </c>
      <c r="B16" s="200" t="s">
        <v>284</v>
      </c>
      <c r="C16" s="201" t="s">
        <v>388</v>
      </c>
    </row>
    <row r="17" spans="1:3">
      <c r="A17" s="200" t="s">
        <v>320</v>
      </c>
      <c r="B17" s="200" t="s">
        <v>293</v>
      </c>
      <c r="C17" s="201" t="s">
        <v>388</v>
      </c>
    </row>
    <row r="18" spans="1:3">
      <c r="A18" s="200" t="s">
        <v>323</v>
      </c>
      <c r="B18" s="200" t="s">
        <v>293</v>
      </c>
      <c r="C18" s="201" t="s">
        <v>388</v>
      </c>
    </row>
    <row r="19" spans="1:3">
      <c r="A19" s="200" t="s">
        <v>325</v>
      </c>
      <c r="B19" s="200" t="s">
        <v>293</v>
      </c>
      <c r="C19" s="201" t="s">
        <v>388</v>
      </c>
    </row>
    <row r="20" spans="1:3">
      <c r="A20" s="200" t="s">
        <v>326</v>
      </c>
      <c r="B20" s="200" t="s">
        <v>284</v>
      </c>
      <c r="C20" s="201" t="s">
        <v>388</v>
      </c>
    </row>
    <row r="21" spans="1:3">
      <c r="A21" s="200" t="s">
        <v>327</v>
      </c>
      <c r="B21" s="200" t="s">
        <v>293</v>
      </c>
      <c r="C21" s="201" t="s">
        <v>388</v>
      </c>
    </row>
    <row r="22" spans="1:3">
      <c r="A22" s="200" t="s">
        <v>336</v>
      </c>
      <c r="B22" s="200" t="s">
        <v>293</v>
      </c>
      <c r="C22" s="201" t="s">
        <v>388</v>
      </c>
    </row>
    <row r="23" spans="1:3">
      <c r="A23" s="200" t="s">
        <v>340</v>
      </c>
      <c r="B23" s="200" t="s">
        <v>284</v>
      </c>
      <c r="C23" s="201" t="s">
        <v>388</v>
      </c>
    </row>
    <row r="24" spans="1:3">
      <c r="A24" s="200" t="s">
        <v>342</v>
      </c>
      <c r="B24" s="200" t="s">
        <v>293</v>
      </c>
      <c r="C24" s="201" t="s">
        <v>388</v>
      </c>
    </row>
    <row r="25" spans="1:3">
      <c r="A25" s="200" t="s">
        <v>351</v>
      </c>
      <c r="B25" s="200" t="s">
        <v>293</v>
      </c>
      <c r="C25" s="201" t="s">
        <v>388</v>
      </c>
    </row>
    <row r="26" spans="1:3">
      <c r="A26" s="200" t="s">
        <v>344</v>
      </c>
      <c r="B26" s="200" t="s">
        <v>293</v>
      </c>
      <c r="C26" s="201" t="s">
        <v>388</v>
      </c>
    </row>
    <row r="27" spans="1:3">
      <c r="A27" s="200" t="s">
        <v>389</v>
      </c>
      <c r="B27" s="200" t="s">
        <v>284</v>
      </c>
      <c r="C27" s="201" t="s">
        <v>388</v>
      </c>
    </row>
    <row r="28" spans="1:3">
      <c r="A28" s="223" t="s">
        <v>353</v>
      </c>
      <c r="B28" s="223"/>
      <c r="C28" s="223"/>
    </row>
    <row r="29" spans="1:3">
      <c r="A29" s="200" t="s">
        <v>360</v>
      </c>
      <c r="B29" s="200" t="s">
        <v>293</v>
      </c>
      <c r="C29" s="201" t="s">
        <v>388</v>
      </c>
    </row>
    <row r="30" spans="1:3">
      <c r="A30" s="200" t="s">
        <v>363</v>
      </c>
      <c r="B30" s="200" t="s">
        <v>293</v>
      </c>
      <c r="C30" s="201" t="s">
        <v>388</v>
      </c>
    </row>
    <row r="31" spans="1:3">
      <c r="A31" s="200" t="s">
        <v>365</v>
      </c>
      <c r="B31" s="200" t="s">
        <v>293</v>
      </c>
      <c r="C31" s="201" t="s">
        <v>388</v>
      </c>
    </row>
    <row r="32" spans="1:3">
      <c r="A32" s="200" t="s">
        <v>366</v>
      </c>
      <c r="B32" s="200" t="s">
        <v>293</v>
      </c>
      <c r="C32" s="201" t="s">
        <v>388</v>
      </c>
    </row>
    <row r="33" spans="1:3">
      <c r="A33" s="200" t="s">
        <v>368</v>
      </c>
      <c r="B33" s="200" t="s">
        <v>293</v>
      </c>
      <c r="C33" s="201" t="s">
        <v>388</v>
      </c>
    </row>
    <row r="34" spans="1:3">
      <c r="A34" s="200" t="s">
        <v>370</v>
      </c>
      <c r="B34" s="200" t="s">
        <v>293</v>
      </c>
      <c r="C34" s="201" t="s">
        <v>388</v>
      </c>
    </row>
    <row r="35" spans="1:3">
      <c r="A35" s="200" t="s">
        <v>372</v>
      </c>
      <c r="B35" s="200" t="s">
        <v>293</v>
      </c>
      <c r="C35" s="201" t="s">
        <v>388</v>
      </c>
    </row>
    <row r="36" spans="1:3">
      <c r="A36" s="200" t="s">
        <v>373</v>
      </c>
      <c r="B36" s="200" t="s">
        <v>293</v>
      </c>
      <c r="C36" s="201" t="s">
        <v>388</v>
      </c>
    </row>
    <row r="37" spans="1:3">
      <c r="A37" s="200" t="s">
        <v>419</v>
      </c>
      <c r="B37" s="200" t="s">
        <v>293</v>
      </c>
      <c r="C37" s="201" t="s">
        <v>418</v>
      </c>
    </row>
    <row r="38" spans="1:3">
      <c r="A38" s="223" t="s">
        <v>375</v>
      </c>
      <c r="B38" s="223"/>
      <c r="C38" s="223"/>
    </row>
    <row r="39" spans="1:3">
      <c r="A39" s="200" t="s">
        <v>377</v>
      </c>
      <c r="B39" s="200" t="s">
        <v>293</v>
      </c>
      <c r="C39" s="201" t="s">
        <v>390</v>
      </c>
    </row>
    <row r="40" spans="1:3">
      <c r="A40" s="200" t="s">
        <v>273</v>
      </c>
      <c r="B40" s="200" t="s">
        <v>293</v>
      </c>
      <c r="C40" s="201" t="s">
        <v>390</v>
      </c>
    </row>
    <row r="41" spans="1:3">
      <c r="A41" s="200" t="s">
        <v>38</v>
      </c>
      <c r="B41" s="200" t="s">
        <v>293</v>
      </c>
      <c r="C41" s="201" t="s">
        <v>390</v>
      </c>
    </row>
    <row r="42" spans="1:3">
      <c r="A42" s="200"/>
      <c r="B42" s="200"/>
      <c r="C42" s="201"/>
    </row>
  </sheetData>
  <pageMargins left="0.7" right="0.7" top="0.75" bottom="0.75" header="0.3" footer="0.3"/>
  <pageSetup paperSize="9" scale="9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9">
    <tabColor theme="0" tint="-0.14999847407452621"/>
  </sheetPr>
  <dimension ref="A1:A18"/>
  <sheetViews>
    <sheetView showGridLines="0" view="pageBreakPreview" zoomScaleNormal="100" zoomScaleSheetLayoutView="100" workbookViewId="0"/>
  </sheetViews>
  <sheetFormatPr defaultColWidth="9.140625" defaultRowHeight="15" customHeight="1"/>
  <cols>
    <col min="1" max="1" width="133.7109375" style="9" bestFit="1" customWidth="1"/>
    <col min="2" max="2" width="125.42578125" style="9" customWidth="1"/>
    <col min="3" max="3" width="7.5703125" style="9" customWidth="1"/>
    <col min="4" max="4" width="29" style="9" bestFit="1" customWidth="1"/>
    <col min="5" max="5" width="5.7109375" style="9" customWidth="1"/>
    <col min="6" max="6" width="9.140625" style="9"/>
    <col min="7" max="7" width="17.85546875" style="9" bestFit="1" customWidth="1"/>
    <col min="8" max="10" width="9.140625" style="9"/>
    <col min="11" max="11" width="19.7109375" style="9" customWidth="1"/>
    <col min="12" max="16384" width="9.140625" style="9"/>
  </cols>
  <sheetData>
    <row r="1" spans="1:1" ht="15" customHeight="1">
      <c r="A1" s="99"/>
    </row>
    <row r="2" spans="1:1" ht="15" customHeight="1">
      <c r="A2" s="307" t="s">
        <v>426</v>
      </c>
    </row>
    <row r="3" spans="1:1" ht="15" customHeight="1">
      <c r="A3" s="308"/>
    </row>
    <row r="4" spans="1:1" ht="15.75" customHeight="1">
      <c r="A4" s="303" t="s">
        <v>848</v>
      </c>
    </row>
    <row r="5" spans="1:1" ht="15" customHeight="1">
      <c r="A5" s="42" t="s">
        <v>407</v>
      </c>
    </row>
    <row r="6" spans="1:1" ht="15" customHeight="1">
      <c r="A6" s="42" t="s">
        <v>408</v>
      </c>
    </row>
    <row r="7" spans="1:1" ht="15" customHeight="1">
      <c r="A7" s="42" t="s">
        <v>409</v>
      </c>
    </row>
    <row r="8" spans="1:1" ht="15" customHeight="1">
      <c r="A8" s="42" t="s">
        <v>410</v>
      </c>
    </row>
    <row r="9" spans="1:1" ht="15" customHeight="1">
      <c r="A9" s="42" t="s">
        <v>208</v>
      </c>
    </row>
    <row r="10" spans="1:1" ht="15" customHeight="1">
      <c r="A10" s="194" t="s">
        <v>411</v>
      </c>
    </row>
    <row r="11" spans="1:1" ht="15" customHeight="1">
      <c r="A11" s="194" t="s">
        <v>412</v>
      </c>
    </row>
    <row r="12" spans="1:1" ht="15" customHeight="1">
      <c r="A12" s="194" t="s">
        <v>413</v>
      </c>
    </row>
    <row r="13" spans="1:1" ht="15" customHeight="1">
      <c r="A13" s="194" t="s">
        <v>414</v>
      </c>
    </row>
    <row r="14" spans="1:1" ht="15" customHeight="1">
      <c r="A14" s="194" t="s">
        <v>415</v>
      </c>
    </row>
    <row r="15" spans="1:1" ht="15" customHeight="1">
      <c r="A15" s="194" t="s">
        <v>416</v>
      </c>
    </row>
    <row r="16" spans="1:1" ht="15" customHeight="1">
      <c r="A16" s="42" t="s">
        <v>417</v>
      </c>
    </row>
    <row r="17" spans="1:1" ht="15" customHeight="1">
      <c r="A17" s="43" t="s">
        <v>421</v>
      </c>
    </row>
    <row r="18" spans="1:1" ht="15" customHeight="1">
      <c r="A18" s="194"/>
    </row>
  </sheetData>
  <dataConsolidate/>
  <mergeCells count="1">
    <mergeCell ref="A2:A3"/>
  </mergeCells>
  <phoneticPr fontId="19" type="noConversion"/>
  <pageMargins left="0.2" right="0.21" top="0.57999999999999996" bottom="0.59" header="0.5" footer="0.5"/>
  <pageSetup paperSize="9" scale="81" fitToHeight="0" orientation="portrait" r:id="rId1"/>
  <headerFooter alignWithMargins="0"/>
  <rowBreaks count="1" manualBreakCount="1">
    <brk id="3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994FD-653F-4F1F-A1E1-EBE6C7CB2CB4}">
  <sheetPr>
    <tabColor theme="0" tint="-0.14999847407452621"/>
  </sheetPr>
  <dimension ref="A1:Q60"/>
  <sheetViews>
    <sheetView showGridLines="0" view="pageBreakPreview" zoomScaleNormal="100" zoomScaleSheetLayoutView="100" workbookViewId="0">
      <selection activeCell="D6" sqref="D6"/>
    </sheetView>
  </sheetViews>
  <sheetFormatPr defaultColWidth="7.85546875" defaultRowHeight="15" customHeight="1"/>
  <cols>
    <col min="1" max="1" width="15.140625" style="4" bestFit="1" customWidth="1"/>
    <col min="2" max="2" width="26" style="4" customWidth="1"/>
    <col min="3" max="3" width="18.28515625" style="4" customWidth="1"/>
    <col min="4" max="4" width="17.7109375" style="4" bestFit="1" customWidth="1"/>
    <col min="5" max="5" width="18.28515625" style="18" customWidth="1"/>
    <col min="6" max="6" width="2.85546875" style="4" customWidth="1"/>
    <col min="7" max="7" width="11" style="4" bestFit="1" customWidth="1"/>
    <col min="8" max="8" width="12" style="4" bestFit="1" customWidth="1"/>
    <col min="9" max="9" width="17.7109375" style="4" bestFit="1" customWidth="1"/>
    <col min="10" max="10" width="12" style="4" bestFit="1" customWidth="1"/>
    <col min="11" max="11" width="17.7109375" style="4" bestFit="1" customWidth="1"/>
    <col min="12" max="12" width="12" style="4" bestFit="1" customWidth="1"/>
    <col min="13" max="13" width="17.7109375" style="4" bestFit="1" customWidth="1"/>
    <col min="14" max="14" width="12" style="4" bestFit="1" customWidth="1"/>
    <col min="15" max="15" width="17.7109375" style="4" bestFit="1" customWidth="1"/>
    <col min="16" max="16" width="12" style="4" bestFit="1" customWidth="1"/>
    <col min="17" max="17" width="15.85546875" style="4" customWidth="1"/>
    <col min="18" max="16384" width="7.85546875" style="4"/>
  </cols>
  <sheetData>
    <row r="1" spans="1:17" s="9" customFormat="1" ht="26.25" customHeight="1">
      <c r="A1" s="330" t="s">
        <v>35</v>
      </c>
      <c r="B1" s="330"/>
      <c r="C1" s="330"/>
      <c r="D1" s="330"/>
      <c r="E1" s="330"/>
    </row>
    <row r="2" spans="1:17" s="9" customFormat="1" ht="15" customHeight="1">
      <c r="A2" s="331" t="s">
        <v>216</v>
      </c>
      <c r="B2" s="331"/>
      <c r="C2" s="331"/>
      <c r="D2" s="331"/>
      <c r="E2" s="331"/>
      <c r="G2" s="326" t="s">
        <v>403</v>
      </c>
      <c r="H2" s="326"/>
      <c r="I2" s="326"/>
      <c r="J2" s="326"/>
      <c r="K2" s="326"/>
      <c r="L2" s="326"/>
      <c r="M2" s="326"/>
      <c r="N2" s="326"/>
      <c r="O2" s="326"/>
      <c r="P2" s="326"/>
      <c r="Q2" s="326"/>
    </row>
    <row r="3" spans="1:17" ht="15" customHeight="1">
      <c r="E3" s="4"/>
      <c r="G3" s="223"/>
      <c r="H3" s="329">
        <v>2023</v>
      </c>
      <c r="I3" s="329"/>
      <c r="J3" s="327">
        <v>2024</v>
      </c>
      <c r="K3" s="328"/>
      <c r="L3" s="327">
        <v>2025</v>
      </c>
      <c r="M3" s="328"/>
      <c r="N3" s="327">
        <v>2026</v>
      </c>
      <c r="O3" s="328"/>
      <c r="P3" s="327">
        <v>2026</v>
      </c>
      <c r="Q3" s="328"/>
    </row>
    <row r="4" spans="1:17" s="8" customFormat="1" ht="26.25" customHeight="1">
      <c r="A4" s="319" t="s">
        <v>80</v>
      </c>
      <c r="B4" s="321"/>
      <c r="C4" s="100" t="s">
        <v>211</v>
      </c>
      <c r="D4" s="100" t="s">
        <v>227</v>
      </c>
      <c r="E4" s="100" t="s">
        <v>87</v>
      </c>
      <c r="G4" s="223" t="s">
        <v>402</v>
      </c>
      <c r="H4" s="223" t="s">
        <v>401</v>
      </c>
      <c r="I4" s="223" t="s">
        <v>400</v>
      </c>
      <c r="J4" s="223" t="s">
        <v>401</v>
      </c>
      <c r="K4" s="223" t="s">
        <v>400</v>
      </c>
      <c r="L4" s="223" t="s">
        <v>401</v>
      </c>
      <c r="M4" s="223" t="s">
        <v>400</v>
      </c>
      <c r="N4" s="223" t="s">
        <v>401</v>
      </c>
      <c r="O4" s="223" t="s">
        <v>400</v>
      </c>
      <c r="P4" s="223" t="s">
        <v>401</v>
      </c>
      <c r="Q4" s="223" t="s">
        <v>400</v>
      </c>
    </row>
    <row r="5" spans="1:17" ht="15" customHeight="1">
      <c r="A5" s="332" t="s">
        <v>103</v>
      </c>
      <c r="B5" s="333"/>
      <c r="C5" s="10">
        <v>25</v>
      </c>
      <c r="D5" s="11">
        <v>1</v>
      </c>
      <c r="E5" s="12">
        <f>C5*D5</f>
        <v>25</v>
      </c>
      <c r="G5" s="212"/>
      <c r="H5" s="212"/>
      <c r="I5" s="212"/>
      <c r="J5" s="212"/>
      <c r="K5" s="212"/>
      <c r="L5" s="212"/>
      <c r="M5" s="212"/>
      <c r="N5" s="212"/>
      <c r="O5" s="212"/>
      <c r="P5" s="212"/>
      <c r="Q5" s="212"/>
    </row>
    <row r="6" spans="1:17" ht="15" customHeight="1">
      <c r="A6" s="332" t="s">
        <v>70</v>
      </c>
      <c r="B6" s="333"/>
      <c r="C6" s="10">
        <v>0</v>
      </c>
      <c r="D6" s="11">
        <v>0</v>
      </c>
      <c r="E6" s="12">
        <f>C6*D6</f>
        <v>0</v>
      </c>
      <c r="G6" s="212"/>
      <c r="H6" s="212"/>
      <c r="I6" s="212"/>
      <c r="J6" s="212"/>
      <c r="K6" s="212"/>
      <c r="L6" s="212"/>
      <c r="M6" s="212"/>
      <c r="N6" s="212"/>
      <c r="O6" s="212"/>
      <c r="P6" s="212"/>
      <c r="Q6" s="212"/>
    </row>
    <row r="7" spans="1:17" ht="15" customHeight="1">
      <c r="A7" s="324" t="s">
        <v>71</v>
      </c>
      <c r="B7" s="325"/>
      <c r="C7" s="10">
        <v>0</v>
      </c>
      <c r="D7" s="11">
        <v>0</v>
      </c>
      <c r="E7" s="12">
        <f>C7*D7</f>
        <v>0</v>
      </c>
      <c r="G7" s="212"/>
      <c r="H7" s="212"/>
      <c r="I7" s="212"/>
      <c r="J7" s="212"/>
      <c r="K7" s="212"/>
      <c r="L7" s="212"/>
      <c r="M7" s="212"/>
      <c r="N7" s="212"/>
      <c r="O7" s="212"/>
      <c r="P7" s="212"/>
      <c r="Q7" s="212"/>
    </row>
    <row r="8" spans="1:17" ht="15" customHeight="1">
      <c r="A8" s="313" t="s">
        <v>72</v>
      </c>
      <c r="B8" s="315"/>
      <c r="C8" s="10">
        <v>0</v>
      </c>
      <c r="D8" s="11">
        <v>0</v>
      </c>
      <c r="E8" s="12">
        <f>C8*D8</f>
        <v>0</v>
      </c>
      <c r="G8" s="212"/>
      <c r="H8" s="212"/>
      <c r="I8" s="212"/>
      <c r="J8" s="212"/>
      <c r="K8" s="212"/>
      <c r="L8" s="212"/>
      <c r="M8" s="212"/>
      <c r="N8" s="212"/>
      <c r="O8" s="212"/>
      <c r="P8" s="212"/>
      <c r="Q8" s="212"/>
    </row>
    <row r="9" spans="1:17" ht="15" customHeight="1">
      <c r="A9" s="324" t="s">
        <v>104</v>
      </c>
      <c r="B9" s="334"/>
      <c r="C9" s="325"/>
      <c r="D9" s="13">
        <f>SUM(D5:D8)</f>
        <v>1</v>
      </c>
      <c r="E9" s="12">
        <f>IF(SUM($D$5:$D$8)=100%,SUM(E5:E8),"    GEEN 100%")</f>
        <v>25</v>
      </c>
      <c r="G9" s="212"/>
      <c r="H9" s="221"/>
      <c r="I9" s="212"/>
      <c r="J9" s="212"/>
      <c r="K9" s="212"/>
      <c r="L9" s="212"/>
      <c r="M9" s="212"/>
      <c r="N9" s="212"/>
      <c r="O9" s="212"/>
      <c r="P9" s="212"/>
      <c r="Q9" s="212"/>
    </row>
    <row r="10" spans="1:17" ht="15" customHeight="1">
      <c r="A10" s="322" t="s">
        <v>73</v>
      </c>
      <c r="B10" s="322"/>
      <c r="C10" s="322"/>
      <c r="D10" s="148" t="s">
        <v>3</v>
      </c>
      <c r="E10" s="150">
        <f>SUM(E9:E9)</f>
        <v>25</v>
      </c>
      <c r="G10" s="212" t="s">
        <v>399</v>
      </c>
      <c r="H10" s="221"/>
      <c r="I10" s="150">
        <f>(E10*H10)+E10</f>
        <v>25</v>
      </c>
      <c r="J10" s="221">
        <v>0</v>
      </c>
      <c r="K10" s="150">
        <f>(I10*J10)+I10</f>
        <v>25</v>
      </c>
      <c r="L10" s="221">
        <v>0</v>
      </c>
      <c r="M10" s="150">
        <f>(K10*L10)+K10</f>
        <v>25</v>
      </c>
      <c r="N10" s="221">
        <v>0</v>
      </c>
      <c r="O10" s="150">
        <f>(M10*N10)+M10</f>
        <v>25</v>
      </c>
      <c r="P10" s="221">
        <v>0</v>
      </c>
      <c r="Q10" s="150">
        <f>(O10*P10)+O10</f>
        <v>25</v>
      </c>
    </row>
    <row r="11" spans="1:17" ht="15" customHeight="1">
      <c r="A11" s="16"/>
      <c r="B11" s="17"/>
      <c r="C11" s="17"/>
      <c r="D11" s="17"/>
      <c r="G11" s="212"/>
      <c r="H11" s="212"/>
      <c r="I11" s="212"/>
      <c r="J11" s="212"/>
      <c r="K11" s="212"/>
      <c r="L11" s="212"/>
      <c r="M11" s="212"/>
      <c r="N11" s="212"/>
      <c r="O11" s="212"/>
      <c r="P11" s="212"/>
      <c r="Q11" s="212"/>
    </row>
    <row r="12" spans="1:17" s="8" customFormat="1" ht="26.25" customHeight="1">
      <c r="A12" s="319" t="s">
        <v>75</v>
      </c>
      <c r="B12" s="320"/>
      <c r="C12" s="321"/>
      <c r="D12" s="101" t="s">
        <v>84</v>
      </c>
      <c r="E12" s="100" t="s">
        <v>87</v>
      </c>
      <c r="G12" s="100"/>
      <c r="H12" s="100"/>
      <c r="I12" s="100"/>
      <c r="J12" s="100"/>
      <c r="K12" s="100"/>
      <c r="L12" s="100"/>
      <c r="M12" s="100"/>
      <c r="N12" s="100"/>
      <c r="O12" s="100"/>
      <c r="P12" s="100"/>
      <c r="Q12" s="100"/>
    </row>
    <row r="13" spans="1:17" ht="15" customHeight="1">
      <c r="A13" s="323" t="s">
        <v>4</v>
      </c>
      <c r="B13" s="312"/>
      <c r="C13" s="312"/>
      <c r="D13" s="213">
        <v>0</v>
      </c>
      <c r="E13" s="15">
        <f>SUM($E$10*D13)</f>
        <v>0</v>
      </c>
      <c r="G13" s="232" t="s">
        <v>398</v>
      </c>
      <c r="H13" s="221"/>
      <c r="I13" s="216">
        <f>(E13*H13)+E13</f>
        <v>0</v>
      </c>
      <c r="J13" s="217"/>
      <c r="K13" s="216">
        <f>(I13*J13)+I13</f>
        <v>0</v>
      </c>
      <c r="L13" s="217"/>
      <c r="M13" s="216">
        <f>(K13*L13)+K13</f>
        <v>0</v>
      </c>
      <c r="N13" s="217"/>
      <c r="O13" s="216">
        <f>(M13*N13)+M13</f>
        <v>0</v>
      </c>
      <c r="P13" s="217"/>
      <c r="Q13" s="216">
        <f>(O13*P13)+O13</f>
        <v>0</v>
      </c>
    </row>
    <row r="14" spans="1:17" ht="15" customHeight="1">
      <c r="A14" s="312" t="s">
        <v>89</v>
      </c>
      <c r="B14" s="312"/>
      <c r="C14" s="312"/>
      <c r="D14" s="213">
        <v>0</v>
      </c>
      <c r="E14" s="15">
        <f>SUM($E$10*D14)</f>
        <v>0</v>
      </c>
      <c r="G14" s="232" t="s">
        <v>398</v>
      </c>
      <c r="H14" s="221"/>
      <c r="I14" s="216">
        <f>(E14*H14)+E14</f>
        <v>0</v>
      </c>
      <c r="J14" s="217"/>
      <c r="K14" s="216">
        <f>(I14*J14)+I14</f>
        <v>0</v>
      </c>
      <c r="L14" s="217"/>
      <c r="M14" s="216">
        <f>(K14*L14)+K14</f>
        <v>0</v>
      </c>
      <c r="N14" s="217"/>
      <c r="O14" s="216">
        <f>(M14*N14)+M14</f>
        <v>0</v>
      </c>
      <c r="P14" s="217"/>
      <c r="Q14" s="216">
        <f>(O14*P14)+O14</f>
        <v>0</v>
      </c>
    </row>
    <row r="15" spans="1:17" ht="15" customHeight="1">
      <c r="A15" s="312" t="s">
        <v>5</v>
      </c>
      <c r="B15" s="312"/>
      <c r="C15" s="312"/>
      <c r="D15" s="213">
        <v>0</v>
      </c>
      <c r="E15" s="15">
        <f>SUM($E$10*D15)</f>
        <v>0</v>
      </c>
      <c r="G15" s="232" t="s">
        <v>398</v>
      </c>
      <c r="H15" s="221"/>
      <c r="I15" s="216">
        <f>(E15*H15)+E15</f>
        <v>0</v>
      </c>
      <c r="J15" s="217"/>
      <c r="K15" s="216">
        <f>(I15*J15)+I15</f>
        <v>0</v>
      </c>
      <c r="L15" s="217"/>
      <c r="M15" s="216">
        <f>(K15*L15)+K15</f>
        <v>0</v>
      </c>
      <c r="N15" s="217"/>
      <c r="O15" s="216">
        <f>(M15*N15)+M15</f>
        <v>0</v>
      </c>
      <c r="P15" s="217"/>
      <c r="Q15" s="216">
        <f>(O15*P15)+O15</f>
        <v>0</v>
      </c>
    </row>
    <row r="16" spans="1:17" ht="15" customHeight="1">
      <c r="A16" s="312" t="s">
        <v>6</v>
      </c>
      <c r="B16" s="312"/>
      <c r="C16" s="312"/>
      <c r="D16" s="213">
        <v>0</v>
      </c>
      <c r="E16" s="15">
        <f>SUM($E$10*D16)</f>
        <v>0</v>
      </c>
      <c r="G16" s="232" t="s">
        <v>398</v>
      </c>
      <c r="H16" s="221"/>
      <c r="I16" s="216">
        <f>(E16*H16)+E16</f>
        <v>0</v>
      </c>
      <c r="J16" s="217"/>
      <c r="K16" s="216">
        <f>(I16*J16)+I16</f>
        <v>0</v>
      </c>
      <c r="L16" s="217"/>
      <c r="M16" s="216">
        <f>(K16*L16)+K16</f>
        <v>0</v>
      </c>
      <c r="N16" s="217"/>
      <c r="O16" s="216">
        <f>(M16*N16)+M16</f>
        <v>0</v>
      </c>
      <c r="P16" s="217"/>
      <c r="Q16" s="216">
        <f>(O16*P16)+O16</f>
        <v>0</v>
      </c>
    </row>
    <row r="17" spans="1:17" ht="15" customHeight="1">
      <c r="A17" s="316" t="s">
        <v>92</v>
      </c>
      <c r="B17" s="317"/>
      <c r="C17" s="318"/>
      <c r="D17" s="213">
        <v>0</v>
      </c>
      <c r="E17" s="15">
        <f>SUM($E$10*D17)</f>
        <v>0</v>
      </c>
      <c r="G17" s="232" t="s">
        <v>398</v>
      </c>
      <c r="H17" s="221"/>
      <c r="I17" s="216">
        <f>(E17*H17)+E17</f>
        <v>0</v>
      </c>
      <c r="J17" s="217"/>
      <c r="K17" s="216">
        <f>(I17*J17)+I17</f>
        <v>0</v>
      </c>
      <c r="L17" s="217"/>
      <c r="M17" s="216">
        <f>(K17*L17)+K17</f>
        <v>0</v>
      </c>
      <c r="N17" s="217"/>
      <c r="O17" s="216">
        <f>(M17*N17)+M17</f>
        <v>0</v>
      </c>
      <c r="P17" s="217"/>
      <c r="Q17" s="216">
        <f>(O17*P17)+O17</f>
        <v>0</v>
      </c>
    </row>
    <row r="18" spans="1:17" ht="15" customHeight="1">
      <c r="A18" s="322" t="s">
        <v>81</v>
      </c>
      <c r="B18" s="322"/>
      <c r="C18" s="322"/>
      <c r="D18" s="151"/>
      <c r="E18" s="152">
        <f>SUM(E13:E17)</f>
        <v>0</v>
      </c>
      <c r="G18" s="212"/>
      <c r="H18" s="212"/>
      <c r="I18" s="152">
        <f>SUM(I13:I17)</f>
        <v>0</v>
      </c>
      <c r="J18" s="212"/>
      <c r="K18" s="152">
        <f>SUM(K13:K17)</f>
        <v>0</v>
      </c>
      <c r="L18" s="212"/>
      <c r="M18" s="152">
        <f>SUM(M13:M17)</f>
        <v>0</v>
      </c>
      <c r="N18" s="212"/>
      <c r="O18" s="152">
        <f>SUM(O13:O17)</f>
        <v>0</v>
      </c>
      <c r="P18" s="212"/>
      <c r="Q18" s="152">
        <f>SUM(Q13:Q17)</f>
        <v>0</v>
      </c>
    </row>
    <row r="19" spans="1:17" ht="15" customHeight="1">
      <c r="D19" s="19"/>
      <c r="E19" s="20"/>
      <c r="G19" s="212"/>
      <c r="H19" s="212"/>
      <c r="I19" s="212"/>
      <c r="J19" s="212"/>
      <c r="K19" s="212"/>
      <c r="L19" s="212"/>
      <c r="M19" s="212"/>
      <c r="N19" s="212"/>
      <c r="O19" s="212"/>
      <c r="P19" s="212"/>
      <c r="Q19" s="212"/>
    </row>
    <row r="20" spans="1:17" s="8" customFormat="1" ht="26.25" customHeight="1">
      <c r="A20" s="319" t="s">
        <v>76</v>
      </c>
      <c r="B20" s="320"/>
      <c r="C20" s="321"/>
      <c r="D20" s="101" t="s">
        <v>85</v>
      </c>
      <c r="E20" s="100" t="s">
        <v>87</v>
      </c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0"/>
    </row>
    <row r="21" spans="1:17" ht="15" customHeight="1">
      <c r="A21" s="312" t="s">
        <v>7</v>
      </c>
      <c r="B21" s="312"/>
      <c r="C21" s="312"/>
      <c r="D21" s="222">
        <f>E21/$E$35</f>
        <v>0</v>
      </c>
      <c r="E21" s="219">
        <v>0</v>
      </c>
      <c r="G21" s="212" t="s">
        <v>398</v>
      </c>
      <c r="H21" s="221"/>
      <c r="I21" s="216">
        <f>(E21*H21)+E21</f>
        <v>0</v>
      </c>
      <c r="J21" s="217"/>
      <c r="K21" s="216">
        <f>(I21*J21)+I21</f>
        <v>0</v>
      </c>
      <c r="L21" s="217"/>
      <c r="M21" s="216">
        <f>(K21*L21)+K21</f>
        <v>0</v>
      </c>
      <c r="N21" s="217"/>
      <c r="O21" s="216">
        <f>(M21*N21)+M21</f>
        <v>0</v>
      </c>
      <c r="P21" s="217"/>
      <c r="Q21" s="216">
        <f>(O21*P21)+O21</f>
        <v>0</v>
      </c>
    </row>
    <row r="22" spans="1:17" ht="15" customHeight="1">
      <c r="A22" s="323" t="s">
        <v>8</v>
      </c>
      <c r="B22" s="312"/>
      <c r="C22" s="312"/>
      <c r="D22" s="222">
        <f>E22/$E$35</f>
        <v>0</v>
      </c>
      <c r="E22" s="219">
        <v>0</v>
      </c>
      <c r="G22" s="212" t="s">
        <v>398</v>
      </c>
      <c r="H22" s="221"/>
      <c r="I22" s="216">
        <f>(E22*H22)+E22</f>
        <v>0</v>
      </c>
      <c r="J22" s="217"/>
      <c r="K22" s="216">
        <f>(I22*J22)+I22</f>
        <v>0</v>
      </c>
      <c r="L22" s="217"/>
      <c r="M22" s="216">
        <f>(K22*L22)+K22</f>
        <v>0</v>
      </c>
      <c r="N22" s="217"/>
      <c r="O22" s="216">
        <f>(M22*N22)+M22</f>
        <v>0</v>
      </c>
      <c r="P22" s="217"/>
      <c r="Q22" s="216">
        <f>(O22*P22)+O22</f>
        <v>0</v>
      </c>
    </row>
    <row r="23" spans="1:17" ht="15" customHeight="1">
      <c r="A23" s="312" t="s">
        <v>9</v>
      </c>
      <c r="B23" s="312"/>
      <c r="C23" s="312"/>
      <c r="D23" s="222">
        <f>E23/$E$35</f>
        <v>0</v>
      </c>
      <c r="E23" s="219">
        <v>0</v>
      </c>
      <c r="G23" s="212" t="s">
        <v>398</v>
      </c>
      <c r="H23" s="221"/>
      <c r="I23" s="218">
        <f>(E23*H23)+E23</f>
        <v>0</v>
      </c>
      <c r="J23" s="217"/>
      <c r="K23" s="216">
        <f>(I23*J23)+I23</f>
        <v>0</v>
      </c>
      <c r="L23" s="217"/>
      <c r="M23" s="216">
        <f>(K23*L23)+K23</f>
        <v>0</v>
      </c>
      <c r="N23" s="217"/>
      <c r="O23" s="216">
        <f>(M23*N23)+M23</f>
        <v>0</v>
      </c>
      <c r="P23" s="217"/>
      <c r="Q23" s="216">
        <f>(O23*P23)+O23</f>
        <v>0</v>
      </c>
    </row>
    <row r="24" spans="1:17" ht="15" customHeight="1">
      <c r="A24" s="313" t="s">
        <v>10</v>
      </c>
      <c r="B24" s="314"/>
      <c r="C24" s="315"/>
      <c r="D24" s="213">
        <v>0</v>
      </c>
      <c r="E24" s="14">
        <f>D24*$E$10</f>
        <v>0</v>
      </c>
      <c r="G24" s="212" t="s">
        <v>399</v>
      </c>
      <c r="H24" s="221"/>
      <c r="I24" s="216">
        <f>(E24*H24)+E24</f>
        <v>0</v>
      </c>
      <c r="J24" s="217"/>
      <c r="K24" s="216">
        <f>(I24*J24)+I24</f>
        <v>0</v>
      </c>
      <c r="L24" s="217"/>
      <c r="M24" s="216">
        <f>(K24*L24)+K24</f>
        <v>0</v>
      </c>
      <c r="N24" s="217"/>
      <c r="O24" s="216">
        <f>(M24*N24)+M24</f>
        <v>0</v>
      </c>
      <c r="P24" s="217"/>
      <c r="Q24" s="216">
        <f>(O24*P24)+O24</f>
        <v>0</v>
      </c>
    </row>
    <row r="25" spans="1:17" ht="15" customHeight="1">
      <c r="A25" s="316" t="s">
        <v>90</v>
      </c>
      <c r="B25" s="317"/>
      <c r="C25" s="318"/>
      <c r="D25" s="222">
        <f>E25/$E$35</f>
        <v>0</v>
      </c>
      <c r="E25" s="219">
        <v>0</v>
      </c>
      <c r="G25" s="212" t="s">
        <v>398</v>
      </c>
      <c r="H25" s="221"/>
      <c r="I25" s="218">
        <f>(E25*H25)+E25</f>
        <v>0</v>
      </c>
      <c r="J25" s="217"/>
      <c r="K25" s="216">
        <f>(I25*J25)+I25</f>
        <v>0</v>
      </c>
      <c r="L25" s="217"/>
      <c r="M25" s="216">
        <f>(K25*L25)+K25</f>
        <v>0</v>
      </c>
      <c r="N25" s="217"/>
      <c r="O25" s="216">
        <f>(M25*N25)+M25</f>
        <v>0</v>
      </c>
      <c r="P25" s="217"/>
      <c r="Q25" s="216">
        <f>(O25*P25)+O25</f>
        <v>0</v>
      </c>
    </row>
    <row r="26" spans="1:17" ht="15" customHeight="1">
      <c r="A26" s="322" t="s">
        <v>82</v>
      </c>
      <c r="B26" s="322"/>
      <c r="C26" s="322"/>
      <c r="D26" s="148" t="s">
        <v>3</v>
      </c>
      <c r="E26" s="150">
        <f>SUM(E21:E25)</f>
        <v>0</v>
      </c>
      <c r="G26" s="212"/>
      <c r="H26" s="212"/>
      <c r="I26" s="150">
        <f>SUM(I21:I25)</f>
        <v>0</v>
      </c>
      <c r="J26" s="212"/>
      <c r="K26" s="150">
        <f>SUM(K21:K25)</f>
        <v>0</v>
      </c>
      <c r="L26" s="212"/>
      <c r="M26" s="150">
        <f>SUM(M21:M25)</f>
        <v>0</v>
      </c>
      <c r="N26" s="212"/>
      <c r="O26" s="150">
        <f>SUM(O21:O25)</f>
        <v>0</v>
      </c>
      <c r="P26" s="212"/>
      <c r="Q26" s="150">
        <f>SUM(Q21:Q25)</f>
        <v>0</v>
      </c>
    </row>
    <row r="27" spans="1:17" ht="15" customHeight="1">
      <c r="A27" s="21"/>
      <c r="B27" s="21"/>
      <c r="C27" s="21"/>
      <c r="D27" s="22"/>
      <c r="E27" s="23"/>
      <c r="G27" s="212"/>
      <c r="H27" s="212"/>
      <c r="I27" s="212"/>
      <c r="J27" s="212"/>
      <c r="K27" s="212"/>
      <c r="L27" s="212"/>
      <c r="M27" s="212"/>
      <c r="N27" s="212"/>
      <c r="O27" s="212"/>
      <c r="P27" s="212"/>
      <c r="Q27" s="212"/>
    </row>
    <row r="28" spans="1:17" s="8" customFormat="1" ht="26.25" customHeight="1">
      <c r="A28" s="319" t="s">
        <v>77</v>
      </c>
      <c r="B28" s="320"/>
      <c r="C28" s="321"/>
      <c r="D28" s="101" t="s">
        <v>85</v>
      </c>
      <c r="E28" s="100" t="s">
        <v>87</v>
      </c>
      <c r="G28" s="100"/>
      <c r="H28" s="100"/>
      <c r="I28" s="100"/>
      <c r="J28" s="100"/>
      <c r="K28" s="100"/>
      <c r="L28" s="100"/>
      <c r="M28" s="100"/>
      <c r="N28" s="100"/>
      <c r="O28" s="100"/>
      <c r="P28" s="100"/>
      <c r="Q28" s="100"/>
    </row>
    <row r="29" spans="1:17" ht="15" customHeight="1">
      <c r="A29" s="323" t="s">
        <v>11</v>
      </c>
      <c r="B29" s="312"/>
      <c r="C29" s="312"/>
      <c r="D29" s="213">
        <v>0</v>
      </c>
      <c r="E29" s="14">
        <f>D29*($E$18+$E$10)</f>
        <v>0</v>
      </c>
      <c r="G29" s="232" t="s">
        <v>398</v>
      </c>
      <c r="H29" s="221"/>
      <c r="I29" s="216">
        <f>(E29*H29)+E29</f>
        <v>0</v>
      </c>
      <c r="J29" s="217"/>
      <c r="K29" s="216">
        <f>(I29*J29)+I29</f>
        <v>0</v>
      </c>
      <c r="L29" s="217"/>
      <c r="M29" s="216">
        <f>(K29*L29)+K29</f>
        <v>0</v>
      </c>
      <c r="N29" s="217"/>
      <c r="O29" s="216">
        <f>(M29*N29)+M29</f>
        <v>0</v>
      </c>
      <c r="P29" s="217"/>
      <c r="Q29" s="216">
        <f>(O29*P29)+O29</f>
        <v>0</v>
      </c>
    </row>
    <row r="30" spans="1:17" ht="15" customHeight="1">
      <c r="A30" s="323" t="s">
        <v>78</v>
      </c>
      <c r="B30" s="312"/>
      <c r="C30" s="312"/>
      <c r="D30" s="220">
        <f>E30/$E$35</f>
        <v>0</v>
      </c>
      <c r="E30" s="219">
        <v>0</v>
      </c>
      <c r="G30" s="212" t="s">
        <v>398</v>
      </c>
      <c r="H30" s="221"/>
      <c r="I30" s="218">
        <f>(E30*H30)+E30</f>
        <v>0</v>
      </c>
      <c r="J30" s="217"/>
      <c r="K30" s="216">
        <f>(I30*J30)+I30</f>
        <v>0</v>
      </c>
      <c r="L30" s="217"/>
      <c r="M30" s="216">
        <f>(K30*L30)+K30</f>
        <v>0</v>
      </c>
      <c r="N30" s="217"/>
      <c r="O30" s="216">
        <f>(M30*N30)+M30</f>
        <v>0</v>
      </c>
      <c r="P30" s="217"/>
      <c r="Q30" s="216">
        <f>(O30*P30)+O30</f>
        <v>0</v>
      </c>
    </row>
    <row r="31" spans="1:17" ht="15" customHeight="1">
      <c r="A31" s="316" t="s">
        <v>91</v>
      </c>
      <c r="B31" s="317"/>
      <c r="C31" s="318"/>
      <c r="D31" s="222">
        <f>E31/$E$35</f>
        <v>0</v>
      </c>
      <c r="E31" s="219">
        <v>0</v>
      </c>
      <c r="G31" s="212" t="s">
        <v>398</v>
      </c>
      <c r="H31" s="221"/>
      <c r="I31" s="218">
        <f>(E31*H31)+E31</f>
        <v>0</v>
      </c>
      <c r="J31" s="217"/>
      <c r="K31" s="216">
        <f>(I31*J31)+I31</f>
        <v>0</v>
      </c>
      <c r="L31" s="217"/>
      <c r="M31" s="216">
        <f>(K31*L31)+K31</f>
        <v>0</v>
      </c>
      <c r="N31" s="217"/>
      <c r="O31" s="216">
        <f>(M31*N31)+M31</f>
        <v>0</v>
      </c>
      <c r="P31" s="217"/>
      <c r="Q31" s="216">
        <f>(O31*P31)+O31</f>
        <v>0</v>
      </c>
    </row>
    <row r="32" spans="1:17" ht="15" customHeight="1">
      <c r="A32" s="312" t="s">
        <v>79</v>
      </c>
      <c r="B32" s="312"/>
      <c r="C32" s="312"/>
      <c r="D32" s="220">
        <f>E32/$E$35</f>
        <v>0</v>
      </c>
      <c r="E32" s="219">
        <v>0</v>
      </c>
      <c r="G32" s="212"/>
      <c r="H32" s="212"/>
      <c r="I32" s="218">
        <f>(E32*H32)+E32</f>
        <v>0</v>
      </c>
      <c r="J32" s="217"/>
      <c r="K32" s="216">
        <f>(I32*J32)+I32</f>
        <v>0</v>
      </c>
      <c r="L32" s="217"/>
      <c r="M32" s="216">
        <f>(K32*L32)+K32</f>
        <v>0</v>
      </c>
      <c r="N32" s="217"/>
      <c r="O32" s="216">
        <f>(M32*N32)+M32</f>
        <v>0</v>
      </c>
      <c r="P32" s="217"/>
      <c r="Q32" s="216">
        <f>(O32*P32)+O32</f>
        <v>0</v>
      </c>
    </row>
    <row r="33" spans="1:17" ht="15" customHeight="1">
      <c r="A33" s="322" t="s">
        <v>83</v>
      </c>
      <c r="B33" s="322"/>
      <c r="C33" s="322"/>
      <c r="D33" s="148"/>
      <c r="E33" s="149">
        <f>SUM(E29:E32)</f>
        <v>0</v>
      </c>
      <c r="G33" s="212"/>
      <c r="H33" s="212"/>
      <c r="I33" s="149">
        <f>SUM(I29:I32)</f>
        <v>0</v>
      </c>
      <c r="J33" s="212"/>
      <c r="K33" s="149">
        <f>SUM(K29:K32)</f>
        <v>0</v>
      </c>
      <c r="L33" s="212"/>
      <c r="M33" s="149">
        <f>SUM(M29:M32)</f>
        <v>0</v>
      </c>
      <c r="N33" s="212"/>
      <c r="O33" s="149">
        <f>SUM(O29:O32)</f>
        <v>0</v>
      </c>
      <c r="P33" s="212"/>
      <c r="Q33" s="149">
        <f>SUM(Q29:Q32)</f>
        <v>0</v>
      </c>
    </row>
    <row r="34" spans="1:17" ht="15" customHeight="1">
      <c r="A34" s="21"/>
      <c r="B34" s="21"/>
      <c r="C34" s="21"/>
      <c r="D34" s="22"/>
      <c r="E34" s="24"/>
      <c r="H34" s="212"/>
      <c r="I34" s="212"/>
      <c r="J34" s="212"/>
      <c r="K34" s="212"/>
      <c r="L34" s="212"/>
      <c r="M34" s="212"/>
      <c r="N34" s="212"/>
      <c r="O34" s="212"/>
      <c r="P34" s="212"/>
      <c r="Q34" s="212"/>
    </row>
    <row r="35" spans="1:17" ht="26.25" customHeight="1">
      <c r="A35" s="309" t="s">
        <v>102</v>
      </c>
      <c r="B35" s="310"/>
      <c r="C35" s="310"/>
      <c r="D35" s="311"/>
      <c r="E35" s="147">
        <f>E33+E26+E18+E10</f>
        <v>25</v>
      </c>
      <c r="G35" s="28"/>
      <c r="H35" s="212"/>
      <c r="I35" s="147">
        <f>I33+I26+I18+I10</f>
        <v>25</v>
      </c>
      <c r="J35" s="212"/>
      <c r="K35" s="147">
        <f>K33+K26+K18+K10</f>
        <v>25</v>
      </c>
      <c r="L35" s="212"/>
      <c r="M35" s="147">
        <f>M33+M26+M18+M10</f>
        <v>25</v>
      </c>
      <c r="N35" s="212"/>
      <c r="O35" s="147">
        <f>O33+O26+O18+O10</f>
        <v>25</v>
      </c>
      <c r="P35" s="212"/>
      <c r="Q35" s="147">
        <f>Q33+Q26+Q18+Q10</f>
        <v>25</v>
      </c>
    </row>
    <row r="36" spans="1:17" ht="15" customHeight="1">
      <c r="D36" s="19"/>
      <c r="E36" s="20"/>
    </row>
    <row r="37" spans="1:17" ht="26.25" customHeight="1">
      <c r="A37" s="102" t="s">
        <v>86</v>
      </c>
      <c r="B37" s="103"/>
      <c r="C37" s="101" t="s">
        <v>101</v>
      </c>
      <c r="D37" s="101" t="s">
        <v>99</v>
      </c>
      <c r="E37" s="101" t="s">
        <v>100</v>
      </c>
      <c r="H37" s="101" t="s">
        <v>397</v>
      </c>
      <c r="I37" s="215">
        <f>(I35/E35)-100%</f>
        <v>0</v>
      </c>
      <c r="J37" s="101"/>
      <c r="K37" s="215">
        <f>(K35/I35)-100%</f>
        <v>0</v>
      </c>
      <c r="L37" s="101"/>
      <c r="M37" s="215">
        <f>(M35/K35)-100%</f>
        <v>0</v>
      </c>
      <c r="N37" s="101"/>
      <c r="O37" s="215">
        <f>(O35/M35)-100%</f>
        <v>0</v>
      </c>
      <c r="P37" s="101"/>
      <c r="Q37" s="215">
        <f>(Q35/O35)-100%</f>
        <v>0</v>
      </c>
    </row>
    <row r="38" spans="1:17" ht="15" customHeight="1">
      <c r="A38" s="212" t="s">
        <v>88</v>
      </c>
      <c r="B38" s="212" t="s">
        <v>94</v>
      </c>
      <c r="C38" s="25">
        <v>0</v>
      </c>
      <c r="D38" s="26">
        <f>SUM($E$10,$E$18,$E$26,$E$33)+(C38*($E$18+$E$10))</f>
        <v>25</v>
      </c>
      <c r="E38" s="27">
        <f>D38*121%</f>
        <v>30.25</v>
      </c>
      <c r="F38" s="28"/>
      <c r="H38" s="212"/>
      <c r="I38" s="12">
        <f>(D38*$I$37)+D38</f>
        <v>25</v>
      </c>
      <c r="J38" s="212"/>
      <c r="K38" s="12">
        <f>(I38*$K$37)+I38</f>
        <v>25</v>
      </c>
      <c r="L38" s="212"/>
      <c r="M38" s="12">
        <f>(K38*$M$37)+K38</f>
        <v>25</v>
      </c>
      <c r="N38" s="212"/>
      <c r="O38" s="12">
        <f>(M38*$O$37)+M38</f>
        <v>25</v>
      </c>
      <c r="P38" s="212"/>
      <c r="Q38" s="12">
        <f>(O38*$Q$37)+O38</f>
        <v>25</v>
      </c>
    </row>
    <row r="39" spans="1:17" ht="15" customHeight="1">
      <c r="A39" s="212" t="s">
        <v>93</v>
      </c>
      <c r="B39" s="212" t="s">
        <v>95</v>
      </c>
      <c r="C39" s="25">
        <v>0.3</v>
      </c>
      <c r="D39" s="26">
        <f>SUM($E$10,$E$18,$E$26,$E$33)+(C39*($E$18+$E$10))</f>
        <v>32.5</v>
      </c>
      <c r="E39" s="27">
        <f>D39*121%</f>
        <v>39.324999999999996</v>
      </c>
      <c r="F39" s="28"/>
      <c r="H39" s="12"/>
      <c r="I39" s="12">
        <f>(D39*$I$37)+D39</f>
        <v>32.5</v>
      </c>
      <c r="J39" s="212"/>
      <c r="K39" s="12">
        <f>(I39*$K$37)+I39</f>
        <v>32.5</v>
      </c>
      <c r="L39" s="212"/>
      <c r="M39" s="12">
        <f>(K39*$M$37)+K39</f>
        <v>32.5</v>
      </c>
      <c r="N39" s="212"/>
      <c r="O39" s="12">
        <f>(M39*$O$37)+M39</f>
        <v>32.5</v>
      </c>
      <c r="P39" s="212"/>
      <c r="Q39" s="12">
        <f>(O39*$Q$37)+O39</f>
        <v>32.5</v>
      </c>
    </row>
    <row r="40" spans="1:17" ht="15" customHeight="1">
      <c r="A40" s="212" t="s">
        <v>24</v>
      </c>
      <c r="B40" s="212" t="s">
        <v>96</v>
      </c>
      <c r="C40" s="25">
        <v>0.5</v>
      </c>
      <c r="D40" s="26">
        <f>SUM($E$10,$E$18,$E$26,$E$33)+(C40*($E$18+$E$10))</f>
        <v>37.5</v>
      </c>
      <c r="E40" s="27">
        <f>D40*121%</f>
        <v>45.375</v>
      </c>
      <c r="F40" s="28"/>
      <c r="H40" s="212"/>
      <c r="I40" s="12">
        <f>(D40*$I$37)+D40</f>
        <v>37.5</v>
      </c>
      <c r="J40" s="212"/>
      <c r="K40" s="12">
        <f>(I40*$K$37)+I40</f>
        <v>37.5</v>
      </c>
      <c r="L40" s="212"/>
      <c r="M40" s="12">
        <f>(K40*$M$37)+K40</f>
        <v>37.5</v>
      </c>
      <c r="N40" s="212"/>
      <c r="O40" s="12">
        <f>(M40*$O$37)+M40</f>
        <v>37.5</v>
      </c>
      <c r="P40" s="212"/>
      <c r="Q40" s="12">
        <f>(O40*$Q$37)+O40</f>
        <v>37.5</v>
      </c>
    </row>
    <row r="41" spans="1:17" ht="15" customHeight="1">
      <c r="A41" s="212" t="s">
        <v>97</v>
      </c>
      <c r="B41" s="214" t="s">
        <v>98</v>
      </c>
      <c r="C41" s="25">
        <v>1.5</v>
      </c>
      <c r="D41" s="26">
        <f>SUM($E$10,$E$18,$E$26,$E$33)+(C41*($E$18+$E$10))</f>
        <v>62.5</v>
      </c>
      <c r="E41" s="27">
        <f>D41*121%</f>
        <v>75.625</v>
      </c>
      <c r="F41" s="28"/>
      <c r="H41" s="212"/>
      <c r="I41" s="12">
        <f>(D41*$I$37)+D41</f>
        <v>62.5</v>
      </c>
      <c r="J41" s="212"/>
      <c r="K41" s="12">
        <f>(I41*$K$37)+I41</f>
        <v>62.5</v>
      </c>
      <c r="L41" s="212"/>
      <c r="M41" s="12">
        <f>(K41*$M$37)+K41</f>
        <v>62.5</v>
      </c>
      <c r="N41" s="212"/>
      <c r="O41" s="12">
        <f>(M41*$O$37)+M41</f>
        <v>62.5</v>
      </c>
      <c r="P41" s="212"/>
      <c r="Q41" s="12">
        <f>(O41*$Q$37)+O41</f>
        <v>62.5</v>
      </c>
    </row>
    <row r="42" spans="1:17" ht="15" customHeight="1">
      <c r="E42" s="4"/>
    </row>
    <row r="43" spans="1:17" ht="15" customHeight="1">
      <c r="E43" s="4"/>
    </row>
    <row r="44" spans="1:17" ht="15" customHeight="1">
      <c r="E44" s="4"/>
    </row>
    <row r="45" spans="1:17" ht="15" customHeight="1">
      <c r="E45" s="4"/>
    </row>
    <row r="46" spans="1:17" ht="15" customHeight="1">
      <c r="E46" s="4"/>
    </row>
    <row r="47" spans="1:17" ht="15" customHeight="1">
      <c r="E47" s="4"/>
    </row>
    <row r="48" spans="1:17" ht="15" customHeight="1">
      <c r="E48" s="4"/>
    </row>
    <row r="49" spans="5:5" ht="15" customHeight="1">
      <c r="E49" s="4"/>
    </row>
    <row r="50" spans="5:5" ht="15" customHeight="1">
      <c r="E50" s="4"/>
    </row>
    <row r="51" spans="5:5" ht="15" customHeight="1">
      <c r="E51" s="4"/>
    </row>
    <row r="52" spans="5:5" ht="15" customHeight="1">
      <c r="E52" s="4"/>
    </row>
    <row r="53" spans="5:5" ht="15" customHeight="1">
      <c r="E53" s="4"/>
    </row>
    <row r="54" spans="5:5" ht="15" customHeight="1">
      <c r="E54" s="4"/>
    </row>
    <row r="55" spans="5:5" ht="15" customHeight="1">
      <c r="E55" s="4"/>
    </row>
    <row r="56" spans="5:5" ht="15" customHeight="1">
      <c r="E56" s="4"/>
    </row>
    <row r="57" spans="5:5" ht="15" customHeight="1">
      <c r="E57" s="4"/>
    </row>
    <row r="58" spans="5:5" ht="15" customHeight="1">
      <c r="E58" s="4"/>
    </row>
    <row r="59" spans="5:5" ht="15" customHeight="1">
      <c r="E59" s="4"/>
    </row>
    <row r="60" spans="5:5" ht="15" customHeight="1">
      <c r="E60" s="4"/>
    </row>
  </sheetData>
  <mergeCells count="36">
    <mergeCell ref="A1:E1"/>
    <mergeCell ref="A18:C18"/>
    <mergeCell ref="A2:E2"/>
    <mergeCell ref="A4:B4"/>
    <mergeCell ref="A12:C12"/>
    <mergeCell ref="A13:C13"/>
    <mergeCell ref="A5:B5"/>
    <mergeCell ref="A9:C9"/>
    <mergeCell ref="A8:B8"/>
    <mergeCell ref="A6:B6"/>
    <mergeCell ref="A20:C20"/>
    <mergeCell ref="A7:B7"/>
    <mergeCell ref="A22:C22"/>
    <mergeCell ref="A10:C10"/>
    <mergeCell ref="G2:Q2"/>
    <mergeCell ref="J3:K3"/>
    <mergeCell ref="L3:M3"/>
    <mergeCell ref="N3:O3"/>
    <mergeCell ref="P3:Q3"/>
    <mergeCell ref="H3:I3"/>
    <mergeCell ref="A35:D35"/>
    <mergeCell ref="A14:C14"/>
    <mergeCell ref="A24:C24"/>
    <mergeCell ref="A31:C31"/>
    <mergeCell ref="A25:C25"/>
    <mergeCell ref="A28:C28"/>
    <mergeCell ref="A33:C33"/>
    <mergeCell ref="A26:C26"/>
    <mergeCell ref="A29:C29"/>
    <mergeCell ref="A30:C30"/>
    <mergeCell ref="A15:C15"/>
    <mergeCell ref="A16:C16"/>
    <mergeCell ref="A17:C17"/>
    <mergeCell ref="A32:C32"/>
    <mergeCell ref="A21:C21"/>
    <mergeCell ref="A23:C23"/>
  </mergeCells>
  <conditionalFormatting sqref="E9">
    <cfRule type="containsText" dxfId="194" priority="1" operator="containsText" text="geen">
      <formula>NOT(ISERROR(SEARCH("geen",E9)))</formula>
    </cfRule>
  </conditionalFormatting>
  <pageMargins left="0.27559055118110237" right="0.31496062992125984" top="1.5748031496062993" bottom="0.55118110236220474" header="0.51181102362204722" footer="0.51181102362204722"/>
  <pageSetup paperSize="9" scale="63" orientation="portrait" r:id="rId1"/>
  <headerFooter alignWithMargins="0">
    <oddFooter>&amp;L&amp;F&amp;C&amp;D&amp;R&amp;A</oddFooter>
  </headerFooter>
  <colBreaks count="1" manualBreakCount="1">
    <brk id="6" max="40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0.14999847407452621"/>
    <pageSetUpPr fitToPage="1"/>
  </sheetPr>
  <dimension ref="A1:S19"/>
  <sheetViews>
    <sheetView workbookViewId="0">
      <selection activeCell="B1" sqref="B1"/>
    </sheetView>
  </sheetViews>
  <sheetFormatPr defaultRowHeight="12.75"/>
  <cols>
    <col min="1" max="1" width="6" style="146" customWidth="1"/>
    <col min="2" max="2" width="11.5703125" style="146" customWidth="1"/>
    <col min="3" max="3" width="10.42578125" style="146" bestFit="1" customWidth="1"/>
    <col min="4" max="4" width="14.7109375" style="146" bestFit="1" customWidth="1"/>
    <col min="5" max="5" width="15.42578125" style="146" bestFit="1" customWidth="1"/>
    <col min="6" max="6" width="14" style="191" bestFit="1" customWidth="1"/>
    <col min="7" max="7" width="15.7109375" style="191" customWidth="1"/>
    <col min="8" max="8" width="46.7109375" style="146" bestFit="1" customWidth="1"/>
    <col min="9" max="9" width="12.5703125" style="191" bestFit="1" customWidth="1"/>
    <col min="10" max="10" width="11.28515625" style="191" bestFit="1" customWidth="1"/>
    <col min="11" max="11" width="9" style="146" bestFit="1" customWidth="1"/>
    <col min="12" max="12" width="12.28515625" style="146" hidden="1" customWidth="1"/>
    <col min="13" max="13" width="10.7109375" style="146" hidden="1" customWidth="1"/>
    <col min="14" max="14" width="11.7109375" style="146" hidden="1" customWidth="1"/>
    <col min="15" max="15" width="14.140625" style="146" bestFit="1" customWidth="1"/>
    <col min="16" max="16" width="17.7109375" style="146" hidden="1" customWidth="1"/>
    <col min="17" max="17" width="15.85546875" style="191" bestFit="1" customWidth="1"/>
    <col min="18" max="18" width="25" style="146" bestFit="1" customWidth="1"/>
    <col min="19" max="19" width="14.42578125" hidden="1" customWidth="1"/>
  </cols>
  <sheetData>
    <row r="1" spans="1:19" ht="45" customHeight="1">
      <c r="A1" s="300" t="s">
        <v>818</v>
      </c>
      <c r="B1" s="223" t="s">
        <v>260</v>
      </c>
      <c r="C1" s="223" t="s">
        <v>420</v>
      </c>
      <c r="D1" s="223" t="s">
        <v>261</v>
      </c>
      <c r="E1" s="223" t="s">
        <v>262</v>
      </c>
      <c r="F1" s="299" t="s">
        <v>263</v>
      </c>
      <c r="G1" s="298" t="s">
        <v>804</v>
      </c>
      <c r="H1" s="223" t="s">
        <v>223</v>
      </c>
      <c r="I1" s="223" t="s">
        <v>264</v>
      </c>
      <c r="J1" s="223" t="s">
        <v>265</v>
      </c>
      <c r="K1" s="223" t="s">
        <v>266</v>
      </c>
      <c r="L1" s="223" t="s">
        <v>267</v>
      </c>
      <c r="M1" s="223" t="s">
        <v>268</v>
      </c>
      <c r="N1" s="223" t="s">
        <v>269</v>
      </c>
      <c r="O1" s="298" t="s">
        <v>816</v>
      </c>
      <c r="P1" s="223" t="s">
        <v>270</v>
      </c>
      <c r="Q1" s="223" t="s">
        <v>271</v>
      </c>
      <c r="R1" s="223" t="s">
        <v>146</v>
      </c>
      <c r="S1" s="223" t="s">
        <v>430</v>
      </c>
    </row>
    <row r="2" spans="1:19">
      <c r="A2" s="251">
        <v>1</v>
      </c>
      <c r="B2" s="264">
        <v>30677</v>
      </c>
      <c r="C2" s="245">
        <v>44200</v>
      </c>
      <c r="D2" s="245">
        <v>43491</v>
      </c>
      <c r="E2" s="263" t="s">
        <v>803</v>
      </c>
      <c r="F2" s="253">
        <v>30</v>
      </c>
      <c r="G2" s="245">
        <v>43491</v>
      </c>
      <c r="H2" s="246" t="s">
        <v>805</v>
      </c>
      <c r="I2" s="266" t="s">
        <v>808</v>
      </c>
      <c r="J2" s="266" t="s">
        <v>811</v>
      </c>
      <c r="K2" s="247">
        <v>12.1</v>
      </c>
      <c r="L2" s="247"/>
      <c r="M2" s="247"/>
      <c r="N2" s="263"/>
      <c r="O2" s="247" t="s">
        <v>814</v>
      </c>
      <c r="P2" s="269"/>
      <c r="Q2" s="273" t="s">
        <v>817</v>
      </c>
      <c r="R2" s="251" t="s">
        <v>437</v>
      </c>
      <c r="S2" s="271"/>
    </row>
    <row r="3" spans="1:19">
      <c r="A3" s="251">
        <v>2</v>
      </c>
      <c r="B3" s="264">
        <v>27563</v>
      </c>
      <c r="C3" s="245">
        <v>44200</v>
      </c>
      <c r="D3" s="245">
        <v>42996</v>
      </c>
      <c r="E3" s="246" t="s">
        <v>803</v>
      </c>
      <c r="F3" s="253">
        <v>10</v>
      </c>
      <c r="G3" s="245">
        <v>42996</v>
      </c>
      <c r="H3" s="246" t="s">
        <v>805</v>
      </c>
      <c r="I3" s="266" t="s">
        <v>808</v>
      </c>
      <c r="J3" s="266" t="s">
        <v>811</v>
      </c>
      <c r="K3" s="247">
        <v>12.47</v>
      </c>
      <c r="L3" s="247"/>
      <c r="M3" s="247"/>
      <c r="N3" s="263"/>
      <c r="O3" s="247" t="s">
        <v>815</v>
      </c>
      <c r="P3" s="269"/>
      <c r="Q3" s="273" t="s">
        <v>817</v>
      </c>
      <c r="R3" s="251" t="s">
        <v>789</v>
      </c>
      <c r="S3" s="271"/>
    </row>
    <row r="4" spans="1:19">
      <c r="A4" s="251">
        <v>3</v>
      </c>
      <c r="B4" s="264">
        <v>26844</v>
      </c>
      <c r="C4" s="245">
        <v>44200</v>
      </c>
      <c r="D4" s="274">
        <v>40190</v>
      </c>
      <c r="E4" s="275" t="s">
        <v>803</v>
      </c>
      <c r="F4" s="276">
        <v>11.25</v>
      </c>
      <c r="G4" s="245">
        <v>40190</v>
      </c>
      <c r="H4" s="275" t="s">
        <v>806</v>
      </c>
      <c r="I4" s="273" t="s">
        <v>809</v>
      </c>
      <c r="J4" s="273" t="s">
        <v>812</v>
      </c>
      <c r="K4" s="277">
        <v>14.17</v>
      </c>
      <c r="L4" s="247"/>
      <c r="M4" s="247"/>
      <c r="N4" s="263"/>
      <c r="O4" s="247" t="s">
        <v>815</v>
      </c>
      <c r="P4" s="269"/>
      <c r="Q4" s="273" t="s">
        <v>817</v>
      </c>
      <c r="R4" s="251" t="s">
        <v>789</v>
      </c>
      <c r="S4" s="271"/>
    </row>
    <row r="5" spans="1:19">
      <c r="A5" s="251">
        <v>4</v>
      </c>
      <c r="B5" s="264">
        <v>26455</v>
      </c>
      <c r="C5" s="245">
        <v>44200</v>
      </c>
      <c r="D5" s="245">
        <v>43864</v>
      </c>
      <c r="E5" s="246" t="s">
        <v>803</v>
      </c>
      <c r="F5" s="253">
        <v>11.25</v>
      </c>
      <c r="G5" s="245">
        <v>43864</v>
      </c>
      <c r="H5" s="246" t="s">
        <v>805</v>
      </c>
      <c r="I5" s="266" t="s">
        <v>808</v>
      </c>
      <c r="J5" s="266" t="s">
        <v>811</v>
      </c>
      <c r="K5" s="247">
        <v>11.67</v>
      </c>
      <c r="L5" s="247"/>
      <c r="M5" s="247"/>
      <c r="N5" s="263"/>
      <c r="O5" s="247" t="s">
        <v>815</v>
      </c>
      <c r="P5" s="266"/>
      <c r="Q5" s="273" t="s">
        <v>817</v>
      </c>
      <c r="R5" s="251" t="s">
        <v>437</v>
      </c>
      <c r="S5" s="271"/>
    </row>
    <row r="6" spans="1:19">
      <c r="A6" s="251">
        <v>5</v>
      </c>
      <c r="B6" s="264">
        <v>34334</v>
      </c>
      <c r="C6" s="245">
        <v>44200</v>
      </c>
      <c r="D6" s="245">
        <v>44147</v>
      </c>
      <c r="E6" s="246" t="s">
        <v>803</v>
      </c>
      <c r="F6" s="253">
        <v>10</v>
      </c>
      <c r="G6" s="245">
        <v>44147</v>
      </c>
      <c r="H6" s="246" t="s">
        <v>805</v>
      </c>
      <c r="I6" s="266" t="s">
        <v>808</v>
      </c>
      <c r="J6" s="266">
        <v>1</v>
      </c>
      <c r="K6" s="247">
        <v>11.27</v>
      </c>
      <c r="L6" s="247"/>
      <c r="M6" s="247"/>
      <c r="N6" s="263"/>
      <c r="O6" s="247" t="s">
        <v>815</v>
      </c>
      <c r="P6" s="266"/>
      <c r="Q6" s="273" t="s">
        <v>817</v>
      </c>
      <c r="R6" s="251" t="s">
        <v>789</v>
      </c>
      <c r="S6" s="271"/>
    </row>
    <row r="7" spans="1:19">
      <c r="A7" s="251">
        <v>6</v>
      </c>
      <c r="B7" s="264">
        <v>33452</v>
      </c>
      <c r="C7" s="245">
        <v>44200</v>
      </c>
      <c r="D7" s="245">
        <v>42884</v>
      </c>
      <c r="E7" s="246" t="s">
        <v>803</v>
      </c>
      <c r="F7" s="253">
        <v>12</v>
      </c>
      <c r="G7" s="245">
        <v>42884</v>
      </c>
      <c r="H7" s="246" t="s">
        <v>805</v>
      </c>
      <c r="I7" s="266" t="s">
        <v>808</v>
      </c>
      <c r="J7" s="266" t="s">
        <v>811</v>
      </c>
      <c r="K7" s="247">
        <v>12.47</v>
      </c>
      <c r="L7" s="247"/>
      <c r="M7" s="247"/>
      <c r="N7" s="263"/>
      <c r="O7" s="247" t="s">
        <v>814</v>
      </c>
      <c r="P7" s="266"/>
      <c r="Q7" s="273" t="s">
        <v>817</v>
      </c>
      <c r="R7" s="251" t="s">
        <v>790</v>
      </c>
      <c r="S7" s="271"/>
    </row>
    <row r="8" spans="1:19">
      <c r="A8" s="251">
        <v>7</v>
      </c>
      <c r="B8" s="264">
        <v>20827</v>
      </c>
      <c r="C8" s="245">
        <v>44200</v>
      </c>
      <c r="D8" s="245">
        <v>42614</v>
      </c>
      <c r="E8" s="246" t="s">
        <v>803</v>
      </c>
      <c r="F8" s="253">
        <v>10</v>
      </c>
      <c r="G8" s="245">
        <v>42614</v>
      </c>
      <c r="H8" s="246" t="s">
        <v>805</v>
      </c>
      <c r="I8" s="266" t="s">
        <v>808</v>
      </c>
      <c r="J8" s="266" t="s">
        <v>811</v>
      </c>
      <c r="K8" s="247">
        <v>12.86</v>
      </c>
      <c r="L8" s="247"/>
      <c r="M8" s="247"/>
      <c r="N8" s="263"/>
      <c r="O8" s="247" t="s">
        <v>815</v>
      </c>
      <c r="P8" s="266"/>
      <c r="Q8" s="273" t="s">
        <v>817</v>
      </c>
      <c r="R8" s="251" t="s">
        <v>789</v>
      </c>
      <c r="S8" s="271"/>
    </row>
    <row r="9" spans="1:19">
      <c r="A9" s="251">
        <v>8</v>
      </c>
      <c r="B9" s="264">
        <v>29297</v>
      </c>
      <c r="C9" s="245">
        <v>44200</v>
      </c>
      <c r="D9" s="245">
        <v>43415</v>
      </c>
      <c r="E9" s="246" t="s">
        <v>803</v>
      </c>
      <c r="F9" s="253">
        <v>12</v>
      </c>
      <c r="G9" s="245">
        <v>43415</v>
      </c>
      <c r="H9" s="246" t="s">
        <v>805</v>
      </c>
      <c r="I9" s="266" t="s">
        <v>808</v>
      </c>
      <c r="J9" s="266" t="s">
        <v>811</v>
      </c>
      <c r="K9" s="247">
        <v>12.1</v>
      </c>
      <c r="L9" s="247"/>
      <c r="M9" s="247"/>
      <c r="N9" s="263"/>
      <c r="O9" s="247" t="s">
        <v>814</v>
      </c>
      <c r="P9" s="266"/>
      <c r="Q9" s="273" t="s">
        <v>817</v>
      </c>
      <c r="R9" s="251" t="s">
        <v>790</v>
      </c>
      <c r="S9" s="271"/>
    </row>
    <row r="10" spans="1:19">
      <c r="A10" s="251">
        <v>9</v>
      </c>
      <c r="B10" s="264">
        <v>20469</v>
      </c>
      <c r="C10" s="245">
        <v>44200</v>
      </c>
      <c r="D10" s="245">
        <v>40878</v>
      </c>
      <c r="E10" s="246" t="s">
        <v>803</v>
      </c>
      <c r="F10" s="253">
        <v>11.25</v>
      </c>
      <c r="G10" s="245">
        <v>40878</v>
      </c>
      <c r="H10" s="246" t="s">
        <v>805</v>
      </c>
      <c r="I10" s="266" t="s">
        <v>808</v>
      </c>
      <c r="J10" s="266" t="s">
        <v>811</v>
      </c>
      <c r="K10" s="247">
        <v>12.86</v>
      </c>
      <c r="L10" s="247"/>
      <c r="M10" s="247"/>
      <c r="N10" s="263"/>
      <c r="O10" s="247" t="s">
        <v>815</v>
      </c>
      <c r="P10" s="266"/>
      <c r="Q10" s="273" t="s">
        <v>817</v>
      </c>
      <c r="R10" s="251" t="s">
        <v>437</v>
      </c>
      <c r="S10" s="271"/>
    </row>
    <row r="11" spans="1:19">
      <c r="A11" s="251">
        <v>10</v>
      </c>
      <c r="B11" s="264">
        <v>22566</v>
      </c>
      <c r="C11" s="245">
        <v>44200</v>
      </c>
      <c r="D11" s="245">
        <v>40878</v>
      </c>
      <c r="E11" s="246" t="s">
        <v>803</v>
      </c>
      <c r="F11" s="253">
        <v>11.25</v>
      </c>
      <c r="G11" s="245">
        <v>40878</v>
      </c>
      <c r="H11" s="246" t="s">
        <v>805</v>
      </c>
      <c r="I11" s="266" t="s">
        <v>808</v>
      </c>
      <c r="J11" s="266" t="s">
        <v>811</v>
      </c>
      <c r="K11" s="247">
        <v>12.86</v>
      </c>
      <c r="L11" s="247"/>
      <c r="M11" s="247"/>
      <c r="N11" s="263"/>
      <c r="O11" s="247" t="s">
        <v>815</v>
      </c>
      <c r="P11" s="266"/>
      <c r="Q11" s="273" t="s">
        <v>817</v>
      </c>
      <c r="R11" s="251" t="s">
        <v>437</v>
      </c>
      <c r="S11" s="271"/>
    </row>
    <row r="12" spans="1:19">
      <c r="A12" s="251">
        <v>11</v>
      </c>
      <c r="B12" s="264">
        <v>35310</v>
      </c>
      <c r="C12" s="245">
        <v>44200</v>
      </c>
      <c r="D12" s="245">
        <v>42597</v>
      </c>
      <c r="E12" s="246" t="s">
        <v>803</v>
      </c>
      <c r="F12" s="253">
        <v>12</v>
      </c>
      <c r="G12" s="245">
        <v>42597</v>
      </c>
      <c r="H12" s="246" t="s">
        <v>805</v>
      </c>
      <c r="I12" s="266" t="s">
        <v>808</v>
      </c>
      <c r="J12" s="266" t="s">
        <v>811</v>
      </c>
      <c r="K12" s="247">
        <v>12.1</v>
      </c>
      <c r="L12" s="247"/>
      <c r="M12" s="247"/>
      <c r="N12" s="263"/>
      <c r="O12" s="247" t="s">
        <v>814</v>
      </c>
      <c r="P12" s="266"/>
      <c r="Q12" s="273" t="s">
        <v>817</v>
      </c>
      <c r="R12" s="251" t="s">
        <v>790</v>
      </c>
      <c r="S12" s="271"/>
    </row>
    <row r="13" spans="1:19">
      <c r="A13" s="251">
        <v>12</v>
      </c>
      <c r="B13" s="264">
        <v>23202</v>
      </c>
      <c r="C13" s="245">
        <v>44200</v>
      </c>
      <c r="D13" s="245">
        <v>42261</v>
      </c>
      <c r="E13" s="246" t="s">
        <v>803</v>
      </c>
      <c r="F13" s="253">
        <v>11.25</v>
      </c>
      <c r="G13" s="264">
        <v>44228</v>
      </c>
      <c r="H13" s="246" t="s">
        <v>807</v>
      </c>
      <c r="I13" s="266" t="s">
        <v>810</v>
      </c>
      <c r="J13" s="266" t="s">
        <v>813</v>
      </c>
      <c r="K13" s="247">
        <v>13.52</v>
      </c>
      <c r="L13" s="247"/>
      <c r="M13" s="247"/>
      <c r="N13" s="263"/>
      <c r="O13" s="247" t="s">
        <v>815</v>
      </c>
      <c r="P13" s="266"/>
      <c r="Q13" s="273" t="s">
        <v>817</v>
      </c>
      <c r="R13" s="251" t="s">
        <v>437</v>
      </c>
      <c r="S13" s="271"/>
    </row>
    <row r="14" spans="1:19">
      <c r="A14" s="251">
        <v>13</v>
      </c>
      <c r="B14" s="264">
        <v>23458</v>
      </c>
      <c r="C14" s="245">
        <v>44200</v>
      </c>
      <c r="D14" s="245">
        <v>40878</v>
      </c>
      <c r="E14" s="246" t="s">
        <v>803</v>
      </c>
      <c r="F14" s="253">
        <v>11.25</v>
      </c>
      <c r="G14" s="245">
        <v>40878</v>
      </c>
      <c r="H14" s="246" t="s">
        <v>805</v>
      </c>
      <c r="I14" s="266" t="s">
        <v>808</v>
      </c>
      <c r="J14" s="266" t="s">
        <v>811</v>
      </c>
      <c r="K14" s="247">
        <v>12.86</v>
      </c>
      <c r="L14" s="247"/>
      <c r="M14" s="247"/>
      <c r="N14" s="263"/>
      <c r="O14" s="247" t="s">
        <v>815</v>
      </c>
      <c r="P14" s="266"/>
      <c r="Q14" s="273" t="s">
        <v>817</v>
      </c>
      <c r="R14" s="251" t="s">
        <v>437</v>
      </c>
      <c r="S14" s="271"/>
    </row>
    <row r="15" spans="1:19">
      <c r="A15" s="251">
        <v>14</v>
      </c>
      <c r="B15" s="264">
        <v>23211</v>
      </c>
      <c r="C15" s="245">
        <v>44200</v>
      </c>
      <c r="D15" s="245">
        <v>40878</v>
      </c>
      <c r="E15" s="248" t="s">
        <v>803</v>
      </c>
      <c r="F15" s="253">
        <v>32</v>
      </c>
      <c r="G15" s="245">
        <v>40878</v>
      </c>
      <c r="H15" s="246" t="s">
        <v>805</v>
      </c>
      <c r="I15" s="266" t="s">
        <v>808</v>
      </c>
      <c r="J15" s="266">
        <v>1</v>
      </c>
      <c r="K15" s="247">
        <v>12.1</v>
      </c>
      <c r="L15" s="247"/>
      <c r="M15" s="247"/>
      <c r="N15" s="263"/>
      <c r="O15" s="247" t="s">
        <v>815</v>
      </c>
      <c r="P15" s="266"/>
      <c r="Q15" s="273" t="s">
        <v>817</v>
      </c>
      <c r="R15" s="251" t="s">
        <v>790</v>
      </c>
      <c r="S15" s="271"/>
    </row>
    <row r="16" spans="1:19">
      <c r="A16" s="251">
        <v>15</v>
      </c>
      <c r="B16" s="264">
        <v>24477</v>
      </c>
      <c r="C16" s="245">
        <v>44200</v>
      </c>
      <c r="D16" s="245">
        <v>43038</v>
      </c>
      <c r="E16" s="246" t="s">
        <v>803</v>
      </c>
      <c r="F16" s="253">
        <v>11.25</v>
      </c>
      <c r="G16" s="245">
        <v>43038</v>
      </c>
      <c r="H16" s="246" t="s">
        <v>805</v>
      </c>
      <c r="I16" s="266" t="s">
        <v>808</v>
      </c>
      <c r="J16" s="266" t="s">
        <v>811</v>
      </c>
      <c r="K16" s="247">
        <v>12.47</v>
      </c>
      <c r="L16" s="247"/>
      <c r="M16" s="247"/>
      <c r="N16" s="263"/>
      <c r="O16" s="247" t="s">
        <v>815</v>
      </c>
      <c r="P16" s="266"/>
      <c r="Q16" s="273" t="s">
        <v>817</v>
      </c>
      <c r="R16" s="251" t="s">
        <v>437</v>
      </c>
      <c r="S16" s="271"/>
    </row>
    <row r="17" spans="1:19">
      <c r="A17" s="251">
        <v>16</v>
      </c>
      <c r="B17" s="264">
        <v>25027</v>
      </c>
      <c r="C17" s="245">
        <v>44200</v>
      </c>
      <c r="D17" s="245">
        <v>44179</v>
      </c>
      <c r="E17" s="246" t="s">
        <v>803</v>
      </c>
      <c r="F17" s="253">
        <v>10</v>
      </c>
      <c r="G17" s="245">
        <v>44179</v>
      </c>
      <c r="H17" s="246" t="s">
        <v>805</v>
      </c>
      <c r="I17" s="266" t="s">
        <v>808</v>
      </c>
      <c r="J17" s="266">
        <v>1</v>
      </c>
      <c r="K17" s="247">
        <v>11.27</v>
      </c>
      <c r="L17" s="247"/>
      <c r="M17" s="247"/>
      <c r="N17" s="263"/>
      <c r="O17" s="247" t="s">
        <v>815</v>
      </c>
      <c r="P17" s="266"/>
      <c r="Q17" s="273" t="s">
        <v>817</v>
      </c>
      <c r="R17" s="251" t="s">
        <v>789</v>
      </c>
      <c r="S17" s="271"/>
    </row>
    <row r="18" spans="1:19">
      <c r="A18" s="251">
        <v>17</v>
      </c>
      <c r="B18" s="264">
        <v>32830</v>
      </c>
      <c r="C18" s="245">
        <v>44214</v>
      </c>
      <c r="D18" s="245">
        <v>44214</v>
      </c>
      <c r="E18" s="246" t="s">
        <v>803</v>
      </c>
      <c r="F18" s="253">
        <v>10</v>
      </c>
      <c r="G18" s="245">
        <v>44214</v>
      </c>
      <c r="H18" s="246" t="s">
        <v>805</v>
      </c>
      <c r="I18" s="266" t="s">
        <v>808</v>
      </c>
      <c r="J18" s="266">
        <v>1</v>
      </c>
      <c r="K18" s="247">
        <v>11.27</v>
      </c>
      <c r="L18" s="247"/>
      <c r="M18" s="247"/>
      <c r="N18" s="263"/>
      <c r="O18" s="247" t="s">
        <v>815</v>
      </c>
      <c r="P18" s="266"/>
      <c r="Q18" s="273" t="s">
        <v>817</v>
      </c>
      <c r="R18" s="251" t="s">
        <v>789</v>
      </c>
      <c r="S18" s="271"/>
    </row>
    <row r="19" spans="1:19">
      <c r="A19" s="251">
        <v>18</v>
      </c>
      <c r="B19" s="265">
        <v>23429</v>
      </c>
      <c r="C19" s="249">
        <v>44200</v>
      </c>
      <c r="D19" s="249">
        <v>40878</v>
      </c>
      <c r="E19" s="250" t="s">
        <v>803</v>
      </c>
      <c r="F19" s="254">
        <v>22.5</v>
      </c>
      <c r="G19" s="245">
        <v>40878</v>
      </c>
      <c r="H19" s="250" t="s">
        <v>805</v>
      </c>
      <c r="I19" s="267" t="s">
        <v>808</v>
      </c>
      <c r="J19" s="267" t="s">
        <v>811</v>
      </c>
      <c r="K19" s="252">
        <v>12.86</v>
      </c>
      <c r="L19" s="247"/>
      <c r="M19" s="247"/>
      <c r="N19" s="268"/>
      <c r="O19" s="247" t="s">
        <v>815</v>
      </c>
      <c r="P19" s="270"/>
      <c r="Q19" s="273" t="s">
        <v>817</v>
      </c>
      <c r="R19" s="251" t="s">
        <v>437</v>
      </c>
      <c r="S19" s="272"/>
    </row>
  </sheetData>
  <autoFilter ref="A1:R1" xr:uid="{A5DEB281-D80A-47A4-985E-227C43A487FC}"/>
  <pageMargins left="0.7" right="0.7" top="0.75" bottom="0.75" header="0.3" footer="0.3"/>
  <pageSetup paperSize="9" scale="6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1">
    <tabColor theme="0" tint="-0.14999847407452621"/>
    <pageSetUpPr fitToPage="1"/>
  </sheetPr>
  <dimension ref="A1:T161"/>
  <sheetViews>
    <sheetView view="pageBreakPreview" zoomScaleNormal="100" zoomScaleSheetLayoutView="100" workbookViewId="0">
      <selection activeCell="C15" sqref="C15:C33"/>
    </sheetView>
  </sheetViews>
  <sheetFormatPr defaultColWidth="14.140625" defaultRowHeight="15" customHeight="1"/>
  <cols>
    <col min="1" max="1" width="14.140625" style="5"/>
    <col min="2" max="2" width="44.85546875" style="2" customWidth="1"/>
    <col min="3" max="3" width="14.140625" style="2"/>
    <col min="4" max="4" width="32.5703125" style="7" customWidth="1"/>
    <col min="5" max="5" width="12.140625" style="2" bestFit="1" customWidth="1"/>
    <col min="6" max="6" width="30.28515625" style="2" customWidth="1"/>
    <col min="7" max="7" width="14.140625" style="2"/>
    <col min="8" max="8" width="14.140625" style="6"/>
    <col min="9" max="9" width="14.140625" style="2"/>
    <col min="10" max="10" width="14.140625" style="5"/>
    <col min="11" max="15" width="14.140625" style="1"/>
    <col min="16" max="16384" width="14.140625" style="2"/>
  </cols>
  <sheetData>
    <row r="1" spans="1:16" s="9" customFormat="1" ht="26.25" customHeight="1">
      <c r="A1" s="337" t="s">
        <v>120</v>
      </c>
      <c r="B1" s="337"/>
      <c r="C1" s="337"/>
      <c r="D1" s="337"/>
      <c r="E1" s="337"/>
      <c r="F1" s="337"/>
      <c r="G1" s="81"/>
      <c r="H1" s="81"/>
      <c r="I1" s="81"/>
      <c r="J1" s="81"/>
      <c r="K1" s="81"/>
      <c r="L1" s="81"/>
      <c r="M1" s="81"/>
    </row>
    <row r="2" spans="1:16" s="9" customFormat="1" ht="15" customHeight="1">
      <c r="A2" s="335" t="s">
        <v>218</v>
      </c>
      <c r="B2" s="336"/>
      <c r="C2" s="336"/>
      <c r="D2" s="336"/>
      <c r="E2" s="336"/>
      <c r="F2" s="336"/>
      <c r="G2" s="130"/>
      <c r="H2" s="130"/>
      <c r="I2" s="130"/>
      <c r="J2" s="130"/>
      <c r="K2" s="130"/>
      <c r="L2" s="130"/>
      <c r="M2" s="130"/>
      <c r="N2" s="130"/>
    </row>
    <row r="3" spans="1:16" s="72" customFormat="1" ht="15" customHeight="1">
      <c r="A3" s="73"/>
      <c r="E3" s="92"/>
      <c r="F3" s="92"/>
      <c r="I3" s="93"/>
      <c r="K3" s="94"/>
      <c r="L3" s="73"/>
      <c r="M3" s="73"/>
      <c r="N3" s="73"/>
      <c r="O3" s="73"/>
      <c r="P3" s="73"/>
    </row>
    <row r="4" spans="1:16" s="72" customFormat="1" ht="15" customHeight="1">
      <c r="A4" s="73"/>
      <c r="E4" s="92"/>
      <c r="F4" s="92"/>
      <c r="I4" s="93"/>
      <c r="K4" s="94"/>
      <c r="L4" s="73"/>
      <c r="M4" s="73"/>
      <c r="N4" s="73"/>
      <c r="O4" s="73"/>
      <c r="P4" s="73"/>
    </row>
    <row r="5" spans="1:16" s="72" customFormat="1" ht="26.25" customHeight="1">
      <c r="A5" s="95" t="s">
        <v>242</v>
      </c>
      <c r="B5" s="95"/>
      <c r="C5" s="95"/>
      <c r="D5" s="95"/>
      <c r="E5" s="87"/>
      <c r="F5" s="87"/>
      <c r="I5" s="93"/>
      <c r="K5" s="94"/>
      <c r="L5" s="73"/>
      <c r="M5" s="73"/>
      <c r="N5" s="73"/>
      <c r="O5" s="73"/>
      <c r="P5" s="73"/>
    </row>
    <row r="6" spans="1:16" s="72" customFormat="1" ht="26.25" customHeight="1" thickBot="1">
      <c r="A6" s="123" t="s">
        <v>34</v>
      </c>
      <c r="B6" s="124" t="s">
        <v>146</v>
      </c>
      <c r="C6" s="121" t="s">
        <v>108</v>
      </c>
      <c r="D6" s="125" t="s">
        <v>68</v>
      </c>
      <c r="E6" s="126" t="s">
        <v>67</v>
      </c>
      <c r="F6" s="4" t="s">
        <v>30</v>
      </c>
      <c r="I6" s="93"/>
      <c r="K6" s="94"/>
      <c r="L6" s="73"/>
      <c r="M6" s="73"/>
      <c r="N6" s="73"/>
      <c r="O6" s="73"/>
      <c r="P6" s="73"/>
    </row>
    <row r="7" spans="1:16" s="72" customFormat="1" ht="15" customHeight="1" thickTop="1">
      <c r="A7" s="182">
        <v>1</v>
      </c>
      <c r="B7" s="127" t="s">
        <v>437</v>
      </c>
      <c r="C7" s="122">
        <v>1</v>
      </c>
      <c r="D7" s="127" t="s">
        <v>436</v>
      </c>
      <c r="E7" s="127" t="s">
        <v>691</v>
      </c>
      <c r="F7" s="127" t="s">
        <v>437</v>
      </c>
      <c r="I7" s="93"/>
      <c r="K7" s="94"/>
      <c r="L7" s="73"/>
      <c r="M7" s="73"/>
      <c r="N7" s="73"/>
      <c r="O7" s="73"/>
      <c r="P7" s="73"/>
    </row>
    <row r="8" spans="1:16" s="72" customFormat="1" ht="15" customHeight="1">
      <c r="A8" s="182">
        <v>2</v>
      </c>
      <c r="B8" s="196" t="s">
        <v>785</v>
      </c>
      <c r="C8" s="122">
        <v>1</v>
      </c>
      <c r="D8" s="239" t="s">
        <v>436</v>
      </c>
      <c r="E8" s="239" t="s">
        <v>691</v>
      </c>
      <c r="F8" s="127" t="s">
        <v>437</v>
      </c>
      <c r="I8" s="93"/>
      <c r="K8" s="94"/>
      <c r="L8" s="73"/>
      <c r="M8" s="73"/>
      <c r="N8" s="73"/>
      <c r="O8" s="73"/>
      <c r="P8" s="73"/>
    </row>
    <row r="9" spans="1:16" s="72" customFormat="1" ht="15" customHeight="1">
      <c r="A9" s="182">
        <v>3</v>
      </c>
      <c r="B9" s="4" t="s">
        <v>789</v>
      </c>
      <c r="C9" s="122">
        <v>1</v>
      </c>
      <c r="D9" s="4" t="s">
        <v>438</v>
      </c>
      <c r="E9" s="4" t="s">
        <v>692</v>
      </c>
      <c r="F9" s="240" t="s">
        <v>439</v>
      </c>
      <c r="I9" s="93"/>
      <c r="K9" s="94"/>
      <c r="L9" s="73"/>
      <c r="M9" s="73"/>
      <c r="N9" s="73"/>
      <c r="O9" s="73"/>
      <c r="P9" s="73"/>
    </row>
    <row r="10" spans="1:16" s="72" customFormat="1" ht="15" customHeight="1">
      <c r="A10" s="182">
        <v>4</v>
      </c>
      <c r="B10" s="4" t="s">
        <v>790</v>
      </c>
      <c r="C10" s="122">
        <v>1</v>
      </c>
      <c r="D10" s="4" t="s">
        <v>440</v>
      </c>
      <c r="E10" s="4" t="s">
        <v>692</v>
      </c>
      <c r="F10" s="240" t="s">
        <v>439</v>
      </c>
      <c r="I10" s="93"/>
      <c r="K10" s="94"/>
      <c r="L10" s="73"/>
      <c r="M10" s="73"/>
      <c r="N10" s="73"/>
      <c r="O10" s="73"/>
      <c r="P10" s="73"/>
    </row>
    <row r="11" spans="1:16" s="72" customFormat="1" ht="15" customHeight="1">
      <c r="A11" s="206"/>
      <c r="B11" s="207"/>
      <c r="C11" s="207"/>
      <c r="D11" s="207"/>
      <c r="E11" s="208"/>
      <c r="F11" s="208"/>
      <c r="I11" s="93"/>
      <c r="K11" s="94"/>
      <c r="L11" s="73"/>
      <c r="M11" s="73"/>
      <c r="N11" s="73"/>
      <c r="O11" s="73"/>
      <c r="P11" s="73"/>
    </row>
    <row r="12" spans="1:16" s="72" customFormat="1" ht="15" customHeight="1">
      <c r="A12" s="105" t="s">
        <v>243</v>
      </c>
      <c r="B12" s="87"/>
      <c r="C12" s="87"/>
      <c r="D12" s="87"/>
      <c r="E12" s="92"/>
      <c r="F12" s="92"/>
      <c r="I12" s="93"/>
      <c r="K12" s="94"/>
      <c r="L12" s="73"/>
      <c r="M12" s="73"/>
      <c r="N12" s="73"/>
      <c r="O12" s="73"/>
      <c r="P12" s="73"/>
    </row>
    <row r="13" spans="1:16" s="72" customFormat="1" ht="15" customHeight="1">
      <c r="A13" s="104" t="s">
        <v>34</v>
      </c>
      <c r="B13" s="29" t="s">
        <v>106</v>
      </c>
      <c r="C13" s="8" t="s">
        <v>105</v>
      </c>
      <c r="D13" s="104" t="s">
        <v>210</v>
      </c>
      <c r="E13" s="92"/>
      <c r="F13" s="92"/>
      <c r="I13" s="93"/>
      <c r="K13" s="94"/>
      <c r="L13" s="73"/>
      <c r="M13" s="73"/>
      <c r="N13" s="73"/>
      <c r="O13" s="73"/>
      <c r="P13" s="73"/>
    </row>
    <row r="14" spans="1:16" s="72" customFormat="1" ht="15" customHeight="1">
      <c r="A14" s="30">
        <v>1</v>
      </c>
      <c r="B14" s="9" t="s">
        <v>59</v>
      </c>
      <c r="C14" s="106">
        <v>100</v>
      </c>
      <c r="D14" s="154" t="s">
        <v>236</v>
      </c>
      <c r="E14" s="92"/>
      <c r="F14" s="92"/>
      <c r="I14" s="93"/>
      <c r="K14" s="94"/>
      <c r="L14" s="73"/>
      <c r="M14" s="73"/>
      <c r="N14" s="73"/>
      <c r="O14" s="73"/>
      <c r="P14" s="73"/>
    </row>
    <row r="15" spans="1:16" s="72" customFormat="1" ht="15" customHeight="1">
      <c r="A15" s="30">
        <v>2</v>
      </c>
      <c r="B15" s="9" t="s">
        <v>60</v>
      </c>
      <c r="C15" s="106">
        <v>100</v>
      </c>
      <c r="D15" s="154" t="s">
        <v>239</v>
      </c>
      <c r="E15" s="92"/>
      <c r="F15" s="87"/>
      <c r="I15" s="93"/>
      <c r="K15" s="94"/>
      <c r="L15" s="73"/>
      <c r="M15" s="73"/>
      <c r="N15" s="73"/>
      <c r="O15" s="73"/>
      <c r="P15" s="73"/>
    </row>
    <row r="16" spans="1:16" s="72" customFormat="1" ht="11.25">
      <c r="A16" s="30">
        <v>3</v>
      </c>
      <c r="B16" s="9" t="s">
        <v>61</v>
      </c>
      <c r="C16" s="106">
        <v>100</v>
      </c>
      <c r="D16" s="154" t="s">
        <v>236</v>
      </c>
      <c r="E16" s="92"/>
      <c r="F16" s="74"/>
      <c r="I16" s="93"/>
      <c r="K16" s="94"/>
      <c r="L16" s="73"/>
      <c r="M16" s="73"/>
      <c r="N16" s="73"/>
      <c r="O16" s="73"/>
      <c r="P16" s="73"/>
    </row>
    <row r="17" spans="1:18" s="72" customFormat="1" ht="14.25" customHeight="1">
      <c r="A17" s="30">
        <v>4</v>
      </c>
      <c r="B17" s="9" t="s">
        <v>392</v>
      </c>
      <c r="C17" s="106">
        <v>100</v>
      </c>
      <c r="D17" s="154" t="s">
        <v>239</v>
      </c>
      <c r="E17" s="92"/>
      <c r="F17" s="87"/>
      <c r="I17" s="93"/>
      <c r="K17" s="94"/>
      <c r="L17" s="73"/>
      <c r="M17" s="73"/>
      <c r="N17" s="73"/>
      <c r="O17" s="73"/>
      <c r="P17" s="73"/>
    </row>
    <row r="18" spans="1:18" s="72" customFormat="1" ht="15" customHeight="1">
      <c r="A18" s="30">
        <v>5</v>
      </c>
      <c r="B18" s="9" t="s">
        <v>22</v>
      </c>
      <c r="C18" s="106">
        <v>100</v>
      </c>
      <c r="D18" s="154" t="s">
        <v>237</v>
      </c>
      <c r="E18" s="92"/>
      <c r="F18" s="87"/>
      <c r="I18" s="93"/>
      <c r="K18" s="94"/>
      <c r="L18" s="73"/>
      <c r="M18" s="73"/>
      <c r="N18" s="73"/>
      <c r="O18" s="73"/>
      <c r="P18" s="73"/>
    </row>
    <row r="19" spans="1:18" s="87" customFormat="1" ht="15" customHeight="1">
      <c r="A19" s="30">
        <v>6</v>
      </c>
      <c r="B19" s="9" t="s">
        <v>62</v>
      </c>
      <c r="C19" s="106">
        <v>100</v>
      </c>
      <c r="D19" s="154" t="s">
        <v>236</v>
      </c>
      <c r="E19" s="92"/>
      <c r="J19" s="96"/>
      <c r="O19" s="97"/>
      <c r="P19" s="97"/>
      <c r="Q19" s="97"/>
    </row>
    <row r="20" spans="1:18" s="31" customFormat="1" ht="15" customHeight="1">
      <c r="A20" s="30">
        <v>7</v>
      </c>
      <c r="B20" s="9" t="s">
        <v>40</v>
      </c>
      <c r="C20" s="106">
        <v>100</v>
      </c>
      <c r="D20" s="154" t="s">
        <v>236</v>
      </c>
      <c r="E20" s="92"/>
      <c r="F20" s="87"/>
      <c r="G20" s="74"/>
      <c r="H20" s="74"/>
      <c r="I20" s="74"/>
      <c r="J20" s="98"/>
      <c r="K20" s="74"/>
      <c r="L20" s="74"/>
      <c r="M20" s="74"/>
      <c r="N20" s="74"/>
      <c r="O20" s="132"/>
      <c r="P20" s="132"/>
      <c r="Q20" s="132"/>
      <c r="R20" s="132"/>
    </row>
    <row r="21" spans="1:18" s="4" customFormat="1" ht="15" customHeight="1">
      <c r="A21" s="30">
        <v>8</v>
      </c>
      <c r="B21" s="9" t="s">
        <v>423</v>
      </c>
      <c r="C21" s="106">
        <v>100</v>
      </c>
      <c r="D21" s="154" t="s">
        <v>238</v>
      </c>
      <c r="E21" s="92"/>
      <c r="F21" s="110"/>
      <c r="G21" s="87"/>
      <c r="H21" s="87"/>
      <c r="I21" s="87"/>
      <c r="J21" s="96"/>
      <c r="K21" s="87"/>
      <c r="L21" s="87"/>
      <c r="M21" s="87"/>
      <c r="N21" s="87"/>
      <c r="O21" s="97"/>
      <c r="P21" s="97"/>
      <c r="Q21" s="97"/>
      <c r="R21" s="97"/>
    </row>
    <row r="22" spans="1:18" s="4" customFormat="1" ht="15" customHeight="1">
      <c r="A22" s="30">
        <v>9</v>
      </c>
      <c r="B22" s="9" t="s">
        <v>254</v>
      </c>
      <c r="C22" s="106">
        <v>100</v>
      </c>
      <c r="D22" s="154" t="s">
        <v>236</v>
      </c>
      <c r="E22" s="92"/>
      <c r="F22" s="110"/>
      <c r="G22" s="87"/>
      <c r="H22" s="87"/>
      <c r="I22" s="87"/>
      <c r="J22" s="96"/>
      <c r="K22" s="87"/>
      <c r="L22" s="87"/>
      <c r="M22" s="87"/>
      <c r="N22" s="87"/>
      <c r="O22" s="97"/>
      <c r="P22" s="97"/>
      <c r="Q22" s="97"/>
      <c r="R22" s="97"/>
    </row>
    <row r="23" spans="1:18" s="4" customFormat="1" ht="15" customHeight="1">
      <c r="A23" s="30">
        <v>10</v>
      </c>
      <c r="B23" s="9" t="s">
        <v>63</v>
      </c>
      <c r="C23" s="106">
        <v>100</v>
      </c>
      <c r="D23" s="154" t="s">
        <v>236</v>
      </c>
      <c r="E23" s="92"/>
      <c r="F23" s="87"/>
      <c r="G23" s="87"/>
      <c r="H23" s="87"/>
      <c r="I23" s="87"/>
      <c r="J23" s="96"/>
      <c r="K23" s="87"/>
      <c r="L23" s="87"/>
      <c r="M23" s="87"/>
      <c r="N23" s="87"/>
      <c r="O23" s="97"/>
      <c r="P23" s="97"/>
      <c r="Q23" s="97"/>
      <c r="R23" s="97"/>
    </row>
    <row r="24" spans="1:18" s="4" customFormat="1" ht="15" customHeight="1">
      <c r="A24" s="30">
        <v>11</v>
      </c>
      <c r="B24" s="9" t="s">
        <v>765</v>
      </c>
      <c r="C24" s="106">
        <v>100</v>
      </c>
      <c r="D24" s="154" t="s">
        <v>238</v>
      </c>
      <c r="E24" s="92"/>
      <c r="F24" s="87"/>
      <c r="G24" s="87"/>
      <c r="H24" s="87"/>
      <c r="I24" s="87"/>
      <c r="J24" s="96"/>
      <c r="K24" s="87"/>
      <c r="L24" s="87"/>
      <c r="M24" s="87"/>
      <c r="N24" s="87"/>
      <c r="O24" s="97"/>
      <c r="P24" s="97"/>
      <c r="Q24" s="97"/>
      <c r="R24" s="97"/>
    </row>
    <row r="25" spans="1:18" s="4" customFormat="1" ht="15" customHeight="1">
      <c r="A25" s="30">
        <v>12</v>
      </c>
      <c r="B25" s="9" t="s">
        <v>393</v>
      </c>
      <c r="C25" s="106">
        <v>100</v>
      </c>
      <c r="D25" s="154" t="s">
        <v>236</v>
      </c>
      <c r="E25" s="92"/>
      <c r="F25" s="87"/>
      <c r="G25" s="110"/>
      <c r="H25" s="87"/>
      <c r="I25" s="87"/>
      <c r="J25" s="96"/>
      <c r="K25" s="87"/>
      <c r="L25" s="87"/>
      <c r="M25" s="87"/>
      <c r="N25" s="87"/>
      <c r="O25" s="97"/>
      <c r="P25" s="97"/>
      <c r="Q25" s="97"/>
      <c r="R25" s="97"/>
    </row>
    <row r="26" spans="1:18" s="4" customFormat="1" ht="15" customHeight="1">
      <c r="A26" s="30">
        <v>13</v>
      </c>
      <c r="B26" s="9" t="s">
        <v>784</v>
      </c>
      <c r="C26" s="106">
        <v>100</v>
      </c>
      <c r="D26" s="154" t="s">
        <v>236</v>
      </c>
      <c r="E26" s="92"/>
      <c r="F26" s="87"/>
      <c r="G26" s="110"/>
      <c r="H26" s="87"/>
      <c r="I26" s="87"/>
      <c r="J26" s="96"/>
      <c r="K26" s="87"/>
      <c r="L26" s="87"/>
      <c r="M26" s="87"/>
      <c r="N26" s="87"/>
      <c r="O26" s="97"/>
      <c r="P26" s="97"/>
      <c r="Q26" s="97"/>
      <c r="R26" s="97"/>
    </row>
    <row r="27" spans="1:18" s="4" customFormat="1" ht="15" customHeight="1">
      <c r="A27" s="30">
        <v>14</v>
      </c>
      <c r="B27" s="9" t="s">
        <v>394</v>
      </c>
      <c r="C27" s="106">
        <v>100</v>
      </c>
      <c r="D27" s="154" t="s">
        <v>236</v>
      </c>
      <c r="E27" s="92"/>
      <c r="F27" s="87"/>
      <c r="G27" s="87"/>
      <c r="H27" s="87"/>
      <c r="I27" s="96"/>
      <c r="J27" s="87"/>
      <c r="K27" s="87"/>
      <c r="L27" s="87"/>
      <c r="M27" s="87"/>
      <c r="N27" s="87"/>
      <c r="O27" s="97"/>
      <c r="P27" s="97"/>
      <c r="Q27" s="97"/>
      <c r="R27" s="87"/>
    </row>
    <row r="28" spans="1:18" s="4" customFormat="1" ht="15" customHeight="1">
      <c r="A28" s="30">
        <v>15</v>
      </c>
      <c r="B28" s="9" t="s">
        <v>64</v>
      </c>
      <c r="C28" s="106">
        <v>100</v>
      </c>
      <c r="D28" s="154" t="s">
        <v>236</v>
      </c>
      <c r="E28" s="92"/>
      <c r="F28" s="87"/>
      <c r="G28" s="87"/>
      <c r="H28" s="87"/>
      <c r="I28" s="87"/>
      <c r="J28" s="87"/>
      <c r="K28" s="87"/>
      <c r="L28" s="87"/>
      <c r="M28" s="87"/>
      <c r="N28" s="87"/>
      <c r="O28" s="97"/>
      <c r="P28" s="97"/>
      <c r="Q28" s="97"/>
      <c r="R28" s="87"/>
    </row>
    <row r="29" spans="1:18" s="4" customFormat="1" ht="15" customHeight="1">
      <c r="A29" s="30">
        <v>16</v>
      </c>
      <c r="B29" s="9" t="s">
        <v>395</v>
      </c>
      <c r="C29" s="106">
        <v>100</v>
      </c>
      <c r="D29" s="154" t="s">
        <v>238</v>
      </c>
      <c r="E29" s="92"/>
      <c r="F29" s="87"/>
      <c r="G29" s="87"/>
      <c r="H29" s="87"/>
      <c r="I29" s="87"/>
      <c r="J29" s="87"/>
      <c r="K29" s="87"/>
      <c r="L29" s="87"/>
      <c r="M29" s="87"/>
      <c r="N29" s="87"/>
      <c r="O29" s="97"/>
      <c r="P29" s="97"/>
      <c r="Q29" s="97"/>
      <c r="R29" s="87"/>
    </row>
    <row r="30" spans="1:18" s="4" customFormat="1" ht="15" customHeight="1">
      <c r="A30" s="30">
        <v>17</v>
      </c>
      <c r="B30" s="9" t="s">
        <v>422</v>
      </c>
      <c r="C30" s="106">
        <v>100</v>
      </c>
      <c r="D30" s="154" t="s">
        <v>236</v>
      </c>
      <c r="E30" s="92"/>
      <c r="F30" s="87"/>
      <c r="G30" s="87"/>
      <c r="H30" s="87"/>
      <c r="I30" s="87"/>
      <c r="J30" s="87"/>
      <c r="K30" s="87"/>
      <c r="L30" s="87"/>
      <c r="M30" s="87"/>
      <c r="N30" s="87"/>
      <c r="O30" s="97"/>
      <c r="P30" s="97"/>
      <c r="Q30" s="97"/>
      <c r="R30" s="87"/>
    </row>
    <row r="31" spans="1:18" s="4" customFormat="1" ht="15" customHeight="1">
      <c r="A31" s="30">
        <v>18</v>
      </c>
      <c r="B31" s="9" t="s">
        <v>396</v>
      </c>
      <c r="C31" s="106">
        <v>100</v>
      </c>
      <c r="D31" s="154" t="s">
        <v>240</v>
      </c>
      <c r="E31" s="92"/>
      <c r="F31" s="87"/>
      <c r="G31" s="87"/>
      <c r="H31" s="87"/>
      <c r="I31" s="87"/>
      <c r="J31" s="87"/>
      <c r="K31" s="87"/>
      <c r="L31" s="87"/>
      <c r="M31" s="87"/>
      <c r="N31" s="87"/>
      <c r="O31" s="97"/>
      <c r="P31" s="97"/>
      <c r="Q31" s="87"/>
      <c r="R31" s="87"/>
    </row>
    <row r="32" spans="1:18" s="4" customFormat="1" ht="15" customHeight="1">
      <c r="A32" s="30">
        <v>19</v>
      </c>
      <c r="B32" s="9" t="s">
        <v>65</v>
      </c>
      <c r="C32" s="106">
        <v>100</v>
      </c>
      <c r="D32" s="154" t="s">
        <v>236</v>
      </c>
      <c r="E32" s="92"/>
      <c r="F32" s="87"/>
      <c r="G32" s="87"/>
      <c r="H32" s="87"/>
      <c r="I32" s="87"/>
      <c r="J32" s="87"/>
      <c r="K32" s="87"/>
      <c r="L32" s="97"/>
      <c r="M32" s="97"/>
      <c r="N32" s="97"/>
      <c r="O32" s="97"/>
      <c r="P32" s="97"/>
      <c r="Q32" s="87"/>
      <c r="R32" s="87"/>
    </row>
    <row r="33" spans="1:20" s="4" customFormat="1" ht="15" customHeight="1">
      <c r="A33" s="30">
        <v>20</v>
      </c>
      <c r="B33" s="9" t="s">
        <v>801</v>
      </c>
      <c r="C33" s="106">
        <v>100</v>
      </c>
      <c r="D33" s="154" t="s">
        <v>238</v>
      </c>
      <c r="E33" s="92"/>
      <c r="F33" s="87"/>
      <c r="G33" s="87"/>
      <c r="H33" s="87"/>
      <c r="I33" s="87"/>
      <c r="J33" s="87"/>
      <c r="K33" s="87"/>
      <c r="L33" s="97"/>
      <c r="M33" s="97"/>
      <c r="N33" s="97"/>
      <c r="O33" s="97"/>
      <c r="P33" s="97"/>
      <c r="Q33" s="87"/>
      <c r="R33" s="87"/>
    </row>
    <row r="34" spans="1:20" s="4" customFormat="1" ht="15" customHeight="1">
      <c r="A34" s="175">
        <v>21</v>
      </c>
      <c r="B34" s="9" t="s">
        <v>66</v>
      </c>
      <c r="C34" s="107"/>
      <c r="D34" s="154" t="s">
        <v>66</v>
      </c>
      <c r="E34" s="92"/>
      <c r="F34" s="87"/>
      <c r="G34" s="87"/>
      <c r="H34" s="87"/>
      <c r="I34" s="87"/>
      <c r="J34" s="87"/>
      <c r="K34" s="87"/>
      <c r="L34" s="97"/>
      <c r="M34" s="97"/>
      <c r="N34" s="97"/>
      <c r="O34" s="97"/>
      <c r="P34" s="97"/>
      <c r="Q34" s="87"/>
      <c r="R34" s="87"/>
    </row>
    <row r="35" spans="1:20" s="4" customFormat="1" ht="15" customHeight="1">
      <c r="A35" s="87"/>
      <c r="B35" s="87"/>
      <c r="C35" s="87"/>
      <c r="D35" s="87"/>
      <c r="E35" s="110"/>
      <c r="F35" s="87"/>
      <c r="G35" s="87"/>
      <c r="H35" s="87"/>
      <c r="I35" s="87"/>
      <c r="J35" s="87"/>
      <c r="K35" s="87"/>
      <c r="L35" s="97"/>
      <c r="M35" s="97"/>
      <c r="N35" s="97"/>
      <c r="O35" s="97"/>
      <c r="P35" s="97"/>
      <c r="Q35" s="87"/>
      <c r="R35" s="87"/>
    </row>
    <row r="36" spans="1:20" s="4" customFormat="1" ht="15" customHeight="1">
      <c r="A36" s="95" t="s">
        <v>244</v>
      </c>
      <c r="B36" s="95"/>
      <c r="C36" s="87"/>
      <c r="D36" s="87"/>
      <c r="E36" s="110"/>
      <c r="F36" s="87"/>
      <c r="G36" s="87"/>
      <c r="H36" s="87"/>
      <c r="I36" s="87"/>
      <c r="J36" s="87"/>
      <c r="K36" s="87"/>
      <c r="L36" s="97"/>
      <c r="M36" s="97"/>
      <c r="N36" s="97"/>
      <c r="O36" s="97"/>
      <c r="P36" s="97"/>
      <c r="Q36" s="87"/>
      <c r="R36" s="87"/>
    </row>
    <row r="37" spans="1:20" s="4" customFormat="1" ht="22.9" customHeight="1">
      <c r="A37" s="32" t="s">
        <v>34</v>
      </c>
      <c r="B37" s="128" t="s">
        <v>132</v>
      </c>
      <c r="C37" s="33" t="s">
        <v>108</v>
      </c>
      <c r="D37" s="8" t="s">
        <v>107</v>
      </c>
      <c r="E37" s="135" t="s">
        <v>209</v>
      </c>
      <c r="F37" s="136" t="s">
        <v>179</v>
      </c>
      <c r="G37" s="87"/>
      <c r="H37" s="87"/>
      <c r="I37" s="87"/>
      <c r="J37" s="87"/>
      <c r="K37" s="87"/>
      <c r="L37" s="97"/>
      <c r="M37" s="97"/>
      <c r="N37" s="97"/>
      <c r="O37" s="97"/>
      <c r="P37" s="97"/>
      <c r="Q37" s="87"/>
      <c r="R37" s="87"/>
    </row>
    <row r="38" spans="1:20" s="4" customFormat="1" ht="12.75" customHeight="1">
      <c r="A38" s="108" t="s">
        <v>110</v>
      </c>
      <c r="B38" s="30" t="s">
        <v>133</v>
      </c>
      <c r="C38" s="109">
        <v>1</v>
      </c>
      <c r="D38" s="9" t="s">
        <v>113</v>
      </c>
      <c r="E38" s="9"/>
      <c r="F38" s="9"/>
      <c r="G38" s="87"/>
      <c r="H38" s="87"/>
      <c r="I38" s="87"/>
      <c r="J38" s="87"/>
      <c r="K38" s="87"/>
      <c r="L38" s="97"/>
      <c r="M38" s="97"/>
      <c r="N38" s="97"/>
      <c r="O38" s="97"/>
      <c r="P38" s="97"/>
      <c r="Q38" s="87"/>
      <c r="R38" s="87"/>
    </row>
    <row r="39" spans="1:20" s="4" customFormat="1" ht="12.75" customHeight="1">
      <c r="A39" s="108" t="s">
        <v>109</v>
      </c>
      <c r="B39" s="30" t="s">
        <v>38</v>
      </c>
      <c r="C39" s="109">
        <v>1</v>
      </c>
      <c r="D39" s="9" t="s">
        <v>114</v>
      </c>
      <c r="E39" s="9"/>
      <c r="F39" s="9"/>
      <c r="G39" s="87"/>
      <c r="H39" s="87"/>
      <c r="I39" s="87"/>
      <c r="J39" s="87"/>
      <c r="K39" s="87"/>
      <c r="L39" s="97"/>
      <c r="M39" s="97"/>
      <c r="N39" s="97"/>
      <c r="O39" s="97"/>
      <c r="P39" s="97"/>
      <c r="Q39" s="87"/>
      <c r="R39" s="87"/>
    </row>
    <row r="40" spans="1:20" s="4" customFormat="1" ht="12.75" customHeight="1">
      <c r="A40" s="108" t="s">
        <v>111</v>
      </c>
      <c r="B40" s="30" t="s">
        <v>129</v>
      </c>
      <c r="C40" s="109">
        <v>1</v>
      </c>
      <c r="D40" s="9" t="s">
        <v>391</v>
      </c>
      <c r="E40" s="9"/>
      <c r="F40" s="9"/>
      <c r="G40" s="87"/>
      <c r="H40" s="87"/>
      <c r="I40" s="87"/>
      <c r="J40" s="87"/>
      <c r="K40" s="87"/>
      <c r="L40" s="97"/>
      <c r="M40" s="97"/>
      <c r="N40" s="97"/>
      <c r="O40" s="97"/>
      <c r="P40" s="97"/>
      <c r="Q40" s="87"/>
      <c r="R40" s="87"/>
    </row>
    <row r="41" spans="1:20" s="4" customFormat="1" ht="12.75" customHeight="1">
      <c r="A41" s="108" t="s">
        <v>112</v>
      </c>
      <c r="B41" s="30" t="s">
        <v>130</v>
      </c>
      <c r="C41" s="109">
        <v>1</v>
      </c>
      <c r="D41" s="9" t="s">
        <v>115</v>
      </c>
      <c r="E41" s="9"/>
      <c r="F41" s="9"/>
      <c r="G41" s="110"/>
      <c r="H41" s="87"/>
      <c r="I41" s="87"/>
      <c r="J41" s="87"/>
      <c r="K41" s="87"/>
      <c r="L41" s="87"/>
      <c r="M41" s="87"/>
      <c r="N41" s="97"/>
      <c r="O41" s="97"/>
      <c r="P41" s="97"/>
      <c r="Q41" s="97"/>
      <c r="R41" s="97"/>
      <c r="S41" s="87"/>
      <c r="T41" s="87"/>
    </row>
    <row r="42" spans="1:20" s="4" customFormat="1" ht="15" customHeight="1">
      <c r="A42" s="87"/>
      <c r="B42" s="87"/>
      <c r="C42" s="87"/>
      <c r="D42" s="87"/>
      <c r="E42" s="110"/>
      <c r="F42" s="87"/>
      <c r="G42" s="110"/>
      <c r="H42" s="87"/>
      <c r="I42" s="87"/>
      <c r="J42" s="87"/>
      <c r="K42" s="87"/>
      <c r="L42" s="87"/>
      <c r="M42" s="87"/>
      <c r="N42" s="97"/>
      <c r="O42" s="97"/>
      <c r="P42" s="97"/>
      <c r="Q42" s="97"/>
      <c r="R42" s="97"/>
      <c r="S42" s="87"/>
      <c r="T42" s="87"/>
    </row>
    <row r="43" spans="1:20" s="4" customFormat="1" ht="15" customHeight="1">
      <c r="A43" s="95" t="s">
        <v>116</v>
      </c>
      <c r="B43" s="87"/>
      <c r="C43" s="87"/>
      <c r="D43" s="97"/>
      <c r="E43" s="72"/>
      <c r="F43" s="72"/>
      <c r="G43" s="110"/>
      <c r="H43" s="87"/>
      <c r="I43" s="87"/>
      <c r="J43" s="87"/>
      <c r="K43" s="87"/>
      <c r="L43" s="87"/>
      <c r="M43" s="87"/>
      <c r="N43" s="97"/>
      <c r="O43" s="97"/>
      <c r="P43" s="97"/>
      <c r="Q43" s="97"/>
      <c r="R43" s="97"/>
      <c r="S43" s="87"/>
      <c r="T43" s="87"/>
    </row>
    <row r="44" spans="1:20" s="4" customFormat="1" ht="22.5">
      <c r="A44" s="32" t="s">
        <v>34</v>
      </c>
      <c r="B44" s="8" t="s">
        <v>117</v>
      </c>
      <c r="C44" s="33" t="s">
        <v>108</v>
      </c>
      <c r="D44" s="33" t="s">
        <v>135</v>
      </c>
      <c r="E44" s="72"/>
      <c r="F44" s="72"/>
      <c r="G44" s="110"/>
      <c r="H44" s="87"/>
      <c r="I44" s="87"/>
      <c r="J44" s="87"/>
      <c r="K44" s="87"/>
      <c r="L44" s="87"/>
      <c r="M44" s="87"/>
      <c r="N44" s="97"/>
      <c r="O44" s="97"/>
      <c r="P44" s="97"/>
      <c r="Q44" s="97"/>
      <c r="R44" s="97"/>
      <c r="S44" s="87"/>
      <c r="T44" s="87"/>
    </row>
    <row r="45" spans="1:20" s="4" customFormat="1" ht="15" customHeight="1">
      <c r="A45" s="47" t="s">
        <v>19</v>
      </c>
      <c r="B45" s="48" t="s">
        <v>29</v>
      </c>
      <c r="C45" s="109">
        <v>1</v>
      </c>
      <c r="D45" s="155">
        <v>400</v>
      </c>
      <c r="E45" s="72"/>
      <c r="F45" s="72"/>
      <c r="G45" s="110"/>
      <c r="H45" s="87"/>
      <c r="I45" s="87"/>
      <c r="J45" s="87"/>
      <c r="K45" s="87"/>
      <c r="L45" s="87"/>
      <c r="M45" s="87"/>
      <c r="N45" s="97"/>
      <c r="O45" s="97"/>
      <c r="P45" s="97"/>
      <c r="Q45" s="97"/>
      <c r="R45" s="97"/>
      <c r="S45" s="87"/>
      <c r="T45" s="87"/>
    </row>
    <row r="46" spans="1:20" s="4" customFormat="1" ht="15" customHeight="1">
      <c r="A46" s="49" t="s">
        <v>2</v>
      </c>
      <c r="B46" s="50" t="s">
        <v>1</v>
      </c>
      <c r="C46" s="109">
        <v>1</v>
      </c>
      <c r="D46" s="155">
        <v>200</v>
      </c>
      <c r="E46" s="72"/>
      <c r="F46" s="72"/>
      <c r="G46" s="87"/>
      <c r="H46" s="87"/>
      <c r="I46" s="87"/>
      <c r="J46" s="87"/>
      <c r="K46" s="87"/>
      <c r="L46" s="97"/>
      <c r="M46" s="97"/>
      <c r="N46" s="97"/>
      <c r="O46" s="97"/>
      <c r="P46" s="97"/>
      <c r="Q46" s="87"/>
      <c r="R46" s="87"/>
    </row>
    <row r="47" spans="1:20" s="72" customFormat="1" ht="11.25">
      <c r="A47" s="47" t="s">
        <v>20</v>
      </c>
      <c r="B47" s="48" t="s">
        <v>21</v>
      </c>
      <c r="C47" s="109">
        <v>1</v>
      </c>
      <c r="D47" s="155">
        <v>160</v>
      </c>
      <c r="H47" s="93"/>
      <c r="J47" s="133"/>
      <c r="K47" s="73"/>
      <c r="L47" s="73"/>
      <c r="M47" s="73"/>
      <c r="N47" s="73"/>
      <c r="O47" s="73"/>
    </row>
    <row r="48" spans="1:20" ht="11.25">
      <c r="A48" s="49" t="s">
        <v>18</v>
      </c>
      <c r="B48" s="50" t="s">
        <v>12</v>
      </c>
      <c r="C48" s="109">
        <v>1</v>
      </c>
      <c r="D48" s="155">
        <v>120</v>
      </c>
      <c r="E48" s="72"/>
      <c r="F48" s="72"/>
      <c r="G48" s="93"/>
      <c r="H48" s="72"/>
      <c r="I48" s="134"/>
      <c r="J48" s="73"/>
      <c r="K48" s="73"/>
      <c r="L48" s="73"/>
      <c r="M48" s="73"/>
      <c r="N48" s="73"/>
      <c r="O48" s="72"/>
      <c r="P48" s="72"/>
      <c r="Q48" s="72"/>
    </row>
    <row r="49" spans="1:18" ht="15" customHeight="1">
      <c r="A49" s="47" t="s">
        <v>118</v>
      </c>
      <c r="B49" s="48" t="s">
        <v>119</v>
      </c>
      <c r="C49" s="109">
        <v>1</v>
      </c>
      <c r="D49" s="155">
        <v>100</v>
      </c>
      <c r="E49" s="72"/>
      <c r="F49" s="72"/>
      <c r="G49" s="93"/>
      <c r="H49" s="72"/>
      <c r="I49" s="134"/>
      <c r="J49" s="73"/>
      <c r="K49" s="73"/>
      <c r="L49" s="73"/>
      <c r="M49" s="73"/>
      <c r="N49" s="73"/>
      <c r="O49" s="72"/>
      <c r="P49" s="72"/>
      <c r="Q49" s="72"/>
    </row>
    <row r="50" spans="1:18" ht="15" customHeight="1">
      <c r="A50" s="49" t="s">
        <v>17</v>
      </c>
      <c r="B50" s="50" t="s">
        <v>14</v>
      </c>
      <c r="C50" s="109">
        <v>1</v>
      </c>
      <c r="D50" s="155">
        <v>80</v>
      </c>
      <c r="E50" s="72"/>
      <c r="F50" s="72"/>
      <c r="G50" s="93"/>
      <c r="H50" s="72"/>
      <c r="I50" s="134"/>
      <c r="J50" s="73"/>
      <c r="K50" s="73"/>
      <c r="L50" s="73"/>
      <c r="M50" s="73"/>
      <c r="N50" s="73"/>
      <c r="O50" s="72"/>
      <c r="P50" s="72"/>
      <c r="Q50" s="72"/>
    </row>
    <row r="51" spans="1:18" ht="15" customHeight="1">
      <c r="A51" s="47" t="s">
        <v>15</v>
      </c>
      <c r="B51" s="48" t="s">
        <v>13</v>
      </c>
      <c r="C51" s="109">
        <v>1</v>
      </c>
      <c r="D51" s="155">
        <v>40</v>
      </c>
      <c r="E51" s="72"/>
      <c r="F51" s="72"/>
      <c r="G51" s="93"/>
      <c r="H51" s="72"/>
      <c r="I51" s="134"/>
      <c r="J51" s="73"/>
      <c r="K51" s="73"/>
      <c r="L51" s="73"/>
      <c r="M51" s="73"/>
      <c r="N51" s="73"/>
      <c r="O51" s="72"/>
      <c r="P51" s="72"/>
      <c r="Q51" s="72"/>
    </row>
    <row r="52" spans="1:18" ht="15" customHeight="1">
      <c r="A52" s="49" t="s">
        <v>25</v>
      </c>
      <c r="B52" s="50" t="s">
        <v>28</v>
      </c>
      <c r="C52" s="109">
        <v>1</v>
      </c>
      <c r="D52" s="155">
        <v>80</v>
      </c>
      <c r="E52" s="72"/>
      <c r="F52" s="72"/>
      <c r="G52" s="93"/>
      <c r="H52" s="72"/>
      <c r="I52" s="134"/>
      <c r="J52" s="73"/>
      <c r="K52" s="73"/>
      <c r="L52" s="73"/>
      <c r="M52" s="73"/>
      <c r="N52" s="73"/>
      <c r="O52" s="72"/>
      <c r="P52" s="72"/>
      <c r="Q52" s="72"/>
    </row>
    <row r="53" spans="1:18" ht="15" customHeight="1">
      <c r="A53" s="47" t="s">
        <v>26</v>
      </c>
      <c r="B53" s="48" t="s">
        <v>27</v>
      </c>
      <c r="C53" s="109">
        <v>1</v>
      </c>
      <c r="D53" s="155">
        <v>40</v>
      </c>
      <c r="E53" s="72"/>
      <c r="F53" s="72"/>
      <c r="G53" s="93"/>
      <c r="H53" s="72"/>
      <c r="I53" s="134"/>
      <c r="J53" s="73"/>
      <c r="K53" s="73"/>
      <c r="L53" s="73"/>
      <c r="M53" s="73"/>
      <c r="N53" s="73"/>
      <c r="O53" s="72"/>
      <c r="P53" s="72"/>
      <c r="Q53" s="72"/>
    </row>
    <row r="54" spans="1:18" ht="15" customHeight="1">
      <c r="A54" s="49" t="s">
        <v>16</v>
      </c>
      <c r="B54" s="50" t="s">
        <v>0</v>
      </c>
      <c r="C54" s="109">
        <v>1</v>
      </c>
      <c r="D54" s="155">
        <v>10</v>
      </c>
      <c r="E54" s="72"/>
      <c r="F54" s="72"/>
      <c r="G54" s="93"/>
      <c r="H54" s="72"/>
      <c r="I54" s="134"/>
      <c r="J54" s="73"/>
      <c r="K54" s="73"/>
      <c r="L54" s="73"/>
      <c r="M54" s="73"/>
      <c r="N54" s="73"/>
      <c r="O54" s="72"/>
      <c r="P54" s="72"/>
      <c r="Q54" s="72"/>
    </row>
    <row r="55" spans="1:18" ht="15" customHeight="1">
      <c r="A55" s="111"/>
      <c r="B55" s="97"/>
      <c r="C55" s="97"/>
      <c r="D55" s="97"/>
      <c r="E55" s="72"/>
      <c r="F55" s="72"/>
      <c r="G55" s="93"/>
      <c r="H55" s="72"/>
      <c r="I55" s="134"/>
      <c r="J55" s="73"/>
      <c r="K55" s="73"/>
      <c r="L55" s="73"/>
      <c r="M55" s="73"/>
      <c r="N55" s="73"/>
      <c r="O55" s="72"/>
      <c r="P55" s="72"/>
      <c r="Q55" s="72"/>
    </row>
    <row r="56" spans="1:18" ht="15" customHeight="1">
      <c r="A56" s="134"/>
      <c r="B56" s="72"/>
      <c r="C56" s="72"/>
      <c r="D56" s="92"/>
      <c r="E56" s="72"/>
      <c r="F56" s="72"/>
      <c r="G56" s="93"/>
      <c r="H56" s="72"/>
      <c r="I56" s="134"/>
      <c r="J56" s="73"/>
      <c r="K56" s="73"/>
      <c r="L56" s="73"/>
      <c r="M56" s="73"/>
      <c r="N56" s="73"/>
      <c r="O56" s="72"/>
      <c r="P56" s="72"/>
      <c r="Q56" s="72"/>
    </row>
    <row r="57" spans="1:18" ht="15" customHeight="1">
      <c r="A57" s="134"/>
      <c r="B57" s="72"/>
      <c r="C57" s="72"/>
      <c r="D57" s="92"/>
      <c r="E57" s="72"/>
      <c r="F57" s="72"/>
      <c r="G57" s="93"/>
      <c r="H57" s="72"/>
      <c r="I57" s="134"/>
      <c r="J57" s="73"/>
      <c r="K57" s="73"/>
      <c r="L57" s="73"/>
      <c r="M57" s="73"/>
      <c r="N57" s="73"/>
      <c r="O57" s="72"/>
      <c r="P57" s="72"/>
      <c r="Q57" s="72"/>
    </row>
    <row r="58" spans="1:18" ht="15" customHeight="1">
      <c r="A58" s="134"/>
      <c r="B58" s="72"/>
      <c r="C58" s="72"/>
      <c r="D58" s="92"/>
      <c r="E58" s="72"/>
      <c r="F58" s="72"/>
      <c r="G58" s="93"/>
      <c r="H58" s="72"/>
      <c r="I58" s="134"/>
      <c r="J58" s="73"/>
      <c r="K58" s="73"/>
      <c r="L58" s="73"/>
      <c r="M58" s="73"/>
      <c r="N58" s="73"/>
      <c r="O58" s="72"/>
      <c r="P58" s="72"/>
      <c r="Q58" s="72"/>
    </row>
    <row r="59" spans="1:18" ht="15" customHeight="1">
      <c r="A59" s="134"/>
      <c r="B59" s="72"/>
      <c r="C59" s="72"/>
      <c r="D59" s="92"/>
      <c r="E59" s="72"/>
      <c r="F59" s="72"/>
      <c r="G59" s="72"/>
      <c r="H59" s="93"/>
      <c r="I59" s="72"/>
      <c r="J59" s="134"/>
      <c r="K59" s="73"/>
      <c r="L59" s="73"/>
      <c r="M59" s="73"/>
      <c r="N59" s="73"/>
      <c r="O59" s="73"/>
      <c r="P59" s="72"/>
      <c r="Q59" s="72"/>
      <c r="R59" s="72"/>
    </row>
    <row r="60" spans="1:18" ht="15" customHeight="1">
      <c r="F60" s="72"/>
      <c r="G60" s="72"/>
      <c r="H60" s="93"/>
      <c r="I60" s="72"/>
      <c r="J60" s="134"/>
      <c r="K60" s="73"/>
      <c r="L60" s="73"/>
      <c r="M60" s="73"/>
      <c r="N60" s="73"/>
      <c r="O60" s="73"/>
      <c r="P60" s="72"/>
      <c r="Q60" s="72"/>
      <c r="R60" s="72"/>
    </row>
    <row r="61" spans="1:18" ht="15" customHeight="1">
      <c r="F61" s="72"/>
      <c r="G61" s="72"/>
      <c r="H61" s="93"/>
      <c r="I61" s="72"/>
      <c r="J61" s="134"/>
      <c r="K61" s="73"/>
      <c r="L61" s="73"/>
      <c r="M61" s="73"/>
      <c r="N61" s="73"/>
      <c r="O61" s="73"/>
      <c r="P61" s="72"/>
      <c r="Q61" s="72"/>
      <c r="R61" s="72"/>
    </row>
    <row r="62" spans="1:18" ht="15" customHeight="1">
      <c r="F62" s="72"/>
      <c r="G62" s="72"/>
      <c r="H62" s="93"/>
      <c r="I62" s="72"/>
      <c r="J62" s="134"/>
      <c r="K62" s="73"/>
      <c r="L62" s="73"/>
      <c r="M62" s="73"/>
      <c r="N62" s="73"/>
      <c r="O62" s="73"/>
      <c r="P62" s="72"/>
      <c r="Q62" s="72"/>
      <c r="R62" s="72"/>
    </row>
    <row r="63" spans="1:18" ht="15" customHeight="1">
      <c r="F63" s="72"/>
      <c r="G63" s="72"/>
      <c r="H63" s="93"/>
      <c r="I63" s="72"/>
      <c r="J63" s="134"/>
      <c r="K63" s="73"/>
      <c r="L63" s="73"/>
      <c r="M63" s="73"/>
      <c r="N63" s="73"/>
      <c r="O63" s="73"/>
      <c r="P63" s="72"/>
      <c r="Q63" s="72"/>
      <c r="R63" s="72"/>
    </row>
    <row r="64" spans="1:18" ht="15" customHeight="1">
      <c r="F64" s="72"/>
      <c r="G64" s="72"/>
      <c r="H64" s="93"/>
      <c r="I64" s="72"/>
      <c r="J64" s="134"/>
      <c r="K64" s="73"/>
      <c r="L64" s="73"/>
      <c r="M64" s="73"/>
      <c r="N64" s="73"/>
      <c r="O64" s="73"/>
      <c r="P64" s="72"/>
      <c r="Q64" s="72"/>
      <c r="R64" s="72"/>
    </row>
    <row r="65" spans="6:18" ht="15" customHeight="1">
      <c r="F65" s="72"/>
      <c r="G65" s="72"/>
      <c r="H65" s="93"/>
      <c r="I65" s="72"/>
      <c r="J65" s="134"/>
      <c r="K65" s="73"/>
      <c r="L65" s="73"/>
      <c r="M65" s="73"/>
      <c r="N65" s="73"/>
      <c r="O65" s="73"/>
      <c r="P65" s="72"/>
      <c r="Q65" s="72"/>
      <c r="R65" s="72"/>
    </row>
    <row r="66" spans="6:18" ht="15" customHeight="1">
      <c r="F66" s="72"/>
      <c r="G66" s="72"/>
      <c r="H66" s="93"/>
      <c r="I66" s="72"/>
      <c r="J66" s="134"/>
      <c r="K66" s="73"/>
      <c r="L66" s="73"/>
      <c r="M66" s="73"/>
      <c r="N66" s="73"/>
      <c r="O66" s="73"/>
      <c r="P66" s="72"/>
      <c r="Q66" s="72"/>
      <c r="R66" s="72"/>
    </row>
    <row r="67" spans="6:18" ht="15" customHeight="1">
      <c r="F67" s="72"/>
      <c r="G67" s="72"/>
      <c r="H67" s="93"/>
      <c r="I67" s="72"/>
      <c r="J67" s="134"/>
      <c r="K67" s="73"/>
      <c r="L67" s="73"/>
      <c r="M67" s="73"/>
      <c r="N67" s="73"/>
      <c r="O67" s="73"/>
      <c r="P67" s="72"/>
      <c r="Q67" s="72"/>
      <c r="R67" s="72"/>
    </row>
    <row r="68" spans="6:18" ht="15" customHeight="1">
      <c r="F68" s="72"/>
      <c r="G68" s="72"/>
      <c r="H68" s="93"/>
      <c r="I68" s="72"/>
      <c r="J68" s="134"/>
      <c r="K68" s="73"/>
      <c r="L68" s="73"/>
      <c r="M68" s="73"/>
      <c r="N68" s="73"/>
      <c r="O68" s="73"/>
      <c r="P68" s="72"/>
      <c r="Q68" s="72"/>
      <c r="R68" s="72"/>
    </row>
    <row r="69" spans="6:18" ht="15" customHeight="1">
      <c r="F69" s="72"/>
      <c r="G69" s="72"/>
      <c r="H69" s="93"/>
      <c r="I69" s="72"/>
      <c r="J69" s="134"/>
      <c r="K69" s="73"/>
      <c r="L69" s="73"/>
      <c r="M69" s="73"/>
      <c r="N69" s="73"/>
      <c r="O69" s="73"/>
      <c r="P69" s="72"/>
      <c r="Q69" s="72"/>
      <c r="R69" s="72"/>
    </row>
    <row r="70" spans="6:18" ht="15" customHeight="1">
      <c r="F70" s="72"/>
      <c r="G70" s="72"/>
      <c r="H70" s="93"/>
      <c r="I70" s="72"/>
      <c r="J70" s="134"/>
      <c r="K70" s="73"/>
      <c r="L70" s="73"/>
      <c r="M70" s="73"/>
      <c r="N70" s="73"/>
      <c r="O70" s="73"/>
      <c r="P70" s="72"/>
      <c r="Q70" s="72"/>
      <c r="R70" s="72"/>
    </row>
    <row r="71" spans="6:18" ht="15" customHeight="1">
      <c r="F71" s="72"/>
      <c r="G71" s="72"/>
      <c r="H71" s="93"/>
      <c r="I71" s="72"/>
      <c r="J71" s="134"/>
      <c r="K71" s="73"/>
      <c r="L71" s="73"/>
      <c r="M71" s="73"/>
      <c r="N71" s="73"/>
      <c r="O71" s="73"/>
      <c r="P71" s="72"/>
      <c r="Q71" s="72"/>
      <c r="R71" s="72"/>
    </row>
    <row r="72" spans="6:18" ht="15" customHeight="1">
      <c r="F72" s="72"/>
      <c r="G72" s="72"/>
      <c r="H72" s="93"/>
      <c r="I72" s="72"/>
      <c r="J72" s="134"/>
      <c r="K72" s="73"/>
      <c r="L72" s="73"/>
      <c r="M72" s="73"/>
      <c r="N72" s="73"/>
      <c r="O72" s="73"/>
      <c r="P72" s="72"/>
      <c r="Q72" s="72"/>
      <c r="R72" s="72"/>
    </row>
    <row r="73" spans="6:18" ht="15" customHeight="1">
      <c r="F73" s="72"/>
      <c r="G73" s="72"/>
      <c r="H73" s="93"/>
      <c r="I73" s="72"/>
      <c r="J73" s="134"/>
      <c r="K73" s="73"/>
      <c r="L73" s="73"/>
      <c r="M73" s="73"/>
      <c r="N73" s="73"/>
      <c r="O73" s="73"/>
      <c r="P73" s="72"/>
      <c r="Q73" s="72"/>
      <c r="R73" s="72"/>
    </row>
    <row r="74" spans="6:18" ht="15" customHeight="1">
      <c r="F74" s="72"/>
      <c r="G74" s="72"/>
      <c r="H74" s="93"/>
      <c r="I74" s="72"/>
      <c r="J74" s="134"/>
      <c r="K74" s="73"/>
      <c r="L74" s="73"/>
      <c r="M74" s="73"/>
      <c r="N74" s="73"/>
      <c r="O74" s="73"/>
      <c r="P74" s="72"/>
      <c r="Q74" s="72"/>
      <c r="R74" s="72"/>
    </row>
    <row r="75" spans="6:18" ht="15" customHeight="1">
      <c r="F75" s="72"/>
      <c r="G75" s="72"/>
      <c r="H75" s="93"/>
      <c r="I75" s="72"/>
      <c r="J75" s="134"/>
      <c r="K75" s="73"/>
      <c r="L75" s="73"/>
      <c r="M75" s="73"/>
      <c r="N75" s="73"/>
      <c r="O75" s="73"/>
      <c r="P75" s="72"/>
      <c r="Q75" s="72"/>
      <c r="R75" s="72"/>
    </row>
    <row r="76" spans="6:18" ht="15" customHeight="1">
      <c r="F76" s="72"/>
      <c r="G76" s="72"/>
      <c r="H76" s="93"/>
      <c r="I76" s="72"/>
      <c r="J76" s="134"/>
      <c r="K76" s="73"/>
      <c r="L76" s="73"/>
      <c r="M76" s="73"/>
      <c r="N76" s="73"/>
      <c r="O76" s="73"/>
      <c r="P76" s="72"/>
      <c r="Q76" s="72"/>
      <c r="R76" s="72"/>
    </row>
    <row r="77" spans="6:18" ht="15" customHeight="1">
      <c r="F77" s="72"/>
      <c r="G77" s="72"/>
      <c r="H77" s="93"/>
      <c r="I77" s="72"/>
      <c r="J77" s="134"/>
      <c r="K77" s="73"/>
      <c r="L77" s="73"/>
      <c r="M77" s="73"/>
      <c r="N77" s="73"/>
      <c r="O77" s="73"/>
      <c r="P77" s="72"/>
      <c r="Q77" s="72"/>
      <c r="R77" s="72"/>
    </row>
    <row r="78" spans="6:18" ht="15" customHeight="1">
      <c r="F78" s="72"/>
      <c r="G78" s="72"/>
      <c r="H78" s="93"/>
      <c r="I78" s="72"/>
      <c r="J78" s="134"/>
      <c r="K78" s="73"/>
      <c r="L78" s="73"/>
      <c r="M78" s="73"/>
      <c r="N78" s="73"/>
      <c r="O78" s="73"/>
      <c r="P78" s="72"/>
      <c r="Q78" s="72"/>
      <c r="R78" s="72"/>
    </row>
    <row r="79" spans="6:18" ht="15" customHeight="1">
      <c r="F79" s="72"/>
      <c r="G79" s="72"/>
      <c r="H79" s="93"/>
      <c r="I79" s="72"/>
      <c r="J79" s="134"/>
      <c r="K79" s="73"/>
      <c r="L79" s="73"/>
      <c r="M79" s="73"/>
      <c r="N79" s="73"/>
      <c r="O79" s="73"/>
      <c r="P79" s="72"/>
      <c r="Q79" s="72"/>
      <c r="R79" s="72"/>
    </row>
    <row r="80" spans="6:18" ht="15" customHeight="1">
      <c r="F80" s="72"/>
      <c r="G80" s="72"/>
      <c r="H80" s="93"/>
      <c r="I80" s="72"/>
      <c r="J80" s="134"/>
      <c r="K80" s="73"/>
      <c r="L80" s="73"/>
      <c r="M80" s="73"/>
      <c r="N80" s="73"/>
      <c r="O80" s="73"/>
      <c r="P80" s="72"/>
      <c r="Q80" s="72"/>
      <c r="R80" s="72"/>
    </row>
    <row r="81" spans="6:18" ht="15" customHeight="1">
      <c r="F81" s="72"/>
      <c r="G81" s="72"/>
      <c r="H81" s="93"/>
      <c r="I81" s="72"/>
      <c r="J81" s="134"/>
      <c r="K81" s="73"/>
      <c r="L81" s="73"/>
      <c r="M81" s="73"/>
      <c r="N81" s="73"/>
      <c r="O81" s="73"/>
      <c r="P81" s="72"/>
      <c r="Q81" s="72"/>
      <c r="R81" s="72"/>
    </row>
    <row r="82" spans="6:18" ht="15" customHeight="1">
      <c r="F82" s="72"/>
      <c r="G82" s="72"/>
      <c r="H82" s="93"/>
      <c r="I82" s="72"/>
      <c r="J82" s="134"/>
      <c r="K82" s="73"/>
      <c r="L82" s="73"/>
      <c r="M82" s="73"/>
      <c r="N82" s="73"/>
      <c r="O82" s="73"/>
      <c r="P82" s="72"/>
      <c r="Q82" s="72"/>
      <c r="R82" s="72"/>
    </row>
    <row r="83" spans="6:18" ht="15" customHeight="1">
      <c r="F83" s="72"/>
      <c r="G83" s="72"/>
      <c r="H83" s="93"/>
      <c r="I83" s="72"/>
      <c r="J83" s="134"/>
      <c r="K83" s="73"/>
      <c r="L83" s="73"/>
      <c r="M83" s="73"/>
      <c r="N83" s="73"/>
      <c r="O83" s="73"/>
      <c r="P83" s="72"/>
      <c r="Q83" s="72"/>
      <c r="R83" s="72"/>
    </row>
    <row r="84" spans="6:18" ht="15" customHeight="1">
      <c r="F84" s="72"/>
      <c r="G84" s="72"/>
      <c r="H84" s="93"/>
      <c r="I84" s="72"/>
      <c r="J84" s="134"/>
      <c r="K84" s="73"/>
      <c r="L84" s="73"/>
      <c r="M84" s="73"/>
      <c r="N84" s="73"/>
      <c r="O84" s="73"/>
      <c r="P84" s="72"/>
      <c r="Q84" s="72"/>
      <c r="R84" s="72"/>
    </row>
    <row r="85" spans="6:18" ht="15" customHeight="1">
      <c r="F85" s="72"/>
      <c r="G85" s="72"/>
      <c r="H85" s="93"/>
      <c r="I85" s="72"/>
      <c r="J85" s="134"/>
      <c r="K85" s="73"/>
      <c r="L85" s="73"/>
      <c r="M85" s="73"/>
      <c r="N85" s="73"/>
      <c r="O85" s="73"/>
      <c r="P85" s="72"/>
      <c r="Q85" s="72"/>
      <c r="R85" s="72"/>
    </row>
    <row r="86" spans="6:18" ht="15" customHeight="1">
      <c r="F86" s="72"/>
      <c r="G86" s="72"/>
      <c r="H86" s="93"/>
      <c r="I86" s="72"/>
      <c r="J86" s="134"/>
      <c r="K86" s="73"/>
      <c r="L86" s="73"/>
      <c r="M86" s="73"/>
      <c r="N86" s="73"/>
      <c r="O86" s="73"/>
      <c r="P86" s="72"/>
      <c r="Q86" s="72"/>
      <c r="R86" s="72"/>
    </row>
    <row r="87" spans="6:18" ht="15" customHeight="1">
      <c r="F87" s="72"/>
      <c r="G87" s="72"/>
      <c r="H87" s="93"/>
      <c r="I87" s="72"/>
      <c r="J87" s="134"/>
      <c r="K87" s="73"/>
      <c r="L87" s="73"/>
      <c r="M87" s="73"/>
      <c r="N87" s="73"/>
      <c r="O87" s="73"/>
      <c r="P87" s="72"/>
      <c r="Q87" s="72"/>
      <c r="R87" s="72"/>
    </row>
    <row r="88" spans="6:18" ht="15" customHeight="1">
      <c r="F88" s="72"/>
      <c r="G88" s="72"/>
      <c r="H88" s="93"/>
      <c r="I88" s="72"/>
      <c r="J88" s="134"/>
      <c r="K88" s="73"/>
      <c r="L88" s="73"/>
      <c r="M88" s="73"/>
      <c r="N88" s="73"/>
      <c r="O88" s="73"/>
      <c r="P88" s="72"/>
      <c r="Q88" s="72"/>
      <c r="R88" s="72"/>
    </row>
    <row r="89" spans="6:18" ht="15" customHeight="1">
      <c r="F89" s="72"/>
      <c r="G89" s="72"/>
      <c r="H89" s="93"/>
      <c r="I89" s="72"/>
      <c r="J89" s="134"/>
      <c r="K89" s="73"/>
      <c r="L89" s="73"/>
      <c r="M89" s="73"/>
      <c r="N89" s="73"/>
      <c r="O89" s="73"/>
      <c r="P89" s="72"/>
      <c r="Q89" s="72"/>
      <c r="R89" s="72"/>
    </row>
    <row r="90" spans="6:18" ht="15" customHeight="1">
      <c r="F90" s="72"/>
      <c r="G90" s="72"/>
      <c r="H90" s="93"/>
      <c r="I90" s="72"/>
      <c r="J90" s="134"/>
      <c r="K90" s="73"/>
      <c r="L90" s="73"/>
      <c r="M90" s="73"/>
      <c r="N90" s="73"/>
      <c r="O90" s="73"/>
      <c r="P90" s="72"/>
      <c r="Q90" s="72"/>
      <c r="R90" s="72"/>
    </row>
    <row r="91" spans="6:18" ht="15" customHeight="1">
      <c r="F91" s="72"/>
      <c r="G91" s="72"/>
      <c r="H91" s="93"/>
      <c r="I91" s="72"/>
      <c r="J91" s="134"/>
      <c r="K91" s="73"/>
      <c r="L91" s="73"/>
      <c r="M91" s="73"/>
      <c r="N91" s="73"/>
      <c r="O91" s="73"/>
      <c r="P91" s="72"/>
      <c r="Q91" s="72"/>
      <c r="R91" s="72"/>
    </row>
    <row r="92" spans="6:18" ht="15" customHeight="1">
      <c r="F92" s="72"/>
      <c r="G92" s="72"/>
      <c r="H92" s="93"/>
      <c r="I92" s="72"/>
      <c r="J92" s="134"/>
      <c r="K92" s="73"/>
      <c r="L92" s="73"/>
      <c r="M92" s="73"/>
      <c r="N92" s="73"/>
      <c r="O92" s="73"/>
      <c r="P92" s="72"/>
      <c r="Q92" s="72"/>
      <c r="R92" s="72"/>
    </row>
    <row r="93" spans="6:18" ht="15" customHeight="1">
      <c r="F93" s="72"/>
      <c r="G93" s="72"/>
      <c r="H93" s="93"/>
      <c r="I93" s="72"/>
      <c r="J93" s="134"/>
      <c r="K93" s="73"/>
      <c r="L93" s="73"/>
      <c r="M93" s="73"/>
      <c r="N93" s="73"/>
      <c r="O93" s="73"/>
      <c r="P93" s="72"/>
      <c r="Q93" s="72"/>
      <c r="R93" s="72"/>
    </row>
    <row r="94" spans="6:18" ht="15" customHeight="1">
      <c r="F94" s="72"/>
      <c r="G94" s="72"/>
      <c r="H94" s="93"/>
      <c r="I94" s="72"/>
      <c r="J94" s="134"/>
      <c r="K94" s="73"/>
      <c r="L94" s="73"/>
      <c r="M94" s="73"/>
      <c r="N94" s="73"/>
      <c r="O94" s="73"/>
      <c r="P94" s="72"/>
      <c r="Q94" s="72"/>
      <c r="R94" s="72"/>
    </row>
    <row r="95" spans="6:18" ht="15" customHeight="1">
      <c r="F95" s="72"/>
      <c r="G95" s="72"/>
      <c r="H95" s="93"/>
      <c r="I95" s="72"/>
      <c r="J95" s="134"/>
      <c r="K95" s="73"/>
      <c r="L95" s="73"/>
      <c r="M95" s="73"/>
      <c r="N95" s="73"/>
      <c r="O95" s="73"/>
      <c r="P95" s="72"/>
      <c r="Q95" s="72"/>
      <c r="R95" s="72"/>
    </row>
    <row r="96" spans="6:18" ht="15" customHeight="1">
      <c r="F96" s="72"/>
      <c r="G96" s="72"/>
      <c r="H96" s="93"/>
      <c r="I96" s="72"/>
      <c r="J96" s="134"/>
      <c r="K96" s="73"/>
      <c r="L96" s="73"/>
      <c r="M96" s="73"/>
      <c r="N96" s="73"/>
      <c r="O96" s="73"/>
      <c r="P96" s="72"/>
      <c r="Q96" s="72"/>
      <c r="R96" s="72"/>
    </row>
    <row r="97" spans="6:18" ht="15" customHeight="1">
      <c r="F97" s="72"/>
      <c r="G97" s="72"/>
      <c r="H97" s="93"/>
      <c r="I97" s="72"/>
      <c r="J97" s="134"/>
      <c r="K97" s="73"/>
      <c r="L97" s="73"/>
      <c r="M97" s="73"/>
      <c r="N97" s="73"/>
      <c r="O97" s="73"/>
      <c r="P97" s="72"/>
      <c r="Q97" s="72"/>
      <c r="R97" s="72"/>
    </row>
    <row r="98" spans="6:18" ht="15" customHeight="1">
      <c r="F98" s="72"/>
      <c r="G98" s="72"/>
      <c r="H98" s="93"/>
      <c r="I98" s="72"/>
      <c r="J98" s="134"/>
      <c r="K98" s="73"/>
      <c r="L98" s="73"/>
      <c r="M98" s="73"/>
      <c r="N98" s="73"/>
      <c r="O98" s="73"/>
      <c r="P98" s="72"/>
      <c r="Q98" s="72"/>
      <c r="R98" s="72"/>
    </row>
    <row r="99" spans="6:18" ht="15" customHeight="1">
      <c r="F99" s="72"/>
      <c r="G99" s="72"/>
      <c r="H99" s="93"/>
      <c r="I99" s="72"/>
      <c r="J99" s="134"/>
      <c r="K99" s="73"/>
      <c r="L99" s="73"/>
      <c r="M99" s="73"/>
      <c r="N99" s="73"/>
      <c r="O99" s="73"/>
      <c r="P99" s="72"/>
      <c r="Q99" s="72"/>
      <c r="R99" s="72"/>
    </row>
    <row r="100" spans="6:18" ht="15" customHeight="1">
      <c r="F100" s="72"/>
      <c r="G100" s="72"/>
      <c r="H100" s="93"/>
      <c r="I100" s="72"/>
      <c r="J100" s="134"/>
      <c r="K100" s="73"/>
      <c r="L100" s="73"/>
      <c r="M100" s="73"/>
      <c r="N100" s="73"/>
      <c r="O100" s="73"/>
      <c r="P100" s="72"/>
      <c r="Q100" s="72"/>
      <c r="R100" s="72"/>
    </row>
    <row r="101" spans="6:18" ht="15" customHeight="1">
      <c r="F101" s="72"/>
      <c r="G101" s="72"/>
      <c r="H101" s="93"/>
      <c r="I101" s="72"/>
      <c r="J101" s="134"/>
      <c r="K101" s="73"/>
      <c r="L101" s="73"/>
      <c r="M101" s="73"/>
      <c r="N101" s="73"/>
      <c r="O101" s="73"/>
      <c r="P101" s="72"/>
      <c r="Q101" s="72"/>
      <c r="R101" s="72"/>
    </row>
    <row r="102" spans="6:18" ht="15" customHeight="1">
      <c r="F102" s="72"/>
      <c r="G102" s="72"/>
      <c r="H102" s="93"/>
      <c r="I102" s="72"/>
      <c r="J102" s="134"/>
      <c r="K102" s="73"/>
      <c r="L102" s="73"/>
      <c r="M102" s="73"/>
      <c r="N102" s="73"/>
      <c r="O102" s="73"/>
      <c r="P102" s="72"/>
      <c r="Q102" s="72"/>
      <c r="R102" s="72"/>
    </row>
    <row r="103" spans="6:18" ht="15" customHeight="1">
      <c r="F103" s="72"/>
      <c r="G103" s="72"/>
      <c r="H103" s="93"/>
      <c r="I103" s="72"/>
      <c r="J103" s="134"/>
      <c r="K103" s="73"/>
      <c r="L103" s="73"/>
      <c r="M103" s="73"/>
      <c r="N103" s="73"/>
      <c r="O103" s="73"/>
      <c r="P103" s="72"/>
      <c r="Q103" s="72"/>
      <c r="R103" s="72"/>
    </row>
    <row r="104" spans="6:18" ht="15" customHeight="1">
      <c r="F104" s="72"/>
      <c r="G104" s="72"/>
      <c r="H104" s="93"/>
      <c r="I104" s="72"/>
      <c r="J104" s="134"/>
      <c r="K104" s="73"/>
      <c r="L104" s="73"/>
      <c r="M104" s="73"/>
      <c r="N104" s="73"/>
      <c r="O104" s="73"/>
      <c r="P104" s="72"/>
      <c r="Q104" s="72"/>
      <c r="R104" s="72"/>
    </row>
    <row r="105" spans="6:18" ht="15" customHeight="1">
      <c r="F105" s="72"/>
      <c r="G105" s="72"/>
      <c r="H105" s="93"/>
      <c r="I105" s="72"/>
      <c r="J105" s="134"/>
      <c r="K105" s="73"/>
      <c r="L105" s="73"/>
      <c r="M105" s="73"/>
      <c r="N105" s="73"/>
      <c r="O105" s="73"/>
      <c r="P105" s="72"/>
      <c r="Q105" s="72"/>
      <c r="R105" s="72"/>
    </row>
    <row r="106" spans="6:18" ht="15" customHeight="1">
      <c r="F106" s="72"/>
      <c r="G106" s="72"/>
      <c r="H106" s="93"/>
      <c r="I106" s="72"/>
      <c r="J106" s="134"/>
      <c r="K106" s="73"/>
      <c r="L106" s="73"/>
      <c r="M106" s="73"/>
      <c r="N106" s="73"/>
      <c r="O106" s="73"/>
      <c r="P106" s="72"/>
      <c r="Q106" s="72"/>
      <c r="R106" s="72"/>
    </row>
    <row r="107" spans="6:18" ht="15" customHeight="1">
      <c r="F107" s="72"/>
      <c r="G107" s="72"/>
      <c r="H107" s="93"/>
      <c r="I107" s="72"/>
      <c r="J107" s="134"/>
      <c r="K107" s="73"/>
      <c r="L107" s="73"/>
      <c r="M107" s="73"/>
      <c r="N107" s="73"/>
      <c r="O107" s="73"/>
      <c r="P107" s="72"/>
      <c r="Q107" s="72"/>
      <c r="R107" s="72"/>
    </row>
    <row r="108" spans="6:18" ht="15" customHeight="1">
      <c r="F108" s="72"/>
      <c r="G108" s="72"/>
      <c r="H108" s="93"/>
      <c r="I108" s="72"/>
      <c r="J108" s="134"/>
      <c r="K108" s="73"/>
      <c r="L108" s="73"/>
      <c r="M108" s="73"/>
      <c r="N108" s="73"/>
      <c r="O108" s="73"/>
      <c r="P108" s="72"/>
      <c r="Q108" s="72"/>
      <c r="R108" s="72"/>
    </row>
    <row r="109" spans="6:18" ht="15" customHeight="1">
      <c r="F109" s="72"/>
      <c r="G109" s="72"/>
      <c r="H109" s="93"/>
      <c r="I109" s="72"/>
      <c r="J109" s="134"/>
      <c r="K109" s="73"/>
      <c r="L109" s="73"/>
      <c r="M109" s="73"/>
      <c r="N109" s="73"/>
      <c r="O109" s="73"/>
      <c r="P109" s="72"/>
      <c r="Q109" s="72"/>
      <c r="R109" s="72"/>
    </row>
    <row r="110" spans="6:18" ht="15" customHeight="1">
      <c r="F110" s="72"/>
      <c r="G110" s="72"/>
      <c r="H110" s="93"/>
      <c r="I110" s="72"/>
      <c r="J110" s="134"/>
      <c r="K110" s="73"/>
      <c r="L110" s="73"/>
      <c r="M110" s="73"/>
      <c r="N110" s="73"/>
      <c r="O110" s="73"/>
      <c r="P110" s="72"/>
      <c r="Q110" s="72"/>
      <c r="R110" s="72"/>
    </row>
    <row r="111" spans="6:18" ht="15" customHeight="1">
      <c r="F111" s="72"/>
      <c r="G111" s="72"/>
      <c r="H111" s="93"/>
      <c r="I111" s="72"/>
      <c r="J111" s="134"/>
      <c r="K111" s="73"/>
      <c r="L111" s="73"/>
      <c r="M111" s="73"/>
      <c r="N111" s="73"/>
      <c r="O111" s="73"/>
      <c r="P111" s="72"/>
      <c r="Q111" s="72"/>
      <c r="R111" s="72"/>
    </row>
    <row r="112" spans="6:18" ht="15" customHeight="1">
      <c r="F112" s="72"/>
      <c r="G112" s="72"/>
      <c r="H112" s="93"/>
      <c r="I112" s="72"/>
      <c r="J112" s="134"/>
      <c r="K112" s="73"/>
      <c r="L112" s="73"/>
      <c r="M112" s="73"/>
      <c r="N112" s="73"/>
      <c r="O112" s="73"/>
      <c r="P112" s="72"/>
      <c r="Q112" s="72"/>
      <c r="R112" s="72"/>
    </row>
    <row r="113" spans="6:18" ht="15" customHeight="1">
      <c r="F113" s="72"/>
      <c r="G113" s="72"/>
      <c r="H113" s="93"/>
      <c r="I113" s="72"/>
      <c r="J113" s="134"/>
      <c r="K113" s="73"/>
      <c r="L113" s="73"/>
      <c r="M113" s="73"/>
      <c r="N113" s="73"/>
      <c r="O113" s="73"/>
      <c r="P113" s="72"/>
      <c r="Q113" s="72"/>
      <c r="R113" s="72"/>
    </row>
    <row r="114" spans="6:18" ht="15" customHeight="1">
      <c r="F114" s="72"/>
      <c r="G114" s="72"/>
      <c r="H114" s="93"/>
      <c r="I114" s="72"/>
      <c r="J114" s="134"/>
      <c r="K114" s="73"/>
      <c r="L114" s="73"/>
      <c r="M114" s="73"/>
      <c r="N114" s="73"/>
      <c r="O114" s="73"/>
      <c r="P114" s="72"/>
      <c r="Q114" s="72"/>
      <c r="R114" s="72"/>
    </row>
    <row r="115" spans="6:18" ht="15" customHeight="1">
      <c r="F115" s="72"/>
      <c r="G115" s="72"/>
      <c r="H115" s="93"/>
      <c r="I115" s="72"/>
      <c r="J115" s="134"/>
      <c r="K115" s="73"/>
      <c r="L115" s="73"/>
      <c r="M115" s="73"/>
      <c r="N115" s="73"/>
      <c r="O115" s="73"/>
      <c r="P115" s="72"/>
      <c r="Q115" s="72"/>
      <c r="R115" s="72"/>
    </row>
    <row r="116" spans="6:18" ht="15" customHeight="1">
      <c r="F116" s="72"/>
      <c r="G116" s="72"/>
      <c r="H116" s="93"/>
      <c r="I116" s="72"/>
      <c r="J116" s="134"/>
      <c r="K116" s="73"/>
      <c r="L116" s="73"/>
      <c r="M116" s="73"/>
      <c r="N116" s="73"/>
      <c r="O116" s="73"/>
      <c r="P116" s="72"/>
      <c r="Q116" s="72"/>
      <c r="R116" s="72"/>
    </row>
    <row r="117" spans="6:18" ht="15" customHeight="1">
      <c r="F117" s="72"/>
      <c r="G117" s="72"/>
      <c r="H117" s="93"/>
      <c r="I117" s="72"/>
      <c r="J117" s="134"/>
      <c r="K117" s="73"/>
      <c r="L117" s="73"/>
      <c r="M117" s="73"/>
      <c r="N117" s="73"/>
      <c r="O117" s="73"/>
      <c r="P117" s="72"/>
      <c r="Q117" s="72"/>
      <c r="R117" s="72"/>
    </row>
    <row r="118" spans="6:18" ht="15" customHeight="1">
      <c r="F118" s="72"/>
      <c r="G118" s="72"/>
      <c r="H118" s="93"/>
      <c r="I118" s="72"/>
      <c r="J118" s="134"/>
      <c r="K118" s="73"/>
      <c r="L118" s="73"/>
      <c r="M118" s="73"/>
      <c r="N118" s="73"/>
      <c r="O118" s="73"/>
      <c r="P118" s="72"/>
      <c r="Q118" s="72"/>
      <c r="R118" s="72"/>
    </row>
    <row r="119" spans="6:18" ht="15" customHeight="1">
      <c r="F119" s="72"/>
      <c r="G119" s="72"/>
      <c r="H119" s="93"/>
      <c r="I119" s="72"/>
      <c r="J119" s="134"/>
      <c r="K119" s="73"/>
      <c r="L119" s="73"/>
      <c r="M119" s="73"/>
      <c r="N119" s="73"/>
      <c r="O119" s="73"/>
      <c r="P119" s="72"/>
      <c r="Q119" s="72"/>
      <c r="R119" s="72"/>
    </row>
    <row r="120" spans="6:18" ht="15" customHeight="1">
      <c r="F120" s="72"/>
      <c r="G120" s="72"/>
      <c r="H120" s="93"/>
      <c r="I120" s="72"/>
      <c r="J120" s="134"/>
      <c r="K120" s="73"/>
      <c r="L120" s="73"/>
      <c r="M120" s="73"/>
      <c r="N120" s="73"/>
      <c r="O120" s="73"/>
      <c r="P120" s="72"/>
      <c r="Q120" s="72"/>
      <c r="R120" s="72"/>
    </row>
    <row r="121" spans="6:18" ht="15" customHeight="1">
      <c r="F121" s="72"/>
      <c r="G121" s="72"/>
      <c r="H121" s="93"/>
      <c r="I121" s="72"/>
      <c r="J121" s="134"/>
      <c r="K121" s="73"/>
      <c r="L121" s="73"/>
      <c r="M121" s="73"/>
      <c r="N121" s="73"/>
      <c r="O121" s="73"/>
      <c r="P121" s="72"/>
      <c r="Q121" s="72"/>
      <c r="R121" s="72"/>
    </row>
    <row r="122" spans="6:18" ht="15" customHeight="1">
      <c r="F122" s="72"/>
      <c r="G122" s="72"/>
      <c r="H122" s="93"/>
      <c r="I122" s="72"/>
      <c r="J122" s="134"/>
      <c r="K122" s="73"/>
      <c r="L122" s="73"/>
      <c r="M122" s="73"/>
      <c r="N122" s="73"/>
      <c r="O122" s="73"/>
      <c r="P122" s="72"/>
      <c r="Q122" s="72"/>
      <c r="R122" s="72"/>
    </row>
    <row r="123" spans="6:18" ht="15" customHeight="1">
      <c r="F123" s="72"/>
      <c r="G123" s="72"/>
      <c r="H123" s="93"/>
      <c r="I123" s="72"/>
      <c r="J123" s="134"/>
      <c r="K123" s="73"/>
      <c r="L123" s="73"/>
      <c r="M123" s="73"/>
      <c r="N123" s="73"/>
      <c r="O123" s="73"/>
      <c r="P123" s="72"/>
      <c r="Q123" s="72"/>
      <c r="R123" s="72"/>
    </row>
    <row r="124" spans="6:18" ht="15" customHeight="1">
      <c r="F124" s="72"/>
      <c r="G124" s="72"/>
      <c r="H124" s="93"/>
      <c r="I124" s="72"/>
      <c r="J124" s="134"/>
      <c r="K124" s="73"/>
      <c r="L124" s="73"/>
      <c r="M124" s="73"/>
      <c r="N124" s="73"/>
      <c r="O124" s="73"/>
      <c r="P124" s="72"/>
      <c r="Q124" s="72"/>
      <c r="R124" s="72"/>
    </row>
    <row r="125" spans="6:18" ht="15" customHeight="1">
      <c r="F125" s="72"/>
      <c r="G125" s="72"/>
      <c r="H125" s="93"/>
      <c r="I125" s="72"/>
      <c r="J125" s="134"/>
      <c r="K125" s="73"/>
      <c r="L125" s="73"/>
      <c r="M125" s="73"/>
      <c r="N125" s="73"/>
      <c r="O125" s="73"/>
      <c r="P125" s="72"/>
      <c r="Q125" s="72"/>
      <c r="R125" s="72"/>
    </row>
    <row r="126" spans="6:18" ht="15" customHeight="1">
      <c r="F126" s="72"/>
      <c r="G126" s="72"/>
      <c r="H126" s="93"/>
      <c r="I126" s="72"/>
      <c r="J126" s="134"/>
      <c r="K126" s="73"/>
      <c r="L126" s="73"/>
      <c r="M126" s="73"/>
      <c r="N126" s="73"/>
      <c r="O126" s="73"/>
      <c r="P126" s="72"/>
      <c r="Q126" s="72"/>
      <c r="R126" s="72"/>
    </row>
    <row r="127" spans="6:18" ht="15" customHeight="1">
      <c r="F127" s="72"/>
      <c r="G127" s="72"/>
      <c r="H127" s="93"/>
      <c r="I127" s="72"/>
      <c r="J127" s="134"/>
      <c r="K127" s="73"/>
      <c r="L127" s="73"/>
      <c r="M127" s="73"/>
      <c r="N127" s="73"/>
      <c r="O127" s="73"/>
      <c r="P127" s="72"/>
      <c r="Q127" s="72"/>
      <c r="R127" s="72"/>
    </row>
    <row r="128" spans="6:18" ht="15" customHeight="1">
      <c r="F128" s="72"/>
      <c r="G128" s="72"/>
      <c r="H128" s="93"/>
      <c r="I128" s="72"/>
      <c r="J128" s="134"/>
      <c r="K128" s="73"/>
      <c r="L128" s="73"/>
      <c r="M128" s="73"/>
      <c r="N128" s="73"/>
      <c r="O128" s="73"/>
      <c r="P128" s="72"/>
      <c r="Q128" s="72"/>
      <c r="R128" s="72"/>
    </row>
    <row r="129" spans="6:18" ht="15" customHeight="1">
      <c r="F129" s="72"/>
      <c r="G129" s="72"/>
      <c r="H129" s="93"/>
      <c r="I129" s="72"/>
      <c r="J129" s="134"/>
      <c r="K129" s="73"/>
      <c r="L129" s="73"/>
      <c r="M129" s="73"/>
      <c r="N129" s="73"/>
      <c r="O129" s="73"/>
      <c r="P129" s="72"/>
      <c r="Q129" s="72"/>
      <c r="R129" s="72"/>
    </row>
    <row r="130" spans="6:18" ht="15" customHeight="1">
      <c r="F130" s="72"/>
      <c r="G130" s="72"/>
      <c r="H130" s="93"/>
      <c r="I130" s="72"/>
      <c r="J130" s="134"/>
      <c r="K130" s="73"/>
      <c r="L130" s="73"/>
      <c r="M130" s="73"/>
      <c r="N130" s="73"/>
      <c r="O130" s="73"/>
      <c r="P130" s="72"/>
      <c r="Q130" s="72"/>
      <c r="R130" s="72"/>
    </row>
    <row r="131" spans="6:18" ht="15" customHeight="1">
      <c r="F131" s="72"/>
      <c r="G131" s="72"/>
      <c r="H131" s="93"/>
      <c r="I131" s="72"/>
      <c r="J131" s="134"/>
      <c r="K131" s="73"/>
      <c r="L131" s="73"/>
      <c r="M131" s="73"/>
      <c r="N131" s="73"/>
      <c r="O131" s="73"/>
      <c r="P131" s="72"/>
      <c r="Q131" s="72"/>
      <c r="R131" s="72"/>
    </row>
    <row r="132" spans="6:18" ht="15" customHeight="1">
      <c r="F132" s="72"/>
      <c r="G132" s="72"/>
      <c r="H132" s="93"/>
      <c r="I132" s="72"/>
      <c r="J132" s="134"/>
      <c r="K132" s="73"/>
      <c r="L132" s="73"/>
      <c r="M132" s="73"/>
      <c r="N132" s="73"/>
      <c r="O132" s="73"/>
      <c r="P132" s="72"/>
      <c r="Q132" s="72"/>
      <c r="R132" s="72"/>
    </row>
    <row r="133" spans="6:18" ht="15" customHeight="1">
      <c r="F133" s="72"/>
      <c r="G133" s="72"/>
      <c r="H133" s="93"/>
      <c r="I133" s="72"/>
      <c r="J133" s="134"/>
      <c r="K133" s="73"/>
      <c r="L133" s="73"/>
      <c r="M133" s="73"/>
      <c r="N133" s="73"/>
      <c r="O133" s="73"/>
      <c r="P133" s="72"/>
      <c r="Q133" s="72"/>
      <c r="R133" s="72"/>
    </row>
    <row r="134" spans="6:18" ht="15" customHeight="1">
      <c r="F134" s="72"/>
      <c r="G134" s="72"/>
      <c r="H134" s="93"/>
      <c r="I134" s="72"/>
      <c r="J134" s="134"/>
      <c r="K134" s="73"/>
      <c r="L134" s="73"/>
      <c r="M134" s="73"/>
      <c r="N134" s="73"/>
      <c r="O134" s="73"/>
      <c r="P134" s="72"/>
      <c r="Q134" s="72"/>
      <c r="R134" s="72"/>
    </row>
    <row r="135" spans="6:18" ht="15" customHeight="1">
      <c r="F135" s="72"/>
      <c r="G135" s="72"/>
      <c r="H135" s="93"/>
      <c r="I135" s="72"/>
      <c r="J135" s="134"/>
      <c r="K135" s="73"/>
      <c r="L135" s="73"/>
      <c r="M135" s="73"/>
      <c r="N135" s="73"/>
      <c r="O135" s="73"/>
      <c r="P135" s="72"/>
      <c r="Q135" s="72"/>
      <c r="R135" s="72"/>
    </row>
    <row r="136" spans="6:18" ht="15" customHeight="1">
      <c r="F136" s="72"/>
      <c r="G136" s="72"/>
      <c r="H136" s="93"/>
      <c r="I136" s="72"/>
      <c r="J136" s="134"/>
      <c r="K136" s="73"/>
      <c r="L136" s="73"/>
      <c r="M136" s="73"/>
      <c r="N136" s="73"/>
      <c r="O136" s="73"/>
      <c r="P136" s="72"/>
      <c r="Q136" s="72"/>
      <c r="R136" s="72"/>
    </row>
    <row r="137" spans="6:18" ht="15" customHeight="1">
      <c r="F137" s="72"/>
      <c r="G137" s="72"/>
      <c r="H137" s="93"/>
      <c r="I137" s="72"/>
      <c r="J137" s="134"/>
      <c r="K137" s="73"/>
      <c r="L137" s="73"/>
      <c r="M137" s="73"/>
      <c r="N137" s="73"/>
      <c r="O137" s="73"/>
      <c r="P137" s="72"/>
      <c r="Q137" s="72"/>
      <c r="R137" s="72"/>
    </row>
    <row r="138" spans="6:18" ht="15" customHeight="1">
      <c r="F138" s="72"/>
      <c r="G138" s="72"/>
      <c r="H138" s="93"/>
      <c r="I138" s="72"/>
      <c r="J138" s="134"/>
      <c r="K138" s="73"/>
      <c r="L138" s="73"/>
      <c r="M138" s="73"/>
      <c r="N138" s="73"/>
      <c r="O138" s="73"/>
      <c r="P138" s="72"/>
      <c r="Q138" s="72"/>
      <c r="R138" s="72"/>
    </row>
    <row r="139" spans="6:18" ht="15" customHeight="1">
      <c r="F139" s="72"/>
      <c r="G139" s="72"/>
      <c r="H139" s="93"/>
      <c r="I139" s="72"/>
      <c r="J139" s="134"/>
      <c r="K139" s="73"/>
      <c r="L139" s="73"/>
      <c r="M139" s="73"/>
      <c r="N139" s="73"/>
      <c r="O139" s="73"/>
      <c r="P139" s="72"/>
      <c r="Q139" s="72"/>
      <c r="R139" s="72"/>
    </row>
    <row r="140" spans="6:18" ht="15" customHeight="1">
      <c r="F140" s="72"/>
      <c r="G140" s="72"/>
      <c r="H140" s="93"/>
      <c r="I140" s="72"/>
      <c r="J140" s="134"/>
      <c r="K140" s="73"/>
      <c r="L140" s="73"/>
      <c r="M140" s="73"/>
      <c r="N140" s="73"/>
      <c r="O140" s="73"/>
      <c r="P140" s="72"/>
      <c r="Q140" s="72"/>
      <c r="R140" s="72"/>
    </row>
    <row r="141" spans="6:18" ht="15" customHeight="1">
      <c r="F141" s="72"/>
      <c r="G141" s="72"/>
      <c r="H141" s="93"/>
      <c r="I141" s="72"/>
      <c r="J141" s="134"/>
      <c r="K141" s="73"/>
      <c r="L141" s="73"/>
      <c r="M141" s="73"/>
      <c r="N141" s="73"/>
      <c r="O141" s="73"/>
      <c r="P141" s="72"/>
      <c r="Q141" s="72"/>
      <c r="R141" s="72"/>
    </row>
    <row r="142" spans="6:18" ht="15" customHeight="1">
      <c r="F142" s="72"/>
      <c r="G142" s="72"/>
      <c r="H142" s="93"/>
      <c r="I142" s="72"/>
      <c r="J142" s="134"/>
      <c r="K142" s="73"/>
      <c r="L142" s="73"/>
      <c r="M142" s="73"/>
      <c r="N142" s="73"/>
      <c r="O142" s="73"/>
      <c r="P142" s="72"/>
      <c r="Q142" s="72"/>
      <c r="R142" s="72"/>
    </row>
    <row r="143" spans="6:18" ht="15" customHeight="1">
      <c r="F143" s="72"/>
      <c r="G143" s="72"/>
      <c r="H143" s="93"/>
      <c r="I143" s="72"/>
      <c r="J143" s="134"/>
      <c r="K143" s="73"/>
      <c r="L143" s="73"/>
      <c r="M143" s="73"/>
      <c r="N143" s="73"/>
      <c r="O143" s="73"/>
      <c r="P143" s="72"/>
      <c r="Q143" s="72"/>
      <c r="R143" s="72"/>
    </row>
    <row r="144" spans="6:18" ht="15" customHeight="1">
      <c r="F144" s="72"/>
      <c r="G144" s="72"/>
      <c r="H144" s="93"/>
      <c r="I144" s="72"/>
      <c r="J144" s="134"/>
      <c r="K144" s="73"/>
      <c r="L144" s="73"/>
      <c r="M144" s="73"/>
      <c r="N144" s="73"/>
      <c r="O144" s="73"/>
      <c r="P144" s="72"/>
      <c r="Q144" s="72"/>
      <c r="R144" s="72"/>
    </row>
    <row r="145" spans="6:18" ht="15" customHeight="1">
      <c r="F145" s="72"/>
      <c r="G145" s="72"/>
      <c r="H145" s="93"/>
      <c r="I145" s="72"/>
      <c r="J145" s="134"/>
      <c r="K145" s="73"/>
      <c r="L145" s="73"/>
      <c r="M145" s="73"/>
      <c r="N145" s="73"/>
      <c r="O145" s="73"/>
      <c r="P145" s="72"/>
      <c r="Q145" s="72"/>
      <c r="R145" s="72"/>
    </row>
    <row r="146" spans="6:18" ht="15" customHeight="1">
      <c r="F146" s="72"/>
      <c r="G146" s="72"/>
      <c r="H146" s="93"/>
      <c r="I146" s="72"/>
      <c r="J146" s="134"/>
      <c r="K146" s="73"/>
      <c r="L146" s="73"/>
      <c r="M146" s="73"/>
      <c r="N146" s="73"/>
      <c r="O146" s="73"/>
      <c r="P146" s="72"/>
      <c r="Q146" s="72"/>
      <c r="R146" s="72"/>
    </row>
    <row r="147" spans="6:18" ht="15" customHeight="1">
      <c r="F147" s="72"/>
      <c r="G147" s="72"/>
      <c r="H147" s="93"/>
      <c r="I147" s="72"/>
      <c r="J147" s="134"/>
      <c r="K147" s="73"/>
      <c r="L147" s="73"/>
      <c r="M147" s="73"/>
      <c r="N147" s="73"/>
      <c r="O147" s="73"/>
      <c r="P147" s="72"/>
      <c r="Q147" s="72"/>
      <c r="R147" s="72"/>
    </row>
    <row r="148" spans="6:18" ht="15" customHeight="1">
      <c r="F148" s="72"/>
      <c r="G148" s="72"/>
      <c r="H148" s="93"/>
      <c r="I148" s="72"/>
      <c r="J148" s="134"/>
      <c r="K148" s="73"/>
      <c r="L148" s="73"/>
      <c r="M148" s="73"/>
      <c r="N148" s="73"/>
      <c r="O148" s="73"/>
      <c r="P148" s="72"/>
      <c r="Q148" s="72"/>
      <c r="R148" s="72"/>
    </row>
    <row r="149" spans="6:18" ht="15" customHeight="1">
      <c r="F149" s="72"/>
      <c r="G149" s="72"/>
      <c r="H149" s="93"/>
      <c r="I149" s="72"/>
      <c r="J149" s="134"/>
      <c r="K149" s="73"/>
      <c r="L149" s="73"/>
      <c r="M149" s="73"/>
      <c r="N149" s="73"/>
      <c r="O149" s="73"/>
      <c r="P149" s="72"/>
      <c r="Q149" s="72"/>
      <c r="R149" s="72"/>
    </row>
    <row r="150" spans="6:18" ht="15" customHeight="1">
      <c r="F150" s="72"/>
      <c r="G150" s="72"/>
      <c r="H150" s="93"/>
      <c r="I150" s="72"/>
      <c r="J150" s="134"/>
      <c r="K150" s="73"/>
      <c r="L150" s="73"/>
      <c r="M150" s="73"/>
      <c r="N150" s="73"/>
      <c r="O150" s="73"/>
      <c r="P150" s="72"/>
      <c r="Q150" s="72"/>
      <c r="R150" s="72"/>
    </row>
    <row r="151" spans="6:18" ht="15" customHeight="1">
      <c r="F151" s="72"/>
      <c r="G151" s="72"/>
      <c r="H151" s="93"/>
      <c r="I151" s="72"/>
      <c r="J151" s="134"/>
      <c r="K151" s="73"/>
      <c r="L151" s="73"/>
      <c r="M151" s="73"/>
      <c r="N151" s="73"/>
      <c r="O151" s="73"/>
      <c r="P151" s="72"/>
      <c r="Q151" s="72"/>
      <c r="R151" s="72"/>
    </row>
    <row r="152" spans="6:18" ht="15" customHeight="1">
      <c r="F152" s="72"/>
      <c r="G152" s="72"/>
      <c r="H152" s="93"/>
      <c r="I152" s="72"/>
      <c r="J152" s="134"/>
      <c r="K152" s="73"/>
      <c r="L152" s="73"/>
      <c r="M152" s="73"/>
      <c r="N152" s="73"/>
      <c r="O152" s="73"/>
      <c r="P152" s="72"/>
      <c r="Q152" s="72"/>
      <c r="R152" s="72"/>
    </row>
    <row r="153" spans="6:18" ht="15" customHeight="1">
      <c r="F153" s="72"/>
      <c r="G153" s="72"/>
      <c r="H153" s="93"/>
      <c r="I153" s="72"/>
      <c r="J153" s="134"/>
      <c r="K153" s="73"/>
      <c r="L153" s="73"/>
      <c r="M153" s="73"/>
      <c r="N153" s="73"/>
      <c r="O153" s="73"/>
      <c r="P153" s="72"/>
      <c r="Q153" s="72"/>
      <c r="R153" s="72"/>
    </row>
    <row r="154" spans="6:18" ht="15" customHeight="1">
      <c r="F154" s="72"/>
      <c r="G154" s="72"/>
      <c r="H154" s="93"/>
      <c r="I154" s="72"/>
      <c r="J154" s="134"/>
      <c r="K154" s="73"/>
      <c r="L154" s="73"/>
      <c r="M154" s="73"/>
      <c r="N154" s="73"/>
      <c r="O154" s="73"/>
      <c r="P154" s="72"/>
      <c r="Q154" s="72"/>
      <c r="R154" s="72"/>
    </row>
    <row r="155" spans="6:18" ht="15" customHeight="1">
      <c r="F155" s="72"/>
      <c r="G155" s="72"/>
      <c r="H155" s="93"/>
      <c r="I155" s="72"/>
      <c r="J155" s="134"/>
      <c r="K155" s="73"/>
      <c r="L155" s="73"/>
      <c r="M155" s="73"/>
      <c r="N155" s="73"/>
      <c r="O155" s="73"/>
      <c r="P155" s="72"/>
      <c r="Q155" s="72"/>
      <c r="R155" s="72"/>
    </row>
    <row r="156" spans="6:18" ht="15" customHeight="1">
      <c r="F156" s="72"/>
      <c r="G156" s="72"/>
      <c r="H156" s="93"/>
      <c r="I156" s="72"/>
      <c r="J156" s="134"/>
      <c r="K156" s="73"/>
      <c r="L156" s="73"/>
      <c r="M156" s="73"/>
      <c r="N156" s="73"/>
      <c r="O156" s="73"/>
      <c r="P156" s="72"/>
      <c r="Q156" s="72"/>
      <c r="R156" s="72"/>
    </row>
    <row r="157" spans="6:18" ht="15" customHeight="1">
      <c r="F157" s="72"/>
      <c r="G157" s="72"/>
      <c r="H157" s="93"/>
      <c r="I157" s="72"/>
      <c r="J157" s="134"/>
      <c r="K157" s="73"/>
      <c r="L157" s="73"/>
      <c r="M157" s="73"/>
      <c r="N157" s="73"/>
      <c r="O157" s="73"/>
      <c r="P157" s="72"/>
      <c r="Q157" s="72"/>
      <c r="R157" s="72"/>
    </row>
    <row r="158" spans="6:18" ht="15" customHeight="1">
      <c r="G158" s="72"/>
      <c r="H158" s="93"/>
      <c r="I158" s="72"/>
      <c r="J158" s="134"/>
      <c r="K158" s="73"/>
      <c r="L158" s="73"/>
      <c r="M158" s="73"/>
      <c r="N158" s="73"/>
      <c r="O158" s="73"/>
      <c r="P158" s="72"/>
      <c r="Q158" s="72"/>
      <c r="R158" s="72"/>
    </row>
    <row r="159" spans="6:18" ht="15" customHeight="1">
      <c r="G159" s="72"/>
      <c r="H159" s="93"/>
      <c r="I159" s="72"/>
      <c r="J159" s="134"/>
      <c r="K159" s="73"/>
      <c r="L159" s="73"/>
      <c r="M159" s="73"/>
      <c r="N159" s="73"/>
      <c r="O159" s="73"/>
      <c r="P159" s="72"/>
      <c r="Q159" s="72"/>
      <c r="R159" s="72"/>
    </row>
    <row r="160" spans="6:18" ht="15" customHeight="1">
      <c r="G160" s="72"/>
      <c r="H160" s="93"/>
      <c r="I160" s="72"/>
      <c r="J160" s="134"/>
      <c r="K160" s="73"/>
      <c r="L160" s="73"/>
      <c r="M160" s="73"/>
      <c r="N160" s="73"/>
      <c r="O160" s="73"/>
      <c r="P160" s="72"/>
      <c r="Q160" s="72"/>
      <c r="R160" s="72"/>
    </row>
    <row r="161" spans="7:18" ht="15" customHeight="1">
      <c r="G161" s="72"/>
      <c r="H161" s="93"/>
      <c r="I161" s="72"/>
      <c r="J161" s="134"/>
      <c r="K161" s="73"/>
      <c r="L161" s="73"/>
      <c r="M161" s="73"/>
      <c r="N161" s="73"/>
      <c r="O161" s="73"/>
      <c r="P161" s="72"/>
      <c r="Q161" s="72"/>
      <c r="R161" s="72"/>
    </row>
  </sheetData>
  <mergeCells count="2">
    <mergeCell ref="A2:F2"/>
    <mergeCell ref="A1:F1"/>
  </mergeCells>
  <phoneticPr fontId="6" type="noConversion"/>
  <pageMargins left="0.74803149606299213" right="0.74803149606299213" top="0.98425196850393704" bottom="0.98425196850393704" header="0.51181102362204722" footer="0.51181102362204722"/>
  <pageSetup paperSize="9" scale="59" orientation="portrait" r:id="rId1"/>
  <headerFooter alignWithMargins="0">
    <oddFooter>&amp;L&amp;F&amp;C&amp;D&amp;R&amp;A</oddFooter>
  </headerFooter>
  <tableParts count="4">
    <tablePart r:id="rId2"/>
    <tablePart r:id="rId3"/>
    <tablePart r:id="rId4"/>
    <tablePart r:id="rId5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3">
    <tabColor theme="0" tint="-0.14999847407452621"/>
  </sheetPr>
  <dimension ref="A1:HL446"/>
  <sheetViews>
    <sheetView view="pageBreakPreview" zoomScale="90" zoomScaleNormal="40" zoomScaleSheetLayoutView="90" workbookViewId="0">
      <pane ySplit="4" topLeftCell="A5" activePane="bottomLeft" state="frozen"/>
      <selection pane="bottomLeft" activeCell="B5" sqref="B5"/>
    </sheetView>
  </sheetViews>
  <sheetFormatPr defaultColWidth="10.28515625" defaultRowHeight="15" customHeight="1"/>
  <cols>
    <col min="1" max="1" width="10.5703125" style="4" bestFit="1" customWidth="1"/>
    <col min="2" max="2" width="19.7109375" style="4" bestFit="1" customWidth="1"/>
    <col min="3" max="3" width="24.5703125" style="4" customWidth="1"/>
    <col min="4" max="4" width="10.5703125" style="4" customWidth="1"/>
    <col min="5" max="5" width="11.7109375" style="4" bestFit="1" customWidth="1"/>
    <col min="6" max="6" width="14" style="21" customWidth="1"/>
    <col min="7" max="7" width="13.85546875" style="21" bestFit="1" customWidth="1"/>
    <col min="8" max="8" width="14.28515625" style="21" bestFit="1" customWidth="1"/>
    <col min="9" max="9" width="25" style="82" customWidth="1"/>
    <col min="10" max="10" width="10" style="21" customWidth="1"/>
    <col min="11" max="11" width="23.140625" style="82" bestFit="1" customWidth="1"/>
    <col min="12" max="12" width="10" style="21" customWidth="1"/>
    <col min="13" max="13" width="19.140625" style="115" customWidth="1"/>
    <col min="14" max="14" width="10.42578125" style="115" customWidth="1"/>
    <col min="15" max="15" width="13.85546875" style="116" customWidth="1"/>
    <col min="16" max="16" width="18.7109375" style="169" bestFit="1" customWidth="1"/>
    <col min="17" max="17" width="19.28515625" style="169" bestFit="1" customWidth="1"/>
    <col min="18" max="18" width="10" style="4" customWidth="1"/>
    <col min="19" max="19" width="12.42578125" style="17" customWidth="1"/>
    <col min="20" max="20" width="16.42578125" style="17" hidden="1" customWidth="1"/>
    <col min="21" max="21" width="16.42578125" style="118" hidden="1" customWidth="1"/>
    <col min="22" max="22" width="18" style="119" hidden="1" customWidth="1"/>
    <col min="23" max="23" width="16.42578125" style="234" hidden="1" customWidth="1"/>
    <col min="24" max="24" width="16.42578125" style="237" hidden="1" customWidth="1"/>
    <col min="25" max="25" width="16.42578125" style="118" hidden="1" customWidth="1"/>
    <col min="26" max="26" width="16.42578125" style="119" hidden="1" customWidth="1"/>
    <col min="27" max="27" width="16.42578125" style="117" hidden="1" customWidth="1"/>
    <col min="28" max="29" width="16.42578125" style="4" hidden="1" customWidth="1"/>
    <col min="30" max="30" width="16.42578125" style="120" hidden="1" customWidth="1"/>
    <col min="31" max="31" width="16.42578125" style="120" customWidth="1"/>
    <col min="32" max="32" width="16.42578125" style="28" customWidth="1"/>
    <col min="33" max="33" width="16.42578125" style="87" customWidth="1"/>
    <col min="34" max="219" width="10.28515625" style="87"/>
    <col min="220" max="16384" width="10.28515625" style="4"/>
  </cols>
  <sheetData>
    <row r="1" spans="1:220" ht="15" customHeight="1">
      <c r="A1" s="338" t="s">
        <v>171</v>
      </c>
      <c r="B1" s="338"/>
      <c r="C1" s="338"/>
      <c r="D1" s="338"/>
      <c r="E1" s="338"/>
      <c r="F1" s="338"/>
      <c r="G1" s="338"/>
      <c r="H1" s="338"/>
      <c r="I1" s="338"/>
      <c r="J1" s="338"/>
      <c r="K1" s="338"/>
      <c r="L1" s="338"/>
      <c r="M1" s="338"/>
      <c r="N1" s="338"/>
      <c r="O1" s="338"/>
      <c r="P1" s="338"/>
      <c r="Q1" s="338"/>
      <c r="R1" s="330"/>
      <c r="S1" s="330"/>
      <c r="T1" s="330"/>
      <c r="U1" s="330"/>
      <c r="V1" s="330"/>
      <c r="W1" s="330"/>
      <c r="X1" s="330"/>
      <c r="Y1" s="330"/>
      <c r="Z1" s="330"/>
      <c r="AA1" s="330"/>
      <c r="AB1" s="330"/>
      <c r="AC1" s="330"/>
      <c r="AD1" s="330"/>
      <c r="AE1" s="330"/>
      <c r="AF1" s="330"/>
      <c r="AG1" s="330"/>
    </row>
    <row r="2" spans="1:220" ht="15" customHeight="1">
      <c r="A2" s="87"/>
      <c r="B2" s="87"/>
      <c r="C2" s="87"/>
      <c r="D2" s="87"/>
      <c r="E2" s="87"/>
      <c r="F2" s="97"/>
      <c r="G2" s="97"/>
      <c r="H2" s="97"/>
      <c r="I2" s="131"/>
      <c r="J2" s="97"/>
      <c r="K2" s="131"/>
      <c r="L2" s="97"/>
      <c r="M2" s="112"/>
      <c r="N2" s="112"/>
      <c r="O2" s="113"/>
      <c r="P2" s="167"/>
      <c r="Q2" s="167"/>
      <c r="R2" s="87"/>
      <c r="S2" s="87"/>
      <c r="T2" s="87"/>
      <c r="U2" s="87"/>
      <c r="V2" s="87"/>
      <c r="W2" s="233"/>
      <c r="X2" s="235"/>
      <c r="Y2" s="87"/>
      <c r="Z2" s="87"/>
      <c r="AA2" s="87"/>
      <c r="AB2" s="87"/>
      <c r="AC2" s="87"/>
      <c r="AD2" s="87"/>
      <c r="AE2" s="87"/>
      <c r="AF2" s="87"/>
    </row>
    <row r="3" spans="1:220" s="87" customFormat="1" ht="15" customHeight="1">
      <c r="F3" s="97"/>
      <c r="G3" s="97"/>
      <c r="H3" s="97"/>
      <c r="I3" s="131"/>
      <c r="J3" s="97"/>
      <c r="K3" s="131"/>
      <c r="L3" s="97"/>
      <c r="M3" s="112"/>
      <c r="N3" s="112"/>
      <c r="O3" s="113"/>
      <c r="P3" s="167"/>
      <c r="Q3" s="167"/>
      <c r="S3" s="339" t="s">
        <v>249</v>
      </c>
      <c r="T3" s="340"/>
      <c r="U3" s="340"/>
      <c r="V3" s="340"/>
      <c r="W3" s="340"/>
      <c r="X3" s="341"/>
      <c r="Y3" s="342" t="s">
        <v>250</v>
      </c>
      <c r="Z3" s="343"/>
      <c r="AA3" s="343"/>
      <c r="AB3" s="343"/>
      <c r="AC3" s="343"/>
      <c r="AD3" s="344"/>
      <c r="AE3" s="345" t="s">
        <v>251</v>
      </c>
      <c r="AF3" s="346"/>
      <c r="AG3" s="347"/>
    </row>
    <row r="4" spans="1:220" s="8" customFormat="1" ht="46.5" customHeight="1">
      <c r="A4" s="129" t="s">
        <v>34</v>
      </c>
      <c r="B4" s="33" t="s">
        <v>146</v>
      </c>
      <c r="C4" s="33" t="s">
        <v>68</v>
      </c>
      <c r="D4" s="33" t="s">
        <v>67</v>
      </c>
      <c r="E4" s="33" t="s">
        <v>30</v>
      </c>
      <c r="F4" s="33" t="s">
        <v>31</v>
      </c>
      <c r="G4" s="33" t="s">
        <v>121</v>
      </c>
      <c r="H4" s="33" t="s">
        <v>429</v>
      </c>
      <c r="I4" s="83" t="s">
        <v>106</v>
      </c>
      <c r="J4" s="33" t="s">
        <v>23</v>
      </c>
      <c r="K4" s="83" t="s">
        <v>122</v>
      </c>
      <c r="L4" s="33" t="s">
        <v>123</v>
      </c>
      <c r="M4" s="33" t="s">
        <v>39</v>
      </c>
      <c r="N4" s="33" t="s">
        <v>32</v>
      </c>
      <c r="O4" s="33" t="s">
        <v>134</v>
      </c>
      <c r="P4" s="168" t="s">
        <v>69</v>
      </c>
      <c r="Q4" s="168" t="s">
        <v>258</v>
      </c>
      <c r="R4" s="33" t="s">
        <v>125</v>
      </c>
      <c r="S4" s="33" t="s">
        <v>819</v>
      </c>
      <c r="T4" s="33" t="s">
        <v>138</v>
      </c>
      <c r="U4" s="33" t="s">
        <v>139</v>
      </c>
      <c r="V4" s="33" t="s">
        <v>140</v>
      </c>
      <c r="W4" s="88" t="s">
        <v>136</v>
      </c>
      <c r="X4" s="236" t="s">
        <v>137</v>
      </c>
      <c r="Y4" s="33" t="s">
        <v>124</v>
      </c>
      <c r="Z4" s="33" t="s">
        <v>145</v>
      </c>
      <c r="AA4" s="33" t="s">
        <v>141</v>
      </c>
      <c r="AB4" s="33" t="s">
        <v>142</v>
      </c>
      <c r="AC4" s="33" t="s">
        <v>143</v>
      </c>
      <c r="AD4" s="33" t="s">
        <v>144</v>
      </c>
      <c r="AE4" s="88" t="s">
        <v>128</v>
      </c>
      <c r="AF4" s="88" t="s">
        <v>37</v>
      </c>
      <c r="AG4" s="89" t="s">
        <v>36</v>
      </c>
      <c r="AH4" s="90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91"/>
      <c r="BD4" s="91"/>
      <c r="BE4" s="91"/>
      <c r="BF4" s="91"/>
      <c r="BG4" s="91"/>
      <c r="BH4" s="91"/>
      <c r="BI4" s="91"/>
      <c r="BJ4" s="91"/>
      <c r="BK4" s="91"/>
      <c r="BL4" s="91"/>
      <c r="BM4" s="91"/>
      <c r="BN4" s="91"/>
      <c r="BO4" s="91"/>
      <c r="BP4" s="91"/>
      <c r="BQ4" s="91"/>
      <c r="BR4" s="91"/>
      <c r="BS4" s="91"/>
      <c r="BT4" s="91"/>
      <c r="BU4" s="91"/>
      <c r="BV4" s="91"/>
      <c r="BW4" s="91"/>
      <c r="BX4" s="91"/>
      <c r="BY4" s="91"/>
      <c r="BZ4" s="91"/>
      <c r="CA4" s="91"/>
      <c r="CB4" s="91"/>
      <c r="CC4" s="91"/>
      <c r="CD4" s="91"/>
      <c r="CE4" s="91"/>
      <c r="CF4" s="91"/>
      <c r="CG4" s="91"/>
      <c r="CH4" s="91"/>
      <c r="CI4" s="91"/>
      <c r="CJ4" s="91"/>
      <c r="CK4" s="91"/>
      <c r="CL4" s="91"/>
      <c r="CM4" s="91"/>
      <c r="CN4" s="91"/>
      <c r="CO4" s="91"/>
      <c r="CP4" s="91"/>
      <c r="CQ4" s="91"/>
      <c r="CR4" s="91"/>
      <c r="CS4" s="91"/>
      <c r="CT4" s="91"/>
      <c r="CU4" s="91"/>
      <c r="CV4" s="91"/>
      <c r="CW4" s="91"/>
      <c r="CX4" s="91"/>
      <c r="CY4" s="91"/>
      <c r="CZ4" s="91"/>
      <c r="DA4" s="91"/>
      <c r="DB4" s="91"/>
      <c r="DC4" s="91"/>
      <c r="DD4" s="91"/>
      <c r="DE4" s="91"/>
      <c r="DF4" s="91"/>
      <c r="DG4" s="91"/>
      <c r="DH4" s="91"/>
      <c r="DI4" s="91"/>
      <c r="DJ4" s="91"/>
      <c r="DK4" s="91"/>
      <c r="DL4" s="91"/>
      <c r="DM4" s="91"/>
      <c r="DN4" s="91"/>
      <c r="DO4" s="91"/>
      <c r="DP4" s="91"/>
      <c r="DQ4" s="91"/>
      <c r="DR4" s="91"/>
      <c r="DS4" s="91"/>
      <c r="DT4" s="91"/>
      <c r="DU4" s="91"/>
      <c r="DV4" s="91"/>
      <c r="DW4" s="91"/>
      <c r="DX4" s="91"/>
      <c r="DY4" s="91"/>
      <c r="DZ4" s="91"/>
      <c r="EA4" s="91"/>
      <c r="EB4" s="91"/>
      <c r="EC4" s="91"/>
      <c r="ED4" s="91"/>
      <c r="EE4" s="91"/>
      <c r="EF4" s="91"/>
      <c r="EG4" s="91"/>
      <c r="EH4" s="91"/>
      <c r="EI4" s="91"/>
      <c r="EJ4" s="91"/>
      <c r="EK4" s="91"/>
      <c r="EL4" s="91"/>
      <c r="EM4" s="91"/>
      <c r="EN4" s="91"/>
      <c r="EO4" s="91"/>
      <c r="EP4" s="91"/>
      <c r="EQ4" s="91"/>
      <c r="ER4" s="91"/>
      <c r="ES4" s="91"/>
      <c r="ET4" s="91"/>
      <c r="EU4" s="91"/>
      <c r="EV4" s="91"/>
      <c r="EW4" s="91"/>
      <c r="EX4" s="91"/>
      <c r="EY4" s="91"/>
      <c r="EZ4" s="91"/>
      <c r="FA4" s="91"/>
      <c r="FB4" s="91"/>
      <c r="FC4" s="91"/>
      <c r="FD4" s="91"/>
      <c r="FE4" s="91"/>
      <c r="FF4" s="91"/>
      <c r="FG4" s="91"/>
      <c r="FH4" s="91"/>
      <c r="FI4" s="91"/>
      <c r="FJ4" s="91"/>
      <c r="FK4" s="91"/>
      <c r="FL4" s="91"/>
      <c r="FM4" s="91"/>
      <c r="FN4" s="91"/>
      <c r="FO4" s="91"/>
      <c r="FP4" s="91"/>
      <c r="FQ4" s="91"/>
      <c r="FR4" s="91"/>
      <c r="FS4" s="91"/>
      <c r="FT4" s="91"/>
      <c r="FU4" s="91"/>
      <c r="FV4" s="91"/>
      <c r="FW4" s="91"/>
      <c r="FX4" s="91"/>
      <c r="FY4" s="91"/>
      <c r="FZ4" s="91"/>
      <c r="GA4" s="91"/>
      <c r="GB4" s="91"/>
      <c r="GC4" s="91"/>
      <c r="GD4" s="91"/>
      <c r="GE4" s="91"/>
      <c r="GF4" s="91"/>
      <c r="GG4" s="91"/>
      <c r="GH4" s="91"/>
      <c r="GI4" s="91"/>
      <c r="GJ4" s="91"/>
      <c r="GK4" s="91"/>
      <c r="GL4" s="91"/>
      <c r="GM4" s="91"/>
      <c r="GN4" s="91"/>
      <c r="GO4" s="91"/>
      <c r="GP4" s="91"/>
      <c r="GQ4" s="91"/>
      <c r="GR4" s="91"/>
      <c r="GS4" s="91"/>
      <c r="GT4" s="91"/>
      <c r="GU4" s="91"/>
      <c r="GV4" s="91"/>
      <c r="GW4" s="91"/>
      <c r="GX4" s="91"/>
      <c r="GY4" s="91"/>
      <c r="GZ4" s="91"/>
      <c r="HA4" s="91"/>
      <c r="HB4" s="91"/>
      <c r="HC4" s="91"/>
      <c r="HD4" s="91"/>
      <c r="HE4" s="91"/>
      <c r="HF4" s="91"/>
      <c r="HG4" s="91"/>
      <c r="HH4" s="91"/>
      <c r="HI4" s="91"/>
      <c r="HJ4" s="91"/>
      <c r="HK4" s="91"/>
      <c r="HL4" s="91"/>
    </row>
    <row r="5" spans="1:220" s="8" customFormat="1" ht="15" customHeight="1">
      <c r="A5" s="129">
        <v>1</v>
      </c>
      <c r="B5" s="21" t="str">
        <f>VLOOKUP(Ruimtestaat[[#This Row],[Code]],Locaties[#All],2,FALSE)</f>
        <v>Groenlo</v>
      </c>
      <c r="C5" s="21" t="str">
        <f>VLOOKUP(Ruimtestaat[[#This Row],[Code]],Locaties[#All],4,FALSE)</f>
        <v>Deken Hooijmanssingel 1</v>
      </c>
      <c r="D5" s="21" t="str">
        <f>VLOOKUP(Ruimtestaat[[#This Row],[Code]],Locaties[#All],5,FALSE)</f>
        <v>7141 EA</v>
      </c>
      <c r="E5" s="195" t="str">
        <f>VLOOKUP(Ruimtestaat[[#This Row],[Code]],Locaties[#All],6,FALSE)</f>
        <v>Groenlo</v>
      </c>
      <c r="F5" s="211" t="s">
        <v>774</v>
      </c>
      <c r="G5" s="211" t="s">
        <v>776</v>
      </c>
      <c r="H5" s="211">
        <v>501</v>
      </c>
      <c r="I5" s="256" t="s">
        <v>382</v>
      </c>
      <c r="J5" s="211">
        <v>7</v>
      </c>
      <c r="K5" s="256" t="str">
        <f>VLOOKUP(Ruimtestaat[[#This Row],[Ruimte code]],Ruimtegroepen[#All],2,FALSE)</f>
        <v>Entree</v>
      </c>
      <c r="L5" s="211" t="s">
        <v>109</v>
      </c>
      <c r="M5" s="195" t="s">
        <v>778</v>
      </c>
      <c r="N5" s="197">
        <v>23.32</v>
      </c>
      <c r="O5" s="211"/>
      <c r="P5" s="241" t="str">
        <f>VLOOKUP(Ruimtestaat[[#This Row],[Ruimte code]],Ruimtegroepen[#All],4,FALSE)</f>
        <v>V  (Verkeersruimte)</v>
      </c>
      <c r="Q5" s="210"/>
      <c r="R5" s="211">
        <v>40</v>
      </c>
      <c r="S5" s="211" t="s">
        <v>2</v>
      </c>
      <c r="T5" s="211">
        <f>IF(R5&gt;0,IF(RIGHT(Ruimtestaat[[#This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5" s="211">
        <f>IF(T5&gt;0,VLOOKUP($J5,Ruimtegroepen[],3,FALSE)*VLOOKUP($L5,Vloersoorten[],3,FALSE)*VLOOKUP($S5,Frequenties[],3,FALSE)*VLOOKUP($A5,Locaties[],3,FALSE),0)</f>
        <v>100</v>
      </c>
      <c r="V5" s="211">
        <f>Ruimtestaat[[#This Row],[Uitvoeringen werkdagen]]*Ruimtestaat[[#This Row],[Oppervlak (netto)]]</f>
        <v>4664</v>
      </c>
      <c r="W5" s="257">
        <f>IF(U5&gt;0,Ruimtestaat[[#This Row],[Prest. (m2 /jaar) werkdagen]]/Ruimtestaat[[#This Row],[Norm (m2/uur) werkdagen]],0)</f>
        <v>46.64</v>
      </c>
      <c r="X5" s="258">
        <f>Ruimtestaat[[#This Row],[uren / jaar werkdagen]]*Tariefsopbouw!$D$38</f>
        <v>1166</v>
      </c>
      <c r="Y5" s="33"/>
      <c r="Z5" s="33">
        <f>IF(Ruimtestaat[[#This Row],[Frequentie weekend]]&gt;0,VALUE(LEFT(Y5,1))*R5,0)</f>
        <v>0</v>
      </c>
      <c r="AA5" s="33">
        <f>IF($Z5&gt;0,VLOOKUP($J5,Ruimtegroepen[],3,FALSE)*VLOOKUP($L5,Vloersoorten[],3,FALSE)*VLOOKUP($Y5,Frequenties[],3,FALSE)*VLOOKUP(#REF!,Locaties[],3,FALSE),0)</f>
        <v>0</v>
      </c>
      <c r="AB5" s="33"/>
      <c r="AC5" s="33"/>
      <c r="AD5" s="33">
        <f>Ruimtestaat[[#This Row],[uren / jaar weekend]]*Tariefsopbouw!$D$40</f>
        <v>0</v>
      </c>
      <c r="AE5" s="88">
        <f>Ruimtestaat[[#This Row],[Prest. (m2 /jaar) weekend]]+Ruimtestaat[[#This Row],[Prest. (m2 /jaar) werkdagen]]</f>
        <v>4664</v>
      </c>
      <c r="AF5" s="88">
        <f>Ruimtestaat[[#This Row],[uren / jaar weekend]]+Ruimtestaat[[#This Row],[uren / jaar werkdagen]]</f>
        <v>46.64</v>
      </c>
      <c r="AG5" s="89">
        <f>Ruimtestaat[[#This Row],[kosten / jaar weekend]]+Ruimtestaat[[#This Row],[kosten / jaar werkdagen]]</f>
        <v>1166</v>
      </c>
      <c r="AH5" s="90"/>
      <c r="AI5" s="91"/>
      <c r="AJ5" s="91"/>
      <c r="AK5" s="91"/>
      <c r="AL5" s="91"/>
      <c r="AM5" s="91"/>
      <c r="AN5" s="91"/>
      <c r="AO5" s="91"/>
      <c r="AP5" s="91"/>
      <c r="AQ5" s="91"/>
      <c r="AR5" s="91"/>
      <c r="AS5" s="91"/>
      <c r="AT5" s="91"/>
      <c r="AU5" s="91"/>
      <c r="AV5" s="91"/>
      <c r="AW5" s="91"/>
      <c r="AX5" s="91"/>
      <c r="AY5" s="91"/>
      <c r="AZ5" s="91"/>
      <c r="BA5" s="91"/>
      <c r="BB5" s="91"/>
      <c r="BC5" s="91"/>
      <c r="BD5" s="91"/>
      <c r="BE5" s="91"/>
      <c r="BF5" s="91"/>
      <c r="BG5" s="91"/>
      <c r="BH5" s="91"/>
      <c r="BI5" s="91"/>
      <c r="BJ5" s="91"/>
      <c r="BK5" s="91"/>
      <c r="BL5" s="91"/>
      <c r="BM5" s="91"/>
      <c r="BN5" s="91"/>
      <c r="BO5" s="91"/>
      <c r="BP5" s="91"/>
      <c r="BQ5" s="91"/>
      <c r="BR5" s="91"/>
      <c r="BS5" s="91"/>
      <c r="BT5" s="91"/>
      <c r="BU5" s="91"/>
      <c r="BV5" s="91"/>
      <c r="BW5" s="91"/>
      <c r="BX5" s="91"/>
      <c r="BY5" s="91"/>
      <c r="BZ5" s="91"/>
      <c r="CA5" s="91"/>
      <c r="CB5" s="91"/>
      <c r="CC5" s="91"/>
      <c r="CD5" s="91"/>
      <c r="CE5" s="91"/>
      <c r="CF5" s="91"/>
      <c r="CG5" s="91"/>
      <c r="CH5" s="91"/>
      <c r="CI5" s="91"/>
      <c r="CJ5" s="91"/>
      <c r="CK5" s="91"/>
      <c r="CL5" s="91"/>
      <c r="CM5" s="91"/>
      <c r="CN5" s="91"/>
      <c r="CO5" s="91"/>
      <c r="CP5" s="91"/>
      <c r="CQ5" s="91"/>
      <c r="CR5" s="91"/>
      <c r="CS5" s="91"/>
      <c r="CT5" s="91"/>
      <c r="CU5" s="91"/>
      <c r="CV5" s="91"/>
      <c r="CW5" s="91"/>
      <c r="CX5" s="91"/>
      <c r="CY5" s="91"/>
      <c r="CZ5" s="91"/>
      <c r="DA5" s="91"/>
      <c r="DB5" s="91"/>
      <c r="DC5" s="91"/>
      <c r="DD5" s="91"/>
      <c r="DE5" s="91"/>
      <c r="DF5" s="91"/>
      <c r="DG5" s="91"/>
      <c r="DH5" s="91"/>
      <c r="DI5" s="91"/>
      <c r="DJ5" s="91"/>
      <c r="DK5" s="91"/>
      <c r="DL5" s="91"/>
      <c r="DM5" s="91"/>
      <c r="DN5" s="91"/>
      <c r="DO5" s="91"/>
      <c r="DP5" s="91"/>
      <c r="DQ5" s="91"/>
      <c r="DR5" s="91"/>
      <c r="DS5" s="91"/>
      <c r="DT5" s="91"/>
      <c r="DU5" s="91"/>
      <c r="DV5" s="91"/>
      <c r="DW5" s="91"/>
      <c r="DX5" s="91"/>
      <c r="DY5" s="91"/>
      <c r="DZ5" s="91"/>
      <c r="EA5" s="91"/>
      <c r="EB5" s="91"/>
      <c r="EC5" s="91"/>
      <c r="ED5" s="91"/>
      <c r="EE5" s="91"/>
      <c r="EF5" s="91"/>
      <c r="EG5" s="91"/>
      <c r="EH5" s="91"/>
      <c r="EI5" s="91"/>
      <c r="EJ5" s="91"/>
      <c r="EK5" s="91"/>
      <c r="EL5" s="91"/>
      <c r="EM5" s="91"/>
      <c r="EN5" s="91"/>
      <c r="EO5" s="91"/>
      <c r="EP5" s="91"/>
      <c r="EQ5" s="91"/>
      <c r="ER5" s="91"/>
      <c r="ES5" s="91"/>
      <c r="ET5" s="91"/>
      <c r="EU5" s="91"/>
      <c r="EV5" s="91"/>
      <c r="EW5" s="91"/>
      <c r="EX5" s="91"/>
      <c r="EY5" s="91"/>
      <c r="EZ5" s="91"/>
      <c r="FA5" s="91"/>
      <c r="FB5" s="91"/>
      <c r="FC5" s="91"/>
      <c r="FD5" s="91"/>
      <c r="FE5" s="91"/>
      <c r="FF5" s="91"/>
      <c r="FG5" s="91"/>
      <c r="FH5" s="91"/>
      <c r="FI5" s="91"/>
      <c r="FJ5" s="91"/>
      <c r="FK5" s="91"/>
      <c r="FL5" s="91"/>
      <c r="FM5" s="91"/>
      <c r="FN5" s="91"/>
      <c r="FO5" s="91"/>
      <c r="FP5" s="91"/>
      <c r="FQ5" s="91"/>
      <c r="FR5" s="91"/>
      <c r="FS5" s="91"/>
      <c r="FT5" s="91"/>
      <c r="FU5" s="91"/>
      <c r="FV5" s="91"/>
      <c r="FW5" s="91"/>
      <c r="FX5" s="91"/>
      <c r="FY5" s="91"/>
      <c r="FZ5" s="91"/>
      <c r="GA5" s="91"/>
      <c r="GB5" s="91"/>
      <c r="GC5" s="91"/>
      <c r="GD5" s="91"/>
      <c r="GE5" s="91"/>
      <c r="GF5" s="91"/>
      <c r="GG5" s="91"/>
      <c r="GH5" s="91"/>
      <c r="GI5" s="91"/>
      <c r="GJ5" s="91"/>
      <c r="GK5" s="91"/>
      <c r="GL5" s="91"/>
      <c r="GM5" s="91"/>
      <c r="GN5" s="91"/>
      <c r="GO5" s="91"/>
      <c r="GP5" s="91"/>
      <c r="GQ5" s="91"/>
      <c r="GR5" s="91"/>
      <c r="GS5" s="91"/>
      <c r="GT5" s="91"/>
      <c r="GU5" s="91"/>
      <c r="GV5" s="91"/>
      <c r="GW5" s="91"/>
      <c r="GX5" s="91"/>
      <c r="GY5" s="91"/>
      <c r="GZ5" s="91"/>
      <c r="HA5" s="91"/>
      <c r="HB5" s="91"/>
      <c r="HC5" s="91"/>
      <c r="HD5" s="91"/>
      <c r="HE5" s="91"/>
      <c r="HF5" s="91"/>
      <c r="HG5" s="91"/>
      <c r="HH5" s="91"/>
      <c r="HI5" s="91"/>
      <c r="HJ5" s="91"/>
      <c r="HK5" s="91"/>
      <c r="HL5" s="91"/>
    </row>
    <row r="6" spans="1:220" s="8" customFormat="1" ht="15" customHeight="1">
      <c r="A6" s="129">
        <v>1</v>
      </c>
      <c r="B6" s="21" t="str">
        <f>VLOOKUP(Ruimtestaat[[#This Row],[Code]],Locaties[#All],2,FALSE)</f>
        <v>Groenlo</v>
      </c>
      <c r="C6" s="21" t="str">
        <f>VLOOKUP(Ruimtestaat[[#This Row],[Code]],Locaties[#All],4,FALSE)</f>
        <v>Deken Hooijmanssingel 1</v>
      </c>
      <c r="D6" s="21" t="str">
        <f>VLOOKUP(Ruimtestaat[[#This Row],[Code]],Locaties[#All],5,FALSE)</f>
        <v>7141 EA</v>
      </c>
      <c r="E6" s="195" t="str">
        <f>VLOOKUP(Ruimtestaat[[#This Row],[Code]],Locaties[#All],6,FALSE)</f>
        <v>Groenlo</v>
      </c>
      <c r="F6" s="211" t="s">
        <v>774</v>
      </c>
      <c r="G6" s="211" t="s">
        <v>776</v>
      </c>
      <c r="H6" s="211">
        <v>502</v>
      </c>
      <c r="I6" s="256" t="s">
        <v>382</v>
      </c>
      <c r="J6" s="211">
        <v>6</v>
      </c>
      <c r="K6" s="256" t="str">
        <f>VLOOKUP(Ruimtestaat[[#This Row],[Ruimte code]],Ruimtegroepen[#All],2,FALSE)</f>
        <v>Gangen/hallen</v>
      </c>
      <c r="L6" s="211" t="s">
        <v>110</v>
      </c>
      <c r="M6" s="195" t="s">
        <v>133</v>
      </c>
      <c r="N6" s="197">
        <v>310.41000000000003</v>
      </c>
      <c r="O6" s="209"/>
      <c r="P6" s="241" t="str">
        <f>VLOOKUP(Ruimtestaat[[#This Row],[Ruimte code]],Ruimtegroepen[#All],4,FALSE)</f>
        <v>V  (Verkeersruimte)</v>
      </c>
      <c r="Q6" s="210"/>
      <c r="R6" s="211">
        <v>40</v>
      </c>
      <c r="S6" s="211" t="s">
        <v>2</v>
      </c>
      <c r="T6" s="211">
        <f>IF(R6&gt;0,IF(RIGHT(Ruimtestaat[[#This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6" s="211">
        <f>IF(T6&gt;0,VLOOKUP($J6,Ruimtegroepen[],3,FALSE)*VLOOKUP($L6,Vloersoorten[],3,FALSE)*VLOOKUP($S6,Frequenties[],3,FALSE)*VLOOKUP($A6,Locaties[],3,FALSE),0)</f>
        <v>100</v>
      </c>
      <c r="V6" s="211">
        <f>Ruimtestaat[[#This Row],[Uitvoeringen werkdagen]]*Ruimtestaat[[#This Row],[Oppervlak (netto)]]</f>
        <v>62082.000000000007</v>
      </c>
      <c r="W6" s="257">
        <f>IF(U6&gt;0,Ruimtestaat[[#This Row],[Prest. (m2 /jaar) werkdagen]]/Ruimtestaat[[#This Row],[Norm (m2/uur) werkdagen]],0)</f>
        <v>620.82000000000005</v>
      </c>
      <c r="X6" s="258">
        <f>Ruimtestaat[[#This Row],[uren / jaar werkdagen]]*Tariefsopbouw!$D$38</f>
        <v>15520.500000000002</v>
      </c>
      <c r="Y6" s="33"/>
      <c r="Z6" s="33">
        <f>IF(Ruimtestaat[[#This Row],[Frequentie weekend]]&gt;0,VALUE(LEFT(Y6,1))*R6,0)</f>
        <v>0</v>
      </c>
      <c r="AA6" s="33">
        <f>IF($Z6&gt;0,VLOOKUP($J6,Ruimtegroepen[],3,FALSE)*VLOOKUP($L6,Vloersoorten[],3,FALSE)*VLOOKUP($Y6,Frequenties[],3,FALSE)*VLOOKUP(#REF!,Locaties[],3,FALSE),0)</f>
        <v>0</v>
      </c>
      <c r="AB6" s="33"/>
      <c r="AC6" s="33"/>
      <c r="AD6" s="33">
        <f>Ruimtestaat[[#This Row],[uren / jaar weekend]]*Tariefsopbouw!$D$40</f>
        <v>0</v>
      </c>
      <c r="AE6" s="88">
        <f>Ruimtestaat[[#This Row],[Prest. (m2 /jaar) weekend]]+Ruimtestaat[[#This Row],[Prest. (m2 /jaar) werkdagen]]</f>
        <v>62082.000000000007</v>
      </c>
      <c r="AF6" s="88">
        <f>Ruimtestaat[[#This Row],[uren / jaar weekend]]+Ruimtestaat[[#This Row],[uren / jaar werkdagen]]</f>
        <v>620.82000000000005</v>
      </c>
      <c r="AG6" s="89">
        <f>Ruimtestaat[[#This Row],[kosten / jaar weekend]]+Ruimtestaat[[#This Row],[kosten / jaar werkdagen]]</f>
        <v>15520.500000000002</v>
      </c>
      <c r="AH6" s="90" t="s">
        <v>3</v>
      </c>
      <c r="AI6" s="91"/>
      <c r="AJ6" s="91"/>
      <c r="AK6" s="91"/>
      <c r="AL6" s="91"/>
      <c r="AM6" s="91"/>
      <c r="AN6" s="91"/>
      <c r="AO6" s="91"/>
      <c r="AP6" s="91"/>
      <c r="AQ6" s="91"/>
      <c r="AR6" s="91"/>
      <c r="AS6" s="91"/>
      <c r="AT6" s="91"/>
      <c r="AU6" s="91"/>
      <c r="AV6" s="91"/>
      <c r="AW6" s="91"/>
      <c r="AX6" s="91"/>
      <c r="AY6" s="91"/>
      <c r="AZ6" s="91"/>
      <c r="BA6" s="91"/>
      <c r="BB6" s="91"/>
      <c r="BC6" s="91"/>
      <c r="BD6" s="91"/>
      <c r="BE6" s="91"/>
      <c r="BF6" s="91"/>
      <c r="BG6" s="91"/>
      <c r="BH6" s="91"/>
      <c r="BI6" s="91"/>
      <c r="BJ6" s="91"/>
      <c r="BK6" s="91"/>
      <c r="BL6" s="91"/>
      <c r="BM6" s="91"/>
      <c r="BN6" s="91"/>
      <c r="BO6" s="91"/>
      <c r="BP6" s="91"/>
      <c r="BQ6" s="91"/>
      <c r="BR6" s="91"/>
      <c r="BS6" s="91"/>
      <c r="BT6" s="91"/>
      <c r="BU6" s="91"/>
      <c r="BV6" s="91"/>
      <c r="BW6" s="91"/>
      <c r="BX6" s="91"/>
      <c r="BY6" s="91"/>
      <c r="BZ6" s="91"/>
      <c r="CA6" s="91"/>
      <c r="CB6" s="91"/>
      <c r="CC6" s="91"/>
      <c r="CD6" s="91"/>
      <c r="CE6" s="91"/>
      <c r="CF6" s="91"/>
      <c r="CG6" s="91"/>
      <c r="CH6" s="91"/>
      <c r="CI6" s="91"/>
      <c r="CJ6" s="91"/>
      <c r="CK6" s="91"/>
      <c r="CL6" s="91"/>
      <c r="CM6" s="91"/>
      <c r="CN6" s="91"/>
      <c r="CO6" s="91"/>
      <c r="CP6" s="91"/>
      <c r="CQ6" s="91"/>
      <c r="CR6" s="91"/>
      <c r="CS6" s="91"/>
      <c r="CT6" s="91"/>
      <c r="CU6" s="91"/>
      <c r="CV6" s="91"/>
      <c r="CW6" s="91"/>
      <c r="CX6" s="91"/>
      <c r="CY6" s="91"/>
      <c r="CZ6" s="91"/>
      <c r="DA6" s="91"/>
      <c r="DB6" s="91"/>
      <c r="DC6" s="91"/>
      <c r="DD6" s="91"/>
      <c r="DE6" s="91"/>
      <c r="DF6" s="91"/>
      <c r="DG6" s="91"/>
      <c r="DH6" s="91"/>
      <c r="DI6" s="91"/>
      <c r="DJ6" s="91"/>
      <c r="DK6" s="91"/>
      <c r="DL6" s="91"/>
      <c r="DM6" s="91"/>
      <c r="DN6" s="91"/>
      <c r="DO6" s="91"/>
      <c r="DP6" s="91"/>
      <c r="DQ6" s="91"/>
      <c r="DR6" s="91"/>
      <c r="DS6" s="91"/>
      <c r="DT6" s="91"/>
      <c r="DU6" s="91"/>
      <c r="DV6" s="91"/>
      <c r="DW6" s="91"/>
      <c r="DX6" s="91"/>
      <c r="DY6" s="91"/>
      <c r="DZ6" s="91"/>
      <c r="EA6" s="91"/>
      <c r="EB6" s="91"/>
      <c r="EC6" s="91"/>
      <c r="ED6" s="91"/>
      <c r="EE6" s="91"/>
      <c r="EF6" s="91"/>
      <c r="EG6" s="91"/>
      <c r="EH6" s="91"/>
      <c r="EI6" s="91"/>
      <c r="EJ6" s="91"/>
      <c r="EK6" s="91"/>
      <c r="EL6" s="91"/>
      <c r="EM6" s="91"/>
      <c r="EN6" s="91"/>
      <c r="EO6" s="91"/>
      <c r="EP6" s="91"/>
      <c r="EQ6" s="91"/>
      <c r="ER6" s="91"/>
      <c r="ES6" s="91"/>
      <c r="ET6" s="91"/>
      <c r="EU6" s="91"/>
      <c r="EV6" s="91"/>
      <c r="EW6" s="91"/>
      <c r="EX6" s="91"/>
      <c r="EY6" s="91"/>
      <c r="EZ6" s="91"/>
      <c r="FA6" s="91"/>
      <c r="FB6" s="91"/>
      <c r="FC6" s="91"/>
      <c r="FD6" s="91"/>
      <c r="FE6" s="91"/>
      <c r="FF6" s="91"/>
      <c r="FG6" s="91"/>
      <c r="FH6" s="91"/>
      <c r="FI6" s="91"/>
      <c r="FJ6" s="91"/>
      <c r="FK6" s="91"/>
      <c r="FL6" s="91"/>
      <c r="FM6" s="91"/>
      <c r="FN6" s="91"/>
      <c r="FO6" s="91"/>
      <c r="FP6" s="91"/>
      <c r="FQ6" s="91"/>
      <c r="FR6" s="91"/>
      <c r="FS6" s="91"/>
      <c r="FT6" s="91"/>
      <c r="FU6" s="91"/>
      <c r="FV6" s="91"/>
      <c r="FW6" s="91"/>
      <c r="FX6" s="91"/>
      <c r="FY6" s="91"/>
      <c r="FZ6" s="91"/>
      <c r="GA6" s="91"/>
      <c r="GB6" s="91"/>
      <c r="GC6" s="91"/>
      <c r="GD6" s="91"/>
      <c r="GE6" s="91"/>
      <c r="GF6" s="91"/>
      <c r="GG6" s="91"/>
      <c r="GH6" s="91"/>
      <c r="GI6" s="91"/>
      <c r="GJ6" s="91"/>
      <c r="GK6" s="91"/>
      <c r="GL6" s="91"/>
      <c r="GM6" s="91"/>
      <c r="GN6" s="91"/>
      <c r="GO6" s="91"/>
      <c r="GP6" s="91"/>
      <c r="GQ6" s="91"/>
      <c r="GR6" s="91"/>
      <c r="GS6" s="91"/>
      <c r="GT6" s="91"/>
      <c r="GU6" s="91"/>
      <c r="GV6" s="91"/>
      <c r="GW6" s="91"/>
      <c r="GX6" s="91"/>
      <c r="GY6" s="91"/>
      <c r="GZ6" s="91"/>
      <c r="HA6" s="91"/>
      <c r="HB6" s="91"/>
      <c r="HC6" s="91"/>
      <c r="HD6" s="91"/>
      <c r="HE6" s="91"/>
      <c r="HF6" s="91"/>
      <c r="HG6" s="91"/>
      <c r="HH6" s="91"/>
      <c r="HI6" s="91"/>
      <c r="HJ6" s="91"/>
      <c r="HK6" s="91"/>
      <c r="HL6" s="91"/>
    </row>
    <row r="7" spans="1:220" ht="15" customHeight="1">
      <c r="A7" s="129">
        <v>1</v>
      </c>
      <c r="B7" s="21" t="str">
        <f>VLOOKUP(Ruimtestaat[[#This Row],[Code]],Locaties[#All],2,FALSE)</f>
        <v>Groenlo</v>
      </c>
      <c r="C7" s="21" t="str">
        <f>VLOOKUP(Ruimtestaat[[#This Row],[Code]],Locaties[#All],4,FALSE)</f>
        <v>Deken Hooijmanssingel 1</v>
      </c>
      <c r="D7" s="21" t="str">
        <f>VLOOKUP(Ruimtestaat[[#This Row],[Code]],Locaties[#All],5,FALSE)</f>
        <v>7141 EA</v>
      </c>
      <c r="E7" s="195" t="str">
        <f>VLOOKUP(Ruimtestaat[[#This Row],[Code]],Locaties[#All],6,FALSE)</f>
        <v>Groenlo</v>
      </c>
      <c r="F7" s="195" t="s">
        <v>774</v>
      </c>
      <c r="G7" s="211" t="s">
        <v>776</v>
      </c>
      <c r="H7" s="195">
        <v>503</v>
      </c>
      <c r="I7" s="242" t="s">
        <v>382</v>
      </c>
      <c r="J7" s="195">
        <v>10</v>
      </c>
      <c r="K7" s="242" t="str">
        <f>VLOOKUP(Ruimtestaat[[#This Row],[Ruimte code]],Ruimtegroepen[#All],2,FALSE)</f>
        <v>Trappenhuizen/lift</v>
      </c>
      <c r="L7" s="211" t="s">
        <v>110</v>
      </c>
      <c r="M7" s="195" t="s">
        <v>133</v>
      </c>
      <c r="N7" s="197">
        <v>12</v>
      </c>
      <c r="O7" s="209"/>
      <c r="P7" s="241" t="str">
        <f>VLOOKUP(Ruimtestaat[[#This Row],[Ruimte code]],Ruimtegroepen[#All],4,FALSE)</f>
        <v>V  (Verkeersruimte)</v>
      </c>
      <c r="Q7" s="210"/>
      <c r="R7" s="211">
        <v>40</v>
      </c>
      <c r="S7" s="211" t="s">
        <v>18</v>
      </c>
      <c r="T7" s="211">
        <f>IF(R7&gt;0,IF(RIGHT(Ruimtestaat[[#This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U7" s="211">
        <f>IF(T7&gt;0,VLOOKUP($J7,Ruimtegroepen[],3,FALSE)*VLOOKUP($L7,Vloersoorten[],3,FALSE)*VLOOKUP($S7,Frequenties[],3,FALSE)*VLOOKUP($A7,Locaties[],3,FALSE),0)</f>
        <v>100</v>
      </c>
      <c r="V7" s="211">
        <f>Ruimtestaat[[#This Row],[Uitvoeringen werkdagen]]*Ruimtestaat[[#This Row],[Oppervlak (netto)]]</f>
        <v>1440</v>
      </c>
      <c r="W7" s="257">
        <f>IF(U7&gt;0,Ruimtestaat[[#This Row],[Prest. (m2 /jaar) werkdagen]]/Ruimtestaat[[#This Row],[Norm (m2/uur) werkdagen]],0)</f>
        <v>14.4</v>
      </c>
      <c r="X7" s="258">
        <f>Ruimtestaat[[#This Row],[uren / jaar werkdagen]]*Tariefsopbouw!$D$38</f>
        <v>360</v>
      </c>
      <c r="Y7" s="33"/>
      <c r="Z7" s="33">
        <f>IF(Ruimtestaat[[#This Row],[Frequentie weekend]]&gt;0,VALUE(LEFT(Y7,1))*R7,0)</f>
        <v>0</v>
      </c>
      <c r="AA7" s="33">
        <f>IF($Z7&gt;0,VLOOKUP($J7,Ruimtegroepen[],3,FALSE)*VLOOKUP($L7,Vloersoorten[],3,FALSE)*VLOOKUP($Y7,Frequenties[],3,FALSE)*VLOOKUP(#REF!,Locaties[],3,FALSE),0)</f>
        <v>0</v>
      </c>
      <c r="AB7" s="33"/>
      <c r="AC7" s="33"/>
      <c r="AD7" s="33">
        <f>Ruimtestaat[[#This Row],[uren / jaar weekend]]*Tariefsopbouw!$D$40</f>
        <v>0</v>
      </c>
      <c r="AE7" s="88">
        <f>Ruimtestaat[[#This Row],[Prest. (m2 /jaar) weekend]]+Ruimtestaat[[#This Row],[Prest. (m2 /jaar) werkdagen]]</f>
        <v>1440</v>
      </c>
      <c r="AF7" s="88">
        <f>Ruimtestaat[[#This Row],[uren / jaar weekend]]+Ruimtestaat[[#This Row],[uren / jaar werkdagen]]</f>
        <v>14.4</v>
      </c>
      <c r="AG7" s="89">
        <f>Ruimtestaat[[#This Row],[kosten / jaar weekend]]+Ruimtestaat[[#This Row],[kosten / jaar werkdagen]]</f>
        <v>360</v>
      </c>
      <c r="AH7" s="114"/>
      <c r="HL7" s="87"/>
    </row>
    <row r="8" spans="1:220" ht="15" customHeight="1">
      <c r="A8" s="129">
        <v>1</v>
      </c>
      <c r="B8" s="21" t="str">
        <f>VLOOKUP(Ruimtestaat[[#This Row],[Code]],Locaties[#All],2,FALSE)</f>
        <v>Groenlo</v>
      </c>
      <c r="C8" s="21" t="str">
        <f>VLOOKUP(Ruimtestaat[[#This Row],[Code]],Locaties[#All],4,FALSE)</f>
        <v>Deken Hooijmanssingel 1</v>
      </c>
      <c r="D8" s="21" t="str">
        <f>VLOOKUP(Ruimtestaat[[#This Row],[Code]],Locaties[#All],5,FALSE)</f>
        <v>7141 EA</v>
      </c>
      <c r="E8" s="195" t="str">
        <f>VLOOKUP(Ruimtestaat[[#This Row],[Code]],Locaties[#All],6,FALSE)</f>
        <v>Groenlo</v>
      </c>
      <c r="F8" s="195" t="s">
        <v>774</v>
      </c>
      <c r="G8" s="211" t="s">
        <v>776</v>
      </c>
      <c r="H8" s="195">
        <v>504</v>
      </c>
      <c r="I8" s="242" t="s">
        <v>22</v>
      </c>
      <c r="J8" s="195">
        <v>5</v>
      </c>
      <c r="K8" s="242" t="str">
        <f>VLOOKUP(Ruimtestaat[[#This Row],[Ruimte code]],Ruimtegroepen[#All],2,FALSE)</f>
        <v>Sanitair</v>
      </c>
      <c r="L8" s="211" t="s">
        <v>111</v>
      </c>
      <c r="M8" s="195" t="s">
        <v>777</v>
      </c>
      <c r="N8" s="197">
        <v>28.55</v>
      </c>
      <c r="O8" s="209"/>
      <c r="P8" s="241" t="str">
        <f>VLOOKUP(Ruimtestaat[[#This Row],[Ruimte code]],Ruimtegroepen[#All],4,FALSE)</f>
        <v>S  (Sanitair)</v>
      </c>
      <c r="Q8" s="210"/>
      <c r="R8" s="211">
        <v>40</v>
      </c>
      <c r="S8" s="211" t="s">
        <v>2</v>
      </c>
      <c r="T8" s="211">
        <f>IF(R8&gt;0,IF(RIGHT(Ruimtestaat[[#This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8" s="211">
        <f>IF(T8&gt;0,VLOOKUP($J8,Ruimtegroepen[],3,FALSE)*VLOOKUP($L8,Vloersoorten[],3,FALSE)*VLOOKUP($S8,Frequenties[],3,FALSE)*VLOOKUP($A8,Locaties[],3,FALSE),0)</f>
        <v>100</v>
      </c>
      <c r="V8" s="211">
        <f>Ruimtestaat[[#This Row],[Uitvoeringen werkdagen]]*Ruimtestaat[[#This Row],[Oppervlak (netto)]]</f>
        <v>5710</v>
      </c>
      <c r="W8" s="257">
        <f>IF(U8&gt;0,Ruimtestaat[[#This Row],[Prest. (m2 /jaar) werkdagen]]/Ruimtestaat[[#This Row],[Norm (m2/uur) werkdagen]],0)</f>
        <v>57.1</v>
      </c>
      <c r="X8" s="258">
        <f>Ruimtestaat[[#This Row],[uren / jaar werkdagen]]*Tariefsopbouw!$D$38</f>
        <v>1427.5</v>
      </c>
      <c r="Y8" s="33"/>
      <c r="Z8" s="33">
        <f>IF(Ruimtestaat[[#This Row],[Frequentie weekend]]&gt;0,VALUE(LEFT(Y8,1))*R8,0)</f>
        <v>0</v>
      </c>
      <c r="AA8" s="33">
        <f>IF($Z8&gt;0,VLOOKUP($J8,Ruimtegroepen[],3,FALSE)*VLOOKUP($L8,Vloersoorten[],3,FALSE)*VLOOKUP($Y8,Frequenties[],3,FALSE)*VLOOKUP(#REF!,Locaties[],3,FALSE),0)</f>
        <v>0</v>
      </c>
      <c r="AB8" s="33"/>
      <c r="AC8" s="33"/>
      <c r="AD8" s="33">
        <f>Ruimtestaat[[#This Row],[uren / jaar weekend]]*Tariefsopbouw!$D$40</f>
        <v>0</v>
      </c>
      <c r="AE8" s="88">
        <f>Ruimtestaat[[#This Row],[Prest. (m2 /jaar) weekend]]+Ruimtestaat[[#This Row],[Prest. (m2 /jaar) werkdagen]]</f>
        <v>5710</v>
      </c>
      <c r="AF8" s="88">
        <f>Ruimtestaat[[#This Row],[uren / jaar weekend]]+Ruimtestaat[[#This Row],[uren / jaar werkdagen]]</f>
        <v>57.1</v>
      </c>
      <c r="AG8" s="89">
        <f>Ruimtestaat[[#This Row],[kosten / jaar weekend]]+Ruimtestaat[[#This Row],[kosten / jaar werkdagen]]</f>
        <v>1427.5</v>
      </c>
      <c r="AH8" s="114"/>
      <c r="HL8" s="87"/>
    </row>
    <row r="9" spans="1:220" ht="15" customHeight="1">
      <c r="A9" s="129">
        <v>1</v>
      </c>
      <c r="B9" s="21" t="str">
        <f>VLOOKUP(Ruimtestaat[[#This Row],[Code]],Locaties[#All],2,FALSE)</f>
        <v>Groenlo</v>
      </c>
      <c r="C9" s="21" t="str">
        <f>VLOOKUP(Ruimtestaat[[#This Row],[Code]],Locaties[#All],4,FALSE)</f>
        <v>Deken Hooijmanssingel 1</v>
      </c>
      <c r="D9" s="21" t="str">
        <f>VLOOKUP(Ruimtestaat[[#This Row],[Code]],Locaties[#All],5,FALSE)</f>
        <v>7141 EA</v>
      </c>
      <c r="E9" s="195" t="str">
        <f>VLOOKUP(Ruimtestaat[[#This Row],[Code]],Locaties[#All],6,FALSE)</f>
        <v>Groenlo</v>
      </c>
      <c r="F9" s="195" t="s">
        <v>774</v>
      </c>
      <c r="G9" s="211" t="s">
        <v>776</v>
      </c>
      <c r="H9" s="195">
        <v>505</v>
      </c>
      <c r="I9" s="242" t="s">
        <v>22</v>
      </c>
      <c r="J9" s="195">
        <v>5</v>
      </c>
      <c r="K9" s="242" t="str">
        <f>VLOOKUP(Ruimtestaat[[#This Row],[Ruimte code]],Ruimtegroepen[#All],2,FALSE)</f>
        <v>Sanitair</v>
      </c>
      <c r="L9" s="211" t="s">
        <v>111</v>
      </c>
      <c r="M9" s="195" t="s">
        <v>777</v>
      </c>
      <c r="N9" s="197">
        <v>28.55</v>
      </c>
      <c r="O9" s="209"/>
      <c r="P9" s="241" t="str">
        <f>VLOOKUP(Ruimtestaat[[#This Row],[Ruimte code]],Ruimtegroepen[#All],4,FALSE)</f>
        <v>S  (Sanitair)</v>
      </c>
      <c r="Q9" s="210"/>
      <c r="R9" s="211">
        <v>40</v>
      </c>
      <c r="S9" s="211" t="s">
        <v>2</v>
      </c>
      <c r="T9" s="211">
        <f>IF(R9&gt;0,IF(RIGHT(Ruimtestaat[[#This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9" s="211">
        <f>IF(T9&gt;0,VLOOKUP($J9,Ruimtegroepen[],3,FALSE)*VLOOKUP($L9,Vloersoorten[],3,FALSE)*VLOOKUP($S9,Frequenties[],3,FALSE)*VLOOKUP($A9,Locaties[],3,FALSE),0)</f>
        <v>100</v>
      </c>
      <c r="V9" s="211">
        <f>Ruimtestaat[[#This Row],[Uitvoeringen werkdagen]]*Ruimtestaat[[#This Row],[Oppervlak (netto)]]</f>
        <v>5710</v>
      </c>
      <c r="W9" s="257">
        <f>IF(U9&gt;0,Ruimtestaat[[#This Row],[Prest. (m2 /jaar) werkdagen]]/Ruimtestaat[[#This Row],[Norm (m2/uur) werkdagen]],0)</f>
        <v>57.1</v>
      </c>
      <c r="X9" s="258">
        <f>Ruimtestaat[[#This Row],[uren / jaar werkdagen]]*Tariefsopbouw!$D$38</f>
        <v>1427.5</v>
      </c>
      <c r="Y9" s="33"/>
      <c r="Z9" s="33">
        <f>IF(Ruimtestaat[[#This Row],[Frequentie weekend]]&gt;0,VALUE(LEFT(Y9,1))*R9,0)</f>
        <v>0</v>
      </c>
      <c r="AA9" s="33">
        <f>IF($Z9&gt;0,VLOOKUP($J9,Ruimtegroepen[],3,FALSE)*VLOOKUP($L9,Vloersoorten[],3,FALSE)*VLOOKUP($Y9,Frequenties[],3,FALSE)*VLOOKUP(#REF!,Locaties[],3,FALSE),0)</f>
        <v>0</v>
      </c>
      <c r="AB9" s="33"/>
      <c r="AC9" s="33"/>
      <c r="AD9" s="33">
        <f>Ruimtestaat[[#This Row],[uren / jaar weekend]]*Tariefsopbouw!$D$40</f>
        <v>0</v>
      </c>
      <c r="AE9" s="88">
        <f>Ruimtestaat[[#This Row],[Prest. (m2 /jaar) weekend]]+Ruimtestaat[[#This Row],[Prest. (m2 /jaar) werkdagen]]</f>
        <v>5710</v>
      </c>
      <c r="AF9" s="88">
        <f>Ruimtestaat[[#This Row],[uren / jaar weekend]]+Ruimtestaat[[#This Row],[uren / jaar werkdagen]]</f>
        <v>57.1</v>
      </c>
      <c r="AG9" s="89">
        <f>Ruimtestaat[[#This Row],[kosten / jaar weekend]]+Ruimtestaat[[#This Row],[kosten / jaar werkdagen]]</f>
        <v>1427.5</v>
      </c>
      <c r="AH9" s="114"/>
      <c r="HL9" s="87"/>
    </row>
    <row r="10" spans="1:220" ht="15" customHeight="1">
      <c r="A10" s="129">
        <v>1</v>
      </c>
      <c r="B10" s="21" t="str">
        <f>VLOOKUP(Ruimtestaat[[#This Row],[Code]],Locaties[#All],2,FALSE)</f>
        <v>Groenlo</v>
      </c>
      <c r="C10" s="21" t="str">
        <f>VLOOKUP(Ruimtestaat[[#This Row],[Code]],Locaties[#All],4,FALSE)</f>
        <v>Deken Hooijmanssingel 1</v>
      </c>
      <c r="D10" s="21" t="str">
        <f>VLOOKUP(Ruimtestaat[[#This Row],[Code]],Locaties[#All],5,FALSE)</f>
        <v>7141 EA</v>
      </c>
      <c r="E10" s="195" t="str">
        <f>VLOOKUP(Ruimtestaat[[#This Row],[Code]],Locaties[#All],6,FALSE)</f>
        <v>Groenlo</v>
      </c>
      <c r="F10" s="195" t="s">
        <v>774</v>
      </c>
      <c r="G10" s="211" t="s">
        <v>776</v>
      </c>
      <c r="H10" s="195">
        <v>506</v>
      </c>
      <c r="I10" s="242" t="s">
        <v>441</v>
      </c>
      <c r="J10" s="195">
        <v>1</v>
      </c>
      <c r="K10" s="242" t="str">
        <f>VLOOKUP(Ruimtestaat[[#This Row],[Ruimte code]],Ruimtegroepen[#All],2,FALSE)</f>
        <v>Magazijnen/bergingen</v>
      </c>
      <c r="L10" s="211" t="s">
        <v>110</v>
      </c>
      <c r="M10" s="195" t="s">
        <v>133</v>
      </c>
      <c r="N10" s="197">
        <v>4.6399999999999997</v>
      </c>
      <c r="O10" s="209"/>
      <c r="P10" s="241" t="str">
        <f>VLOOKUP(Ruimtestaat[[#This Row],[Ruimte code]],Ruimtegroepen[#All],4,FALSE)</f>
        <v>V  (Verkeersruimte)</v>
      </c>
      <c r="Q10" s="210"/>
      <c r="R10" s="211">
        <v>40</v>
      </c>
      <c r="S10" s="211" t="s">
        <v>16</v>
      </c>
      <c r="T10" s="211">
        <f>IF(R10&gt;0,IF(RIGHT(Ruimtestaat[[#This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U10" s="211">
        <f>IF(T10&gt;0,VLOOKUP($J10,Ruimtegroepen[],3,FALSE)*VLOOKUP($L10,Vloersoorten[],3,FALSE)*VLOOKUP($S10,Frequenties[],3,FALSE)*VLOOKUP($A10,Locaties[],3,FALSE),0)</f>
        <v>100</v>
      </c>
      <c r="V10" s="211">
        <f>Ruimtestaat[[#This Row],[Uitvoeringen werkdagen]]*Ruimtestaat[[#This Row],[Oppervlak (netto)]]</f>
        <v>55.679999999999993</v>
      </c>
      <c r="W10" s="257">
        <f>IF(U10&gt;0,Ruimtestaat[[#This Row],[Prest. (m2 /jaar) werkdagen]]/Ruimtestaat[[#This Row],[Norm (m2/uur) werkdagen]],0)</f>
        <v>0.55679999999999996</v>
      </c>
      <c r="X10" s="258">
        <f>Ruimtestaat[[#This Row],[uren / jaar werkdagen]]*Tariefsopbouw!$D$38</f>
        <v>13.919999999999998</v>
      </c>
      <c r="Y10" s="33"/>
      <c r="Z10" s="33">
        <f>IF(Ruimtestaat[[#This Row],[Frequentie weekend]]&gt;0,VALUE(LEFT(Y10,1))*R10,0)</f>
        <v>0</v>
      </c>
      <c r="AA10" s="33">
        <f>IF($Z10&gt;0,VLOOKUP($J10,Ruimtegroepen[],3,FALSE)*VLOOKUP($L10,Vloersoorten[],3,FALSE)*VLOOKUP($Y10,Frequenties[],3,FALSE)*VLOOKUP(#REF!,Locaties[],3,FALSE),0)</f>
        <v>0</v>
      </c>
      <c r="AB10" s="33"/>
      <c r="AC10" s="33"/>
      <c r="AD10" s="33">
        <f>Ruimtestaat[[#This Row],[uren / jaar weekend]]*Tariefsopbouw!$D$40</f>
        <v>0</v>
      </c>
      <c r="AE10" s="88">
        <f>Ruimtestaat[[#This Row],[Prest. (m2 /jaar) weekend]]+Ruimtestaat[[#This Row],[Prest. (m2 /jaar) werkdagen]]</f>
        <v>55.679999999999993</v>
      </c>
      <c r="AF10" s="88">
        <f>Ruimtestaat[[#This Row],[uren / jaar weekend]]+Ruimtestaat[[#This Row],[uren / jaar werkdagen]]</f>
        <v>0.55679999999999996</v>
      </c>
      <c r="AG10" s="89">
        <f>Ruimtestaat[[#This Row],[kosten / jaar weekend]]+Ruimtestaat[[#This Row],[kosten / jaar werkdagen]]</f>
        <v>13.919999999999998</v>
      </c>
      <c r="AH10" s="114"/>
      <c r="HL10" s="87"/>
    </row>
    <row r="11" spans="1:220" ht="15" customHeight="1">
      <c r="A11" s="129">
        <v>1</v>
      </c>
      <c r="B11" s="21" t="str">
        <f>VLOOKUP(Ruimtestaat[[#This Row],[Code]],Locaties[#All],2,FALSE)</f>
        <v>Groenlo</v>
      </c>
      <c r="C11" s="21" t="str">
        <f>VLOOKUP(Ruimtestaat[[#This Row],[Code]],Locaties[#All],4,FALSE)</f>
        <v>Deken Hooijmanssingel 1</v>
      </c>
      <c r="D11" s="21" t="str">
        <f>VLOOKUP(Ruimtestaat[[#This Row],[Code]],Locaties[#All],5,FALSE)</f>
        <v>7141 EA</v>
      </c>
      <c r="E11" s="195" t="str">
        <f>VLOOKUP(Ruimtestaat[[#This Row],[Code]],Locaties[#All],6,FALSE)</f>
        <v>Groenlo</v>
      </c>
      <c r="F11" s="195" t="s">
        <v>774</v>
      </c>
      <c r="G11" s="211" t="s">
        <v>776</v>
      </c>
      <c r="H11" s="195">
        <v>507</v>
      </c>
      <c r="I11" s="242" t="s">
        <v>442</v>
      </c>
      <c r="J11" s="195">
        <v>2</v>
      </c>
      <c r="K11" s="242" t="str">
        <f>VLOOKUP(Ruimtestaat[[#This Row],[Ruimte code]],Ruimtegroepen[#All],2,FALSE)</f>
        <v>Kantoren</v>
      </c>
      <c r="L11" s="211" t="s">
        <v>110</v>
      </c>
      <c r="M11" s="195" t="s">
        <v>133</v>
      </c>
      <c r="N11" s="197">
        <v>17.97</v>
      </c>
      <c r="O11" s="209"/>
      <c r="P11" s="241" t="str">
        <f>VLOOKUP(Ruimtestaat[[#This Row],[Ruimte code]],Ruimtegroepen[#All],4,FALSE)</f>
        <v>B  (Bureauruimte)</v>
      </c>
      <c r="Q11" s="210"/>
      <c r="R11" s="211">
        <v>40</v>
      </c>
      <c r="S11" s="211" t="s">
        <v>18</v>
      </c>
      <c r="T11" s="211">
        <f>IF(R11&gt;0,IF(RIGHT(Ruimtestaat[[#This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U11" s="211">
        <f>IF(T11&gt;0,VLOOKUP($J11,Ruimtegroepen[],3,FALSE)*VLOOKUP($L11,Vloersoorten[],3,FALSE)*VLOOKUP($S11,Frequenties[],3,FALSE)*VLOOKUP($A11,Locaties[],3,FALSE),0)</f>
        <v>100</v>
      </c>
      <c r="V11" s="211">
        <f>Ruimtestaat[[#This Row],[Uitvoeringen werkdagen]]*Ruimtestaat[[#This Row],[Oppervlak (netto)]]</f>
        <v>2156.3999999999996</v>
      </c>
      <c r="W11" s="257">
        <f>IF(U11&gt;0,Ruimtestaat[[#This Row],[Prest. (m2 /jaar) werkdagen]]/Ruimtestaat[[#This Row],[Norm (m2/uur) werkdagen]],0)</f>
        <v>21.563999999999997</v>
      </c>
      <c r="X11" s="258">
        <f>Ruimtestaat[[#This Row],[uren / jaar werkdagen]]*Tariefsopbouw!$D$38</f>
        <v>539.09999999999991</v>
      </c>
      <c r="Y11" s="33"/>
      <c r="Z11" s="33">
        <f>IF(Ruimtestaat[[#This Row],[Frequentie weekend]]&gt;0,VALUE(LEFT(Y11,1))*R11,0)</f>
        <v>0</v>
      </c>
      <c r="AA11" s="33">
        <f>IF($Z11&gt;0,VLOOKUP($J11,Ruimtegroepen[],3,FALSE)*VLOOKUP($L11,Vloersoorten[],3,FALSE)*VLOOKUP($Y11,Frequenties[],3,FALSE)*VLOOKUP(#REF!,Locaties[],3,FALSE),0)</f>
        <v>0</v>
      </c>
      <c r="AB11" s="33"/>
      <c r="AC11" s="33"/>
      <c r="AD11" s="33">
        <f>Ruimtestaat[[#This Row],[uren / jaar weekend]]*Tariefsopbouw!$D$40</f>
        <v>0</v>
      </c>
      <c r="AE11" s="88">
        <f>Ruimtestaat[[#This Row],[Prest. (m2 /jaar) weekend]]+Ruimtestaat[[#This Row],[Prest. (m2 /jaar) werkdagen]]</f>
        <v>2156.3999999999996</v>
      </c>
      <c r="AF11" s="88">
        <f>Ruimtestaat[[#This Row],[uren / jaar weekend]]+Ruimtestaat[[#This Row],[uren / jaar werkdagen]]</f>
        <v>21.563999999999997</v>
      </c>
      <c r="AG11" s="89">
        <f>Ruimtestaat[[#This Row],[kosten / jaar weekend]]+Ruimtestaat[[#This Row],[kosten / jaar werkdagen]]</f>
        <v>539.09999999999991</v>
      </c>
      <c r="AH11" s="114"/>
      <c r="HL11" s="87"/>
    </row>
    <row r="12" spans="1:220" ht="15" customHeight="1">
      <c r="A12" s="129">
        <v>1</v>
      </c>
      <c r="B12" s="21" t="str">
        <f>VLOOKUP(Ruimtestaat[[#This Row],[Code]],Locaties[#All],2,FALSE)</f>
        <v>Groenlo</v>
      </c>
      <c r="C12" s="21" t="str">
        <f>VLOOKUP(Ruimtestaat[[#This Row],[Code]],Locaties[#All],4,FALSE)</f>
        <v>Deken Hooijmanssingel 1</v>
      </c>
      <c r="D12" s="21" t="str">
        <f>VLOOKUP(Ruimtestaat[[#This Row],[Code]],Locaties[#All],5,FALSE)</f>
        <v>7141 EA</v>
      </c>
      <c r="E12" s="195" t="str">
        <f>VLOOKUP(Ruimtestaat[[#This Row],[Code]],Locaties[#All],6,FALSE)</f>
        <v>Groenlo</v>
      </c>
      <c r="F12" s="195" t="s">
        <v>774</v>
      </c>
      <c r="G12" s="211" t="s">
        <v>776</v>
      </c>
      <c r="H12" s="195">
        <v>508</v>
      </c>
      <c r="I12" s="242" t="s">
        <v>443</v>
      </c>
      <c r="J12" s="195">
        <v>3</v>
      </c>
      <c r="K12" s="242" t="str">
        <f>VLOOKUP(Ruimtestaat[[#This Row],[Ruimte code]],Ruimtegroepen[#All],2,FALSE)</f>
        <v>Reproruimte</v>
      </c>
      <c r="L12" s="211" t="s">
        <v>110</v>
      </c>
      <c r="M12" s="195" t="s">
        <v>133</v>
      </c>
      <c r="N12" s="197">
        <v>41.26</v>
      </c>
      <c r="O12" s="209"/>
      <c r="P12" s="241" t="str">
        <f>VLOOKUP(Ruimtestaat[[#This Row],[Ruimte code]],Ruimtegroepen[#All],4,FALSE)</f>
        <v>V  (Verkeersruimte)</v>
      </c>
      <c r="Q12" s="210"/>
      <c r="R12" s="211">
        <v>40</v>
      </c>
      <c r="S12" s="211" t="s">
        <v>18</v>
      </c>
      <c r="T12" s="211">
        <f>IF(R12&gt;0,IF(RIGHT(Ruimtestaat[[#This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U12" s="211">
        <f>IF(T12&gt;0,VLOOKUP($J12,Ruimtegroepen[],3,FALSE)*VLOOKUP($L12,Vloersoorten[],3,FALSE)*VLOOKUP($S12,Frequenties[],3,FALSE)*VLOOKUP($A12,Locaties[],3,FALSE),0)</f>
        <v>100</v>
      </c>
      <c r="V12" s="211">
        <f>Ruimtestaat[[#This Row],[Uitvoeringen werkdagen]]*Ruimtestaat[[#This Row],[Oppervlak (netto)]]</f>
        <v>4951.2</v>
      </c>
      <c r="W12" s="257">
        <f>IF(U12&gt;0,Ruimtestaat[[#This Row],[Prest. (m2 /jaar) werkdagen]]/Ruimtestaat[[#This Row],[Norm (m2/uur) werkdagen]],0)</f>
        <v>49.512</v>
      </c>
      <c r="X12" s="258">
        <f>Ruimtestaat[[#This Row],[uren / jaar werkdagen]]*Tariefsopbouw!$D$38</f>
        <v>1237.8</v>
      </c>
      <c r="Y12" s="33"/>
      <c r="Z12" s="33">
        <f>IF(Ruimtestaat[[#This Row],[Frequentie weekend]]&gt;0,VALUE(LEFT(Y12,1))*R12,0)</f>
        <v>0</v>
      </c>
      <c r="AA12" s="33">
        <f>IF($Z12&gt;0,VLOOKUP($J12,Ruimtegroepen[],3,FALSE)*VLOOKUP($L12,Vloersoorten[],3,FALSE)*VLOOKUP($Y12,Frequenties[],3,FALSE)*VLOOKUP(#REF!,Locaties[],3,FALSE),0)</f>
        <v>0</v>
      </c>
      <c r="AB12" s="33"/>
      <c r="AC12" s="33"/>
      <c r="AD12" s="33">
        <f>Ruimtestaat[[#This Row],[uren / jaar weekend]]*Tariefsopbouw!$D$40</f>
        <v>0</v>
      </c>
      <c r="AE12" s="88">
        <f>Ruimtestaat[[#This Row],[Prest. (m2 /jaar) weekend]]+Ruimtestaat[[#This Row],[Prest. (m2 /jaar) werkdagen]]</f>
        <v>4951.2</v>
      </c>
      <c r="AF12" s="88">
        <f>Ruimtestaat[[#This Row],[uren / jaar weekend]]+Ruimtestaat[[#This Row],[uren / jaar werkdagen]]</f>
        <v>49.512</v>
      </c>
      <c r="AG12" s="89">
        <f>Ruimtestaat[[#This Row],[kosten / jaar weekend]]+Ruimtestaat[[#This Row],[kosten / jaar werkdagen]]</f>
        <v>1237.8</v>
      </c>
      <c r="AH12" s="114"/>
      <c r="HL12" s="87"/>
    </row>
    <row r="13" spans="1:220" ht="15" customHeight="1">
      <c r="A13" s="129">
        <v>1</v>
      </c>
      <c r="B13" s="21" t="str">
        <f>VLOOKUP(Ruimtestaat[[#This Row],[Code]],Locaties[#All],2,FALSE)</f>
        <v>Groenlo</v>
      </c>
      <c r="C13" s="21" t="str">
        <f>VLOOKUP(Ruimtestaat[[#This Row],[Code]],Locaties[#All],4,FALSE)</f>
        <v>Deken Hooijmanssingel 1</v>
      </c>
      <c r="D13" s="21" t="str">
        <f>VLOOKUP(Ruimtestaat[[#This Row],[Code]],Locaties[#All],5,FALSE)</f>
        <v>7141 EA</v>
      </c>
      <c r="E13" s="195" t="str">
        <f>VLOOKUP(Ruimtestaat[[#This Row],[Code]],Locaties[#All],6,FALSE)</f>
        <v>Groenlo</v>
      </c>
      <c r="F13" s="195" t="s">
        <v>774</v>
      </c>
      <c r="G13" s="211" t="s">
        <v>776</v>
      </c>
      <c r="H13" s="195">
        <v>509</v>
      </c>
      <c r="I13" s="242" t="s">
        <v>382</v>
      </c>
      <c r="J13" s="195">
        <v>9</v>
      </c>
      <c r="K13" s="242" t="str">
        <f>VLOOKUP(Ruimtestaat[[#This Row],[Ruimte code]],Ruimtegroepen[#All],2,FALSE)</f>
        <v>Garderobe</v>
      </c>
      <c r="L13" s="211" t="s">
        <v>110</v>
      </c>
      <c r="M13" s="195" t="s">
        <v>133</v>
      </c>
      <c r="N13" s="197">
        <v>83.44</v>
      </c>
      <c r="O13" s="209"/>
      <c r="P13" s="241" t="str">
        <f>VLOOKUP(Ruimtestaat[[#This Row],[Ruimte code]],Ruimtegroepen[#All],4,FALSE)</f>
        <v>V  (Verkeersruimte)</v>
      </c>
      <c r="Q13" s="210"/>
      <c r="R13" s="211">
        <v>40</v>
      </c>
      <c r="S13" s="211" t="s">
        <v>2</v>
      </c>
      <c r="T13" s="211">
        <f>IF(R13&gt;0,IF(RIGHT(Ruimtestaat[[#This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13" s="211">
        <f>IF(T13&gt;0,VLOOKUP($J13,Ruimtegroepen[],3,FALSE)*VLOOKUP($L13,Vloersoorten[],3,FALSE)*VLOOKUP($S13,Frequenties[],3,FALSE)*VLOOKUP($A13,Locaties[],3,FALSE),0)</f>
        <v>100</v>
      </c>
      <c r="V13" s="211">
        <f>Ruimtestaat[[#This Row],[Uitvoeringen werkdagen]]*Ruimtestaat[[#This Row],[Oppervlak (netto)]]</f>
        <v>16688</v>
      </c>
      <c r="W13" s="257">
        <f>IF(U13&gt;0,Ruimtestaat[[#This Row],[Prest. (m2 /jaar) werkdagen]]/Ruimtestaat[[#This Row],[Norm (m2/uur) werkdagen]],0)</f>
        <v>166.88</v>
      </c>
      <c r="X13" s="258">
        <f>Ruimtestaat[[#This Row],[uren / jaar werkdagen]]*Tariefsopbouw!$D$38</f>
        <v>4172</v>
      </c>
      <c r="Y13" s="33"/>
      <c r="Z13" s="33">
        <f>IF(Ruimtestaat[[#This Row],[Frequentie weekend]]&gt;0,VALUE(LEFT(Y13,1))*R13,0)</f>
        <v>0</v>
      </c>
      <c r="AA13" s="33">
        <f>IF($Z13&gt;0,VLOOKUP($J13,Ruimtegroepen[],3,FALSE)*VLOOKUP($L13,Vloersoorten[],3,FALSE)*VLOOKUP($Y13,Frequenties[],3,FALSE)*VLOOKUP(#REF!,Locaties[],3,FALSE),0)</f>
        <v>0</v>
      </c>
      <c r="AB13" s="33"/>
      <c r="AC13" s="33"/>
      <c r="AD13" s="33">
        <f>Ruimtestaat[[#This Row],[uren / jaar weekend]]*Tariefsopbouw!$D$40</f>
        <v>0</v>
      </c>
      <c r="AE13" s="88">
        <f>Ruimtestaat[[#This Row],[Prest. (m2 /jaar) weekend]]+Ruimtestaat[[#This Row],[Prest. (m2 /jaar) werkdagen]]</f>
        <v>16688</v>
      </c>
      <c r="AF13" s="88">
        <f>Ruimtestaat[[#This Row],[uren / jaar weekend]]+Ruimtestaat[[#This Row],[uren / jaar werkdagen]]</f>
        <v>166.88</v>
      </c>
      <c r="AG13" s="89">
        <f>Ruimtestaat[[#This Row],[kosten / jaar weekend]]+Ruimtestaat[[#This Row],[kosten / jaar werkdagen]]</f>
        <v>4172</v>
      </c>
      <c r="AH13" s="114"/>
      <c r="HL13" s="87"/>
    </row>
    <row r="14" spans="1:220" ht="15" customHeight="1">
      <c r="A14" s="129">
        <v>1</v>
      </c>
      <c r="B14" s="21" t="str">
        <f>VLOOKUP(Ruimtestaat[[#This Row],[Code]],Locaties[#All],2,FALSE)</f>
        <v>Groenlo</v>
      </c>
      <c r="C14" s="21" t="str">
        <f>VLOOKUP(Ruimtestaat[[#This Row],[Code]],Locaties[#All],4,FALSE)</f>
        <v>Deken Hooijmanssingel 1</v>
      </c>
      <c r="D14" s="21" t="str">
        <f>VLOOKUP(Ruimtestaat[[#This Row],[Code]],Locaties[#All],5,FALSE)</f>
        <v>7141 EA</v>
      </c>
      <c r="E14" s="195" t="str">
        <f>VLOOKUP(Ruimtestaat[[#This Row],[Code]],Locaties[#All],6,FALSE)</f>
        <v>Groenlo</v>
      </c>
      <c r="F14" s="195" t="s">
        <v>774</v>
      </c>
      <c r="G14" s="211" t="s">
        <v>776</v>
      </c>
      <c r="H14" s="195">
        <v>510</v>
      </c>
      <c r="I14" s="242" t="s">
        <v>820</v>
      </c>
      <c r="J14" s="195">
        <v>2</v>
      </c>
      <c r="K14" s="242" t="str">
        <f>VLOOKUP(Ruimtestaat[[#This Row],[Ruimte code]],Ruimtegroepen[#All],2,FALSE)</f>
        <v>Kantoren</v>
      </c>
      <c r="L14" s="211" t="s">
        <v>109</v>
      </c>
      <c r="M14" s="195" t="s">
        <v>38</v>
      </c>
      <c r="N14" s="197">
        <v>8.9499999999999993</v>
      </c>
      <c r="O14" s="209"/>
      <c r="P14" s="241" t="str">
        <f>VLOOKUP(Ruimtestaat[[#This Row],[Ruimte code]],Ruimtegroepen[#All],4,FALSE)</f>
        <v>B  (Bureauruimte)</v>
      </c>
      <c r="Q14" s="210"/>
      <c r="R14" s="211">
        <v>40</v>
      </c>
      <c r="S14" s="211" t="s">
        <v>18</v>
      </c>
      <c r="T14" s="211">
        <f>IF(R14&gt;0,IF(RIGHT(Ruimtestaat[[#This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U14" s="211">
        <f>IF(T14&gt;0,VLOOKUP($J14,Ruimtegroepen[],3,FALSE)*VLOOKUP($L14,Vloersoorten[],3,FALSE)*VLOOKUP($S14,Frequenties[],3,FALSE)*VLOOKUP($A14,Locaties[],3,FALSE),0)</f>
        <v>100</v>
      </c>
      <c r="V14" s="211">
        <f>Ruimtestaat[[#This Row],[Uitvoeringen werkdagen]]*Ruimtestaat[[#This Row],[Oppervlak (netto)]]</f>
        <v>1074</v>
      </c>
      <c r="W14" s="257">
        <f>IF(U14&gt;0,Ruimtestaat[[#This Row],[Prest. (m2 /jaar) werkdagen]]/Ruimtestaat[[#This Row],[Norm (m2/uur) werkdagen]],0)</f>
        <v>10.74</v>
      </c>
      <c r="X14" s="258">
        <f>Ruimtestaat[[#This Row],[uren / jaar werkdagen]]*Tariefsopbouw!$D$38</f>
        <v>268.5</v>
      </c>
      <c r="Y14" s="33"/>
      <c r="Z14" s="33">
        <f>IF(Ruimtestaat[[#This Row],[Frequentie weekend]]&gt;0,VALUE(LEFT(Y14,1))*R14,0)</f>
        <v>0</v>
      </c>
      <c r="AA14" s="33">
        <f>IF($Z14&gt;0,VLOOKUP($J14,Ruimtegroepen[],3,FALSE)*VLOOKUP($L14,Vloersoorten[],3,FALSE)*VLOOKUP($Y14,Frequenties[],3,FALSE)*VLOOKUP(#REF!,Locaties[],3,FALSE),0)</f>
        <v>0</v>
      </c>
      <c r="AB14" s="33"/>
      <c r="AC14" s="33"/>
      <c r="AD14" s="33">
        <f>Ruimtestaat[[#This Row],[uren / jaar weekend]]*Tariefsopbouw!$D$40</f>
        <v>0</v>
      </c>
      <c r="AE14" s="88">
        <f>Ruimtestaat[[#This Row],[Prest. (m2 /jaar) weekend]]+Ruimtestaat[[#This Row],[Prest. (m2 /jaar) werkdagen]]</f>
        <v>1074</v>
      </c>
      <c r="AF14" s="88">
        <f>Ruimtestaat[[#This Row],[uren / jaar weekend]]+Ruimtestaat[[#This Row],[uren / jaar werkdagen]]</f>
        <v>10.74</v>
      </c>
      <c r="AG14" s="89">
        <f>Ruimtestaat[[#This Row],[kosten / jaar weekend]]+Ruimtestaat[[#This Row],[kosten / jaar werkdagen]]</f>
        <v>268.5</v>
      </c>
      <c r="AH14" s="114"/>
      <c r="HL14" s="87"/>
    </row>
    <row r="15" spans="1:220" ht="15" customHeight="1">
      <c r="A15" s="129">
        <v>1</v>
      </c>
      <c r="B15" s="21" t="str">
        <f>VLOOKUP(Ruimtestaat[[#This Row],[Code]],Locaties[#All],2,FALSE)</f>
        <v>Groenlo</v>
      </c>
      <c r="C15" s="21" t="str">
        <f>VLOOKUP(Ruimtestaat[[#This Row],[Code]],Locaties[#All],4,FALSE)</f>
        <v>Deken Hooijmanssingel 1</v>
      </c>
      <c r="D15" s="21" t="str">
        <f>VLOOKUP(Ruimtestaat[[#This Row],[Code]],Locaties[#All],5,FALSE)</f>
        <v>7141 EA</v>
      </c>
      <c r="E15" s="195" t="str">
        <f>VLOOKUP(Ruimtestaat[[#This Row],[Code]],Locaties[#All],6,FALSE)</f>
        <v>Groenlo</v>
      </c>
      <c r="F15" s="195" t="s">
        <v>774</v>
      </c>
      <c r="G15" s="211" t="s">
        <v>776</v>
      </c>
      <c r="H15" s="195">
        <v>511</v>
      </c>
      <c r="I15" s="242" t="s">
        <v>820</v>
      </c>
      <c r="J15" s="195">
        <v>2</v>
      </c>
      <c r="K15" s="242" t="str">
        <f>VLOOKUP(Ruimtestaat[[#This Row],[Ruimte code]],Ruimtegroepen[#All],2,FALSE)</f>
        <v>Kantoren</v>
      </c>
      <c r="L15" s="211" t="s">
        <v>109</v>
      </c>
      <c r="M15" s="195" t="s">
        <v>38</v>
      </c>
      <c r="N15" s="197">
        <v>13.14</v>
      </c>
      <c r="O15" s="209"/>
      <c r="P15" s="241" t="str">
        <f>VLOOKUP(Ruimtestaat[[#This Row],[Ruimte code]],Ruimtegroepen[#All],4,FALSE)</f>
        <v>B  (Bureauruimte)</v>
      </c>
      <c r="Q15" s="210"/>
      <c r="R15" s="211">
        <v>40</v>
      </c>
      <c r="S15" s="211" t="s">
        <v>2</v>
      </c>
      <c r="T15" s="211">
        <f>IF(R15&gt;0,IF(RIGHT(Ruimtestaat[[#This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15" s="211">
        <f>IF(T15&gt;0,VLOOKUP($J15,Ruimtegroepen[],3,FALSE)*VLOOKUP($L15,Vloersoorten[],3,FALSE)*VLOOKUP($S15,Frequenties[],3,FALSE)*VLOOKUP($A15,Locaties[],3,FALSE),0)</f>
        <v>100</v>
      </c>
      <c r="V15" s="211">
        <f>Ruimtestaat[[#This Row],[Uitvoeringen werkdagen]]*Ruimtestaat[[#This Row],[Oppervlak (netto)]]</f>
        <v>2628</v>
      </c>
      <c r="W15" s="257">
        <f>IF(U15&gt;0,Ruimtestaat[[#This Row],[Prest. (m2 /jaar) werkdagen]]/Ruimtestaat[[#This Row],[Norm (m2/uur) werkdagen]],0)</f>
        <v>26.28</v>
      </c>
      <c r="X15" s="258">
        <f>Ruimtestaat[[#This Row],[uren / jaar werkdagen]]*Tariefsopbouw!$D$38</f>
        <v>657</v>
      </c>
      <c r="Y15" s="33"/>
      <c r="Z15" s="33">
        <f>IF(Ruimtestaat[[#This Row],[Frequentie weekend]]&gt;0,VALUE(LEFT(Y15,1))*R15,0)</f>
        <v>0</v>
      </c>
      <c r="AA15" s="33">
        <f>IF($Z15&gt;0,VLOOKUP($J15,Ruimtegroepen[],3,FALSE)*VLOOKUP($L15,Vloersoorten[],3,FALSE)*VLOOKUP($Y15,Frequenties[],3,FALSE)*VLOOKUP(#REF!,Locaties[],3,FALSE),0)</f>
        <v>0</v>
      </c>
      <c r="AB15" s="33"/>
      <c r="AC15" s="33"/>
      <c r="AD15" s="33">
        <f>Ruimtestaat[[#This Row],[uren / jaar weekend]]*Tariefsopbouw!$D$40</f>
        <v>0</v>
      </c>
      <c r="AE15" s="88">
        <f>Ruimtestaat[[#This Row],[Prest. (m2 /jaar) weekend]]+Ruimtestaat[[#This Row],[Prest. (m2 /jaar) werkdagen]]</f>
        <v>2628</v>
      </c>
      <c r="AF15" s="88">
        <f>Ruimtestaat[[#This Row],[uren / jaar weekend]]+Ruimtestaat[[#This Row],[uren / jaar werkdagen]]</f>
        <v>26.28</v>
      </c>
      <c r="AG15" s="89">
        <f>Ruimtestaat[[#This Row],[kosten / jaar weekend]]+Ruimtestaat[[#This Row],[kosten / jaar werkdagen]]</f>
        <v>657</v>
      </c>
      <c r="AH15" s="114"/>
      <c r="HL15" s="87"/>
    </row>
    <row r="16" spans="1:220" ht="15" customHeight="1">
      <c r="A16" s="129">
        <v>1</v>
      </c>
      <c r="B16" s="21" t="str">
        <f>VLOOKUP(Ruimtestaat[[#This Row],[Code]],Locaties[#All],2,FALSE)</f>
        <v>Groenlo</v>
      </c>
      <c r="C16" s="21" t="str">
        <f>VLOOKUP(Ruimtestaat[[#This Row],[Code]],Locaties[#All],4,FALSE)</f>
        <v>Deken Hooijmanssingel 1</v>
      </c>
      <c r="D16" s="21" t="str">
        <f>VLOOKUP(Ruimtestaat[[#This Row],[Code]],Locaties[#All],5,FALSE)</f>
        <v>7141 EA</v>
      </c>
      <c r="E16" s="195" t="str">
        <f>VLOOKUP(Ruimtestaat[[#This Row],[Code]],Locaties[#All],6,FALSE)</f>
        <v>Groenlo</v>
      </c>
      <c r="F16" s="195" t="s">
        <v>774</v>
      </c>
      <c r="G16" s="211" t="s">
        <v>776</v>
      </c>
      <c r="H16" s="195">
        <v>512</v>
      </c>
      <c r="I16" s="242" t="s">
        <v>820</v>
      </c>
      <c r="J16" s="195">
        <v>2</v>
      </c>
      <c r="K16" s="242" t="str">
        <f>VLOOKUP(Ruimtestaat[[#This Row],[Ruimte code]],Ruimtegroepen[#All],2,FALSE)</f>
        <v>Kantoren</v>
      </c>
      <c r="L16" s="211" t="s">
        <v>109</v>
      </c>
      <c r="M16" s="195" t="s">
        <v>38</v>
      </c>
      <c r="N16" s="197">
        <v>12.36</v>
      </c>
      <c r="O16" s="209"/>
      <c r="P16" s="241" t="str">
        <f>VLOOKUP(Ruimtestaat[[#This Row],[Ruimte code]],Ruimtegroepen[#All],4,FALSE)</f>
        <v>B  (Bureauruimte)</v>
      </c>
      <c r="Q16" s="210"/>
      <c r="R16" s="211">
        <v>40</v>
      </c>
      <c r="S16" s="211" t="s">
        <v>2</v>
      </c>
      <c r="T16" s="211">
        <f>IF(R16&gt;0,IF(RIGHT(Ruimtestaat[[#This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16" s="211">
        <f>IF(T16&gt;0,VLOOKUP($J16,Ruimtegroepen[],3,FALSE)*VLOOKUP($L16,Vloersoorten[],3,FALSE)*VLOOKUP($S16,Frequenties[],3,FALSE)*VLOOKUP($A16,Locaties[],3,FALSE),0)</f>
        <v>100</v>
      </c>
      <c r="V16" s="211">
        <f>Ruimtestaat[[#This Row],[Uitvoeringen werkdagen]]*Ruimtestaat[[#This Row],[Oppervlak (netto)]]</f>
        <v>2472</v>
      </c>
      <c r="W16" s="257">
        <f>IF(U16&gt;0,Ruimtestaat[[#This Row],[Prest. (m2 /jaar) werkdagen]]/Ruimtestaat[[#This Row],[Norm (m2/uur) werkdagen]],0)</f>
        <v>24.72</v>
      </c>
      <c r="X16" s="258">
        <f>Ruimtestaat[[#This Row],[uren / jaar werkdagen]]*Tariefsopbouw!$D$38</f>
        <v>618</v>
      </c>
      <c r="Y16" s="33"/>
      <c r="Z16" s="33">
        <f>IF(Ruimtestaat[[#This Row],[Frequentie weekend]]&gt;0,VALUE(LEFT(Y16,1))*R16,0)</f>
        <v>0</v>
      </c>
      <c r="AA16" s="33">
        <f>IF($Z16&gt;0,VLOOKUP($J16,Ruimtegroepen[],3,FALSE)*VLOOKUP($L16,Vloersoorten[],3,FALSE)*VLOOKUP($Y16,Frequenties[],3,FALSE)*VLOOKUP(#REF!,Locaties[],3,FALSE),0)</f>
        <v>0</v>
      </c>
      <c r="AB16" s="33"/>
      <c r="AC16" s="33"/>
      <c r="AD16" s="33">
        <f>Ruimtestaat[[#This Row],[uren / jaar weekend]]*Tariefsopbouw!$D$40</f>
        <v>0</v>
      </c>
      <c r="AE16" s="88">
        <f>Ruimtestaat[[#This Row],[Prest. (m2 /jaar) weekend]]+Ruimtestaat[[#This Row],[Prest. (m2 /jaar) werkdagen]]</f>
        <v>2472</v>
      </c>
      <c r="AF16" s="88">
        <f>Ruimtestaat[[#This Row],[uren / jaar weekend]]+Ruimtestaat[[#This Row],[uren / jaar werkdagen]]</f>
        <v>24.72</v>
      </c>
      <c r="AG16" s="89">
        <f>Ruimtestaat[[#This Row],[kosten / jaar weekend]]+Ruimtestaat[[#This Row],[kosten / jaar werkdagen]]</f>
        <v>618</v>
      </c>
      <c r="AH16" s="114"/>
      <c r="HL16" s="87"/>
    </row>
    <row r="17" spans="1:220" ht="15" customHeight="1">
      <c r="A17" s="129">
        <v>1</v>
      </c>
      <c r="B17" s="21" t="str">
        <f>VLOOKUP(Ruimtestaat[[#This Row],[Code]],Locaties[#All],2,FALSE)</f>
        <v>Groenlo</v>
      </c>
      <c r="C17" s="21" t="str">
        <f>VLOOKUP(Ruimtestaat[[#This Row],[Code]],Locaties[#All],4,FALSE)</f>
        <v>Deken Hooijmanssingel 1</v>
      </c>
      <c r="D17" s="21" t="str">
        <f>VLOOKUP(Ruimtestaat[[#This Row],[Code]],Locaties[#All],5,FALSE)</f>
        <v>7141 EA</v>
      </c>
      <c r="E17" s="195" t="str">
        <f>VLOOKUP(Ruimtestaat[[#This Row],[Code]],Locaties[#All],6,FALSE)</f>
        <v>Groenlo</v>
      </c>
      <c r="F17" s="195" t="s">
        <v>774</v>
      </c>
      <c r="G17" s="211" t="s">
        <v>776</v>
      </c>
      <c r="H17" s="259">
        <v>513</v>
      </c>
      <c r="I17" s="242" t="s">
        <v>820</v>
      </c>
      <c r="J17" s="195">
        <v>2</v>
      </c>
      <c r="K17" s="242" t="str">
        <f>VLOOKUP(Ruimtestaat[[#This Row],[Ruimte code]],Ruimtegroepen[#All],2,FALSE)</f>
        <v>Kantoren</v>
      </c>
      <c r="L17" s="211" t="s">
        <v>109</v>
      </c>
      <c r="M17" s="195" t="s">
        <v>38</v>
      </c>
      <c r="N17" s="197">
        <v>17.309999999999999</v>
      </c>
      <c r="O17" s="209"/>
      <c r="P17" s="241" t="str">
        <f>VLOOKUP(Ruimtestaat[[#This Row],[Ruimte code]],Ruimtegroepen[#All],4,FALSE)</f>
        <v>B  (Bureauruimte)</v>
      </c>
      <c r="Q17" s="210"/>
      <c r="R17" s="211">
        <v>40</v>
      </c>
      <c r="S17" s="211" t="s">
        <v>2</v>
      </c>
      <c r="T17" s="211">
        <f>IF(R17&gt;0,IF(RIGHT(Ruimtestaat[[#This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17" s="211">
        <f>IF(T17&gt;0,VLOOKUP($J17,Ruimtegroepen[],3,FALSE)*VLOOKUP($L17,Vloersoorten[],3,FALSE)*VLOOKUP($S17,Frequenties[],3,FALSE)*VLOOKUP($A17,Locaties[],3,FALSE),0)</f>
        <v>100</v>
      </c>
      <c r="V17" s="211">
        <f>Ruimtestaat[[#This Row],[Uitvoeringen werkdagen]]*Ruimtestaat[[#This Row],[Oppervlak (netto)]]</f>
        <v>3461.9999999999995</v>
      </c>
      <c r="W17" s="257">
        <f>IF(U17&gt;0,Ruimtestaat[[#This Row],[Prest. (m2 /jaar) werkdagen]]/Ruimtestaat[[#This Row],[Norm (m2/uur) werkdagen]],0)</f>
        <v>34.619999999999997</v>
      </c>
      <c r="X17" s="258">
        <f>Ruimtestaat[[#This Row],[uren / jaar werkdagen]]*Tariefsopbouw!$D$38</f>
        <v>865.49999999999989</v>
      </c>
      <c r="Y17" s="33"/>
      <c r="Z17" s="33">
        <f>IF(Ruimtestaat[[#This Row],[Frequentie weekend]]&gt;0,VALUE(LEFT(Y17,1))*R17,0)</f>
        <v>0</v>
      </c>
      <c r="AA17" s="33">
        <f>IF($Z17&gt;0,VLOOKUP($J17,Ruimtegroepen[],3,FALSE)*VLOOKUP($L17,Vloersoorten[],3,FALSE)*VLOOKUP($Y17,Frequenties[],3,FALSE)*VLOOKUP(#REF!,Locaties[],3,FALSE),0)</f>
        <v>0</v>
      </c>
      <c r="AB17" s="33"/>
      <c r="AC17" s="33"/>
      <c r="AD17" s="33">
        <f>Ruimtestaat[[#This Row],[uren / jaar weekend]]*Tariefsopbouw!$D$40</f>
        <v>0</v>
      </c>
      <c r="AE17" s="88">
        <f>Ruimtestaat[[#This Row],[Prest. (m2 /jaar) weekend]]+Ruimtestaat[[#This Row],[Prest. (m2 /jaar) werkdagen]]</f>
        <v>3461.9999999999995</v>
      </c>
      <c r="AF17" s="88">
        <f>Ruimtestaat[[#This Row],[uren / jaar weekend]]+Ruimtestaat[[#This Row],[uren / jaar werkdagen]]</f>
        <v>34.619999999999997</v>
      </c>
      <c r="AG17" s="89">
        <f>Ruimtestaat[[#This Row],[kosten / jaar weekend]]+Ruimtestaat[[#This Row],[kosten / jaar werkdagen]]</f>
        <v>865.49999999999989</v>
      </c>
      <c r="AH17" s="114"/>
      <c r="HL17" s="87"/>
    </row>
    <row r="18" spans="1:220" ht="15" customHeight="1">
      <c r="A18" s="129">
        <v>1</v>
      </c>
      <c r="B18" s="21" t="str">
        <f>VLOOKUP(Ruimtestaat[[#This Row],[Code]],Locaties[#All],2,FALSE)</f>
        <v>Groenlo</v>
      </c>
      <c r="C18" s="21" t="str">
        <f>VLOOKUP(Ruimtestaat[[#This Row],[Code]],Locaties[#All],4,FALSE)</f>
        <v>Deken Hooijmanssingel 1</v>
      </c>
      <c r="D18" s="21" t="str">
        <f>VLOOKUP(Ruimtestaat[[#This Row],[Code]],Locaties[#All],5,FALSE)</f>
        <v>7141 EA</v>
      </c>
      <c r="E18" s="195" t="str">
        <f>VLOOKUP(Ruimtestaat[[#This Row],[Code]],Locaties[#All],6,FALSE)</f>
        <v>Groenlo</v>
      </c>
      <c r="F18" s="195" t="s">
        <v>774</v>
      </c>
      <c r="G18" s="211" t="s">
        <v>776</v>
      </c>
      <c r="H18" s="195">
        <v>514</v>
      </c>
      <c r="I18" s="242" t="s">
        <v>449</v>
      </c>
      <c r="J18" s="195">
        <v>2</v>
      </c>
      <c r="K18" s="242" t="str">
        <f>VLOOKUP(Ruimtestaat[[#This Row],[Ruimte code]],Ruimtegroepen[#All],2,FALSE)</f>
        <v>Kantoren</v>
      </c>
      <c r="L18" s="211" t="s">
        <v>109</v>
      </c>
      <c r="M18" s="195" t="s">
        <v>38</v>
      </c>
      <c r="N18" s="197">
        <v>8.3000000000000007</v>
      </c>
      <c r="O18" s="209"/>
      <c r="P18" s="241" t="str">
        <f>VLOOKUP(Ruimtestaat[[#This Row],[Ruimte code]],Ruimtegroepen[#All],4,FALSE)</f>
        <v>B  (Bureauruimte)</v>
      </c>
      <c r="Q18" s="210"/>
      <c r="R18" s="211">
        <v>40</v>
      </c>
      <c r="S18" s="211" t="s">
        <v>18</v>
      </c>
      <c r="T18" s="211">
        <f>IF(R18&gt;0,IF(RIGHT(Ruimtestaat[[#This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U18" s="211">
        <f>IF(T18&gt;0,VLOOKUP($J18,Ruimtegroepen[],3,FALSE)*VLOOKUP($L18,Vloersoorten[],3,FALSE)*VLOOKUP($S18,Frequenties[],3,FALSE)*VLOOKUP($A18,Locaties[],3,FALSE),0)</f>
        <v>100</v>
      </c>
      <c r="V18" s="211">
        <f>Ruimtestaat[[#This Row],[Uitvoeringen werkdagen]]*Ruimtestaat[[#This Row],[Oppervlak (netto)]]</f>
        <v>996.00000000000011</v>
      </c>
      <c r="W18" s="257">
        <f>IF(U18&gt;0,Ruimtestaat[[#This Row],[Prest. (m2 /jaar) werkdagen]]/Ruimtestaat[[#This Row],[Norm (m2/uur) werkdagen]],0)</f>
        <v>9.9600000000000009</v>
      </c>
      <c r="X18" s="258">
        <f>Ruimtestaat[[#This Row],[uren / jaar werkdagen]]*Tariefsopbouw!$D$38</f>
        <v>249.00000000000003</v>
      </c>
      <c r="Y18" s="33"/>
      <c r="Z18" s="33">
        <f>IF(Ruimtestaat[[#This Row],[Frequentie weekend]]&gt;0,VALUE(LEFT(Y18,1))*R18,0)</f>
        <v>0</v>
      </c>
      <c r="AA18" s="33">
        <f>IF($Z18&gt;0,VLOOKUP($J18,Ruimtegroepen[],3,FALSE)*VLOOKUP($L18,Vloersoorten[],3,FALSE)*VLOOKUP($Y18,Frequenties[],3,FALSE)*VLOOKUP(#REF!,Locaties[],3,FALSE),0)</f>
        <v>0</v>
      </c>
      <c r="AB18" s="33"/>
      <c r="AC18" s="33"/>
      <c r="AD18" s="33">
        <f>Ruimtestaat[[#This Row],[uren / jaar weekend]]*Tariefsopbouw!$D$40</f>
        <v>0</v>
      </c>
      <c r="AE18" s="88">
        <f>Ruimtestaat[[#This Row],[Prest. (m2 /jaar) weekend]]+Ruimtestaat[[#This Row],[Prest. (m2 /jaar) werkdagen]]</f>
        <v>996.00000000000011</v>
      </c>
      <c r="AF18" s="88">
        <f>Ruimtestaat[[#This Row],[uren / jaar weekend]]+Ruimtestaat[[#This Row],[uren / jaar werkdagen]]</f>
        <v>9.9600000000000009</v>
      </c>
      <c r="AG18" s="89">
        <f>Ruimtestaat[[#This Row],[kosten / jaar weekend]]+Ruimtestaat[[#This Row],[kosten / jaar werkdagen]]</f>
        <v>249.00000000000003</v>
      </c>
      <c r="AH18" s="114"/>
      <c r="HL18" s="87"/>
    </row>
    <row r="19" spans="1:220" ht="15" customHeight="1">
      <c r="A19" s="129">
        <v>1</v>
      </c>
      <c r="B19" s="21" t="str">
        <f>VLOOKUP(Ruimtestaat[[#This Row],[Code]],Locaties[#All],2,FALSE)</f>
        <v>Groenlo</v>
      </c>
      <c r="C19" s="21" t="str">
        <f>VLOOKUP(Ruimtestaat[[#This Row],[Code]],Locaties[#All],4,FALSE)</f>
        <v>Deken Hooijmanssingel 1</v>
      </c>
      <c r="D19" s="21" t="str">
        <f>VLOOKUP(Ruimtestaat[[#This Row],[Code]],Locaties[#All],5,FALSE)</f>
        <v>7141 EA</v>
      </c>
      <c r="E19" s="195" t="str">
        <f>VLOOKUP(Ruimtestaat[[#This Row],[Code]],Locaties[#All],6,FALSE)</f>
        <v>Groenlo</v>
      </c>
      <c r="F19" s="195" t="s">
        <v>774</v>
      </c>
      <c r="G19" s="211" t="s">
        <v>776</v>
      </c>
      <c r="H19" s="259">
        <v>515</v>
      </c>
      <c r="I19" s="242" t="s">
        <v>441</v>
      </c>
      <c r="J19" s="195">
        <v>1</v>
      </c>
      <c r="K19" s="242" t="str">
        <f>VLOOKUP(Ruimtestaat[[#This Row],[Ruimte code]],Ruimtegroepen[#All],2,FALSE)</f>
        <v>Magazijnen/bergingen</v>
      </c>
      <c r="L19" s="211" t="s">
        <v>110</v>
      </c>
      <c r="M19" s="195" t="s">
        <v>133</v>
      </c>
      <c r="N19" s="197">
        <v>9.31</v>
      </c>
      <c r="O19" s="209"/>
      <c r="P19" s="241" t="str">
        <f>VLOOKUP(Ruimtestaat[[#This Row],[Ruimte code]],Ruimtegroepen[#All],4,FALSE)</f>
        <v>V  (Verkeersruimte)</v>
      </c>
      <c r="Q19" s="210"/>
      <c r="R19" s="211">
        <v>40</v>
      </c>
      <c r="S19" s="211" t="s">
        <v>16</v>
      </c>
      <c r="T19" s="211">
        <f>IF(R19&gt;0,IF(RIGHT(Ruimtestaat[[#This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U19" s="211">
        <f>IF(T19&gt;0,VLOOKUP($J19,Ruimtegroepen[],3,FALSE)*VLOOKUP($L19,Vloersoorten[],3,FALSE)*VLOOKUP($S19,Frequenties[],3,FALSE)*VLOOKUP($A19,Locaties[],3,FALSE),0)</f>
        <v>100</v>
      </c>
      <c r="V19" s="211">
        <f>Ruimtestaat[[#This Row],[Uitvoeringen werkdagen]]*Ruimtestaat[[#This Row],[Oppervlak (netto)]]</f>
        <v>111.72</v>
      </c>
      <c r="W19" s="257">
        <f>IF(U19&gt;0,Ruimtestaat[[#This Row],[Prest. (m2 /jaar) werkdagen]]/Ruimtestaat[[#This Row],[Norm (m2/uur) werkdagen]],0)</f>
        <v>1.1172</v>
      </c>
      <c r="X19" s="258">
        <f>Ruimtestaat[[#This Row],[uren / jaar werkdagen]]*Tariefsopbouw!$D$38</f>
        <v>27.93</v>
      </c>
      <c r="Y19" s="33"/>
      <c r="Z19" s="33">
        <f>IF(Ruimtestaat[[#This Row],[Frequentie weekend]]&gt;0,VALUE(LEFT(Y19,1))*R19,0)</f>
        <v>0</v>
      </c>
      <c r="AA19" s="33">
        <f>IF($Z19&gt;0,VLOOKUP($J19,Ruimtegroepen[],3,FALSE)*VLOOKUP($L19,Vloersoorten[],3,FALSE)*VLOOKUP($Y19,Frequenties[],3,FALSE)*VLOOKUP(#REF!,Locaties[],3,FALSE),0)</f>
        <v>0</v>
      </c>
      <c r="AB19" s="33"/>
      <c r="AC19" s="33"/>
      <c r="AD19" s="33">
        <f>Ruimtestaat[[#This Row],[uren / jaar weekend]]*Tariefsopbouw!$D$40</f>
        <v>0</v>
      </c>
      <c r="AE19" s="88">
        <f>Ruimtestaat[[#This Row],[Prest. (m2 /jaar) weekend]]+Ruimtestaat[[#This Row],[Prest. (m2 /jaar) werkdagen]]</f>
        <v>111.72</v>
      </c>
      <c r="AF19" s="88">
        <f>Ruimtestaat[[#This Row],[uren / jaar weekend]]+Ruimtestaat[[#This Row],[uren / jaar werkdagen]]</f>
        <v>1.1172</v>
      </c>
      <c r="AG19" s="89">
        <f>Ruimtestaat[[#This Row],[kosten / jaar weekend]]+Ruimtestaat[[#This Row],[kosten / jaar werkdagen]]</f>
        <v>27.93</v>
      </c>
      <c r="AH19" s="114"/>
      <c r="HL19" s="87"/>
    </row>
    <row r="20" spans="1:220" ht="15" customHeight="1">
      <c r="A20" s="129">
        <v>1</v>
      </c>
      <c r="B20" s="21" t="str">
        <f>VLOOKUP(Ruimtestaat[[#This Row],[Code]],Locaties[#All],2,FALSE)</f>
        <v>Groenlo</v>
      </c>
      <c r="C20" s="21" t="str">
        <f>VLOOKUP(Ruimtestaat[[#This Row],[Code]],Locaties[#All],4,FALSE)</f>
        <v>Deken Hooijmanssingel 1</v>
      </c>
      <c r="D20" s="21" t="str">
        <f>VLOOKUP(Ruimtestaat[[#This Row],[Code]],Locaties[#All],5,FALSE)</f>
        <v>7141 EA</v>
      </c>
      <c r="E20" s="195" t="str">
        <f>VLOOKUP(Ruimtestaat[[#This Row],[Code]],Locaties[#All],6,FALSE)</f>
        <v>Groenlo</v>
      </c>
      <c r="F20" s="195" t="s">
        <v>774</v>
      </c>
      <c r="G20" s="211" t="s">
        <v>776</v>
      </c>
      <c r="H20" s="259">
        <v>516</v>
      </c>
      <c r="I20" s="242" t="s">
        <v>444</v>
      </c>
      <c r="J20" s="211">
        <v>12</v>
      </c>
      <c r="K20" s="242" t="str">
        <f>VLOOKUP(Ruimtestaat[[#This Row],[Ruimte code]],Ruimtegroepen[#All],2,FALSE)</f>
        <v>Groepruimte / kantine</v>
      </c>
      <c r="L20" s="211" t="s">
        <v>110</v>
      </c>
      <c r="M20" s="195" t="s">
        <v>133</v>
      </c>
      <c r="N20" s="197">
        <v>166.58</v>
      </c>
      <c r="O20" s="209"/>
      <c r="P20" s="241" t="str">
        <f>VLOOKUP(Ruimtestaat[[#This Row],[Ruimte code]],Ruimtegroepen[#All],4,FALSE)</f>
        <v>V  (Verkeersruimte)</v>
      </c>
      <c r="Q20" s="210"/>
      <c r="R20" s="211">
        <v>40</v>
      </c>
      <c r="S20" s="211" t="s">
        <v>2</v>
      </c>
      <c r="T20" s="211">
        <f>IF(R20&gt;0,IF(RIGHT(Ruimtestaat[[#This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20" s="211">
        <f>IF(T20&gt;0,VLOOKUP($J20,Ruimtegroepen[],3,FALSE)*VLOOKUP($L20,Vloersoorten[],3,FALSE)*VLOOKUP($S20,Frequenties[],3,FALSE)*VLOOKUP($A20,Locaties[],3,FALSE),0)</f>
        <v>100</v>
      </c>
      <c r="V20" s="211">
        <f>Ruimtestaat[[#This Row],[Uitvoeringen werkdagen]]*Ruimtestaat[[#This Row],[Oppervlak (netto)]]</f>
        <v>33316</v>
      </c>
      <c r="W20" s="257">
        <f>IF(U20&gt;0,Ruimtestaat[[#This Row],[Prest. (m2 /jaar) werkdagen]]/Ruimtestaat[[#This Row],[Norm (m2/uur) werkdagen]],0)</f>
        <v>333.16</v>
      </c>
      <c r="X20" s="258">
        <f>Ruimtestaat[[#This Row],[uren / jaar werkdagen]]*Tariefsopbouw!$D$38</f>
        <v>8329</v>
      </c>
      <c r="Y20" s="33"/>
      <c r="Z20" s="33">
        <f>IF(Ruimtestaat[[#This Row],[Frequentie weekend]]&gt;0,VALUE(LEFT(Y20,1))*R20,0)</f>
        <v>0</v>
      </c>
      <c r="AA20" s="33">
        <f>IF($Z20&gt;0,VLOOKUP($J20,Ruimtegroepen[],3,FALSE)*VLOOKUP($L20,Vloersoorten[],3,FALSE)*VLOOKUP($Y20,Frequenties[],3,FALSE)*VLOOKUP(#REF!,Locaties[],3,FALSE),0)</f>
        <v>0</v>
      </c>
      <c r="AB20" s="33"/>
      <c r="AC20" s="33"/>
      <c r="AD20" s="33">
        <f>Ruimtestaat[[#This Row],[uren / jaar weekend]]*Tariefsopbouw!$D$40</f>
        <v>0</v>
      </c>
      <c r="AE20" s="88">
        <f>Ruimtestaat[[#This Row],[Prest. (m2 /jaar) weekend]]+Ruimtestaat[[#This Row],[Prest. (m2 /jaar) werkdagen]]</f>
        <v>33316</v>
      </c>
      <c r="AF20" s="88">
        <f>Ruimtestaat[[#This Row],[uren / jaar weekend]]+Ruimtestaat[[#This Row],[uren / jaar werkdagen]]</f>
        <v>333.16</v>
      </c>
      <c r="AG20" s="89">
        <f>Ruimtestaat[[#This Row],[kosten / jaar weekend]]+Ruimtestaat[[#This Row],[kosten / jaar werkdagen]]</f>
        <v>8329</v>
      </c>
      <c r="AH20" s="114"/>
      <c r="HL20" s="87"/>
    </row>
    <row r="21" spans="1:220" ht="15" customHeight="1">
      <c r="A21" s="129">
        <v>1</v>
      </c>
      <c r="B21" s="21" t="str">
        <f>VLOOKUP(Ruimtestaat[[#This Row],[Code]],Locaties[#All],2,FALSE)</f>
        <v>Groenlo</v>
      </c>
      <c r="C21" s="21" t="str">
        <f>VLOOKUP(Ruimtestaat[[#This Row],[Code]],Locaties[#All],4,FALSE)</f>
        <v>Deken Hooijmanssingel 1</v>
      </c>
      <c r="D21" s="21" t="str">
        <f>VLOOKUP(Ruimtestaat[[#This Row],[Code]],Locaties[#All],5,FALSE)</f>
        <v>7141 EA</v>
      </c>
      <c r="E21" s="195" t="str">
        <f>VLOOKUP(Ruimtestaat[[#This Row],[Code]],Locaties[#All],6,FALSE)</f>
        <v>Groenlo</v>
      </c>
      <c r="F21" s="195" t="s">
        <v>774</v>
      </c>
      <c r="G21" s="211" t="s">
        <v>776</v>
      </c>
      <c r="H21" s="259">
        <v>517</v>
      </c>
      <c r="I21" s="242" t="s">
        <v>382</v>
      </c>
      <c r="J21" s="195">
        <v>6</v>
      </c>
      <c r="K21" s="242" t="str">
        <f>VLOOKUP(Ruimtestaat[[#This Row],[Ruimte code]],Ruimtegroepen[#All],2,FALSE)</f>
        <v>Gangen/hallen</v>
      </c>
      <c r="L21" s="211" t="s">
        <v>110</v>
      </c>
      <c r="M21" s="195" t="s">
        <v>133</v>
      </c>
      <c r="N21" s="197">
        <v>84.34</v>
      </c>
      <c r="O21" s="209"/>
      <c r="P21" s="241" t="str">
        <f>VLOOKUP(Ruimtestaat[[#This Row],[Ruimte code]],Ruimtegroepen[#All],4,FALSE)</f>
        <v>V  (Verkeersruimte)</v>
      </c>
      <c r="Q21" s="210"/>
      <c r="R21" s="211">
        <v>40</v>
      </c>
      <c r="S21" s="211" t="s">
        <v>2</v>
      </c>
      <c r="T21" s="211">
        <f>IF(R21&gt;0,IF(RIGHT(Ruimtestaat[[#This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21" s="211">
        <f>IF(T21&gt;0,VLOOKUP($J21,Ruimtegroepen[],3,FALSE)*VLOOKUP($L21,Vloersoorten[],3,FALSE)*VLOOKUP($S21,Frequenties[],3,FALSE)*VLOOKUP($A21,Locaties[],3,FALSE),0)</f>
        <v>100</v>
      </c>
      <c r="V21" s="211">
        <f>Ruimtestaat[[#This Row],[Uitvoeringen werkdagen]]*Ruimtestaat[[#This Row],[Oppervlak (netto)]]</f>
        <v>16868</v>
      </c>
      <c r="W21" s="257">
        <f>IF(U21&gt;0,Ruimtestaat[[#This Row],[Prest. (m2 /jaar) werkdagen]]/Ruimtestaat[[#This Row],[Norm (m2/uur) werkdagen]],0)</f>
        <v>168.68</v>
      </c>
      <c r="X21" s="258">
        <f>Ruimtestaat[[#This Row],[uren / jaar werkdagen]]*Tariefsopbouw!$D$38</f>
        <v>4217</v>
      </c>
      <c r="Y21" s="33"/>
      <c r="Z21" s="33">
        <f>IF(Ruimtestaat[[#This Row],[Frequentie weekend]]&gt;0,VALUE(LEFT(Y21,1))*R21,0)</f>
        <v>0</v>
      </c>
      <c r="AA21" s="33">
        <f>IF($Z21&gt;0,VLOOKUP($J21,Ruimtegroepen[],3,FALSE)*VLOOKUP($L21,Vloersoorten[],3,FALSE)*VLOOKUP($Y21,Frequenties[],3,FALSE)*VLOOKUP(#REF!,Locaties[],3,FALSE),0)</f>
        <v>0</v>
      </c>
      <c r="AB21" s="33"/>
      <c r="AC21" s="33"/>
      <c r="AD21" s="33">
        <f>Ruimtestaat[[#This Row],[uren / jaar weekend]]*Tariefsopbouw!$D$40</f>
        <v>0</v>
      </c>
      <c r="AE21" s="88">
        <f>Ruimtestaat[[#This Row],[Prest. (m2 /jaar) weekend]]+Ruimtestaat[[#This Row],[Prest. (m2 /jaar) werkdagen]]</f>
        <v>16868</v>
      </c>
      <c r="AF21" s="88">
        <f>Ruimtestaat[[#This Row],[uren / jaar weekend]]+Ruimtestaat[[#This Row],[uren / jaar werkdagen]]</f>
        <v>168.68</v>
      </c>
      <c r="AG21" s="89">
        <f>Ruimtestaat[[#This Row],[kosten / jaar weekend]]+Ruimtestaat[[#This Row],[kosten / jaar werkdagen]]</f>
        <v>4217</v>
      </c>
      <c r="AH21" s="114"/>
      <c r="HL21" s="87"/>
    </row>
    <row r="22" spans="1:220" ht="15" customHeight="1">
      <c r="A22" s="129">
        <v>1</v>
      </c>
      <c r="B22" s="21" t="str">
        <f>VLOOKUP(Ruimtestaat[[#This Row],[Code]],Locaties[#All],2,FALSE)</f>
        <v>Groenlo</v>
      </c>
      <c r="C22" s="21" t="str">
        <f>VLOOKUP(Ruimtestaat[[#This Row],[Code]],Locaties[#All],4,FALSE)</f>
        <v>Deken Hooijmanssingel 1</v>
      </c>
      <c r="D22" s="21" t="str">
        <f>VLOOKUP(Ruimtestaat[[#This Row],[Code]],Locaties[#All],5,FALSE)</f>
        <v>7141 EA</v>
      </c>
      <c r="E22" s="195" t="str">
        <f>VLOOKUP(Ruimtestaat[[#This Row],[Code]],Locaties[#All],6,FALSE)</f>
        <v>Groenlo</v>
      </c>
      <c r="F22" s="195" t="s">
        <v>774</v>
      </c>
      <c r="G22" s="211" t="s">
        <v>776</v>
      </c>
      <c r="H22" s="195">
        <v>518</v>
      </c>
      <c r="I22" s="242" t="s">
        <v>382</v>
      </c>
      <c r="J22" s="211">
        <v>7</v>
      </c>
      <c r="K22" s="242" t="str">
        <f>VLOOKUP(Ruimtestaat[[#This Row],[Ruimte code]],Ruimtegroepen[#All],2,FALSE)</f>
        <v>Entree</v>
      </c>
      <c r="L22" s="211" t="s">
        <v>109</v>
      </c>
      <c r="M22" s="195" t="s">
        <v>778</v>
      </c>
      <c r="N22" s="197">
        <v>14.56</v>
      </c>
      <c r="O22" s="209"/>
      <c r="P22" s="241" t="str">
        <f>VLOOKUP(Ruimtestaat[[#This Row],[Ruimte code]],Ruimtegroepen[#All],4,FALSE)</f>
        <v>V  (Verkeersruimte)</v>
      </c>
      <c r="Q22" s="210"/>
      <c r="R22" s="211">
        <v>40</v>
      </c>
      <c r="S22" s="211" t="s">
        <v>2</v>
      </c>
      <c r="T22" s="211">
        <f>IF(R22&gt;0,IF(RIGHT(Ruimtestaat[[#This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22" s="211">
        <f>IF(T22&gt;0,VLOOKUP($J22,Ruimtegroepen[],3,FALSE)*VLOOKUP($L22,Vloersoorten[],3,FALSE)*VLOOKUP($S22,Frequenties[],3,FALSE)*VLOOKUP($A22,Locaties[],3,FALSE),0)</f>
        <v>100</v>
      </c>
      <c r="V22" s="211">
        <f>Ruimtestaat[[#This Row],[Uitvoeringen werkdagen]]*Ruimtestaat[[#This Row],[Oppervlak (netto)]]</f>
        <v>2912</v>
      </c>
      <c r="W22" s="257">
        <f>IF(U22&gt;0,Ruimtestaat[[#This Row],[Prest. (m2 /jaar) werkdagen]]/Ruimtestaat[[#This Row],[Norm (m2/uur) werkdagen]],0)</f>
        <v>29.12</v>
      </c>
      <c r="X22" s="258">
        <f>Ruimtestaat[[#This Row],[uren / jaar werkdagen]]*Tariefsopbouw!$D$38</f>
        <v>728</v>
      </c>
      <c r="Y22" s="33"/>
      <c r="Z22" s="33">
        <f>IF(Ruimtestaat[[#This Row],[Frequentie weekend]]&gt;0,VALUE(LEFT(Y22,1))*R22,0)</f>
        <v>0</v>
      </c>
      <c r="AA22" s="33">
        <f>IF($Z22&gt;0,VLOOKUP($J22,Ruimtegroepen[],3,FALSE)*VLOOKUP($L22,Vloersoorten[],3,FALSE)*VLOOKUP($Y22,Frequenties[],3,FALSE)*VLOOKUP(#REF!,Locaties[],3,FALSE),0)</f>
        <v>0</v>
      </c>
      <c r="AB22" s="33"/>
      <c r="AC22" s="33"/>
      <c r="AD22" s="33">
        <f>Ruimtestaat[[#This Row],[uren / jaar weekend]]*Tariefsopbouw!$D$40</f>
        <v>0</v>
      </c>
      <c r="AE22" s="88">
        <f>Ruimtestaat[[#This Row],[Prest. (m2 /jaar) weekend]]+Ruimtestaat[[#This Row],[Prest. (m2 /jaar) werkdagen]]</f>
        <v>2912</v>
      </c>
      <c r="AF22" s="88">
        <f>Ruimtestaat[[#This Row],[uren / jaar weekend]]+Ruimtestaat[[#This Row],[uren / jaar werkdagen]]</f>
        <v>29.12</v>
      </c>
      <c r="AG22" s="89">
        <f>Ruimtestaat[[#This Row],[kosten / jaar weekend]]+Ruimtestaat[[#This Row],[kosten / jaar werkdagen]]</f>
        <v>728</v>
      </c>
      <c r="AH22" s="114"/>
      <c r="HL22" s="87"/>
    </row>
    <row r="23" spans="1:220" ht="15" customHeight="1">
      <c r="A23" s="129">
        <v>1</v>
      </c>
      <c r="B23" s="21" t="str">
        <f>VLOOKUP(Ruimtestaat[[#This Row],[Code]],Locaties[#All],2,FALSE)</f>
        <v>Groenlo</v>
      </c>
      <c r="C23" s="21" t="str">
        <f>VLOOKUP(Ruimtestaat[[#This Row],[Code]],Locaties[#All],4,FALSE)</f>
        <v>Deken Hooijmanssingel 1</v>
      </c>
      <c r="D23" s="21" t="str">
        <f>VLOOKUP(Ruimtestaat[[#This Row],[Code]],Locaties[#All],5,FALSE)</f>
        <v>7141 EA</v>
      </c>
      <c r="E23" s="195" t="str">
        <f>VLOOKUP(Ruimtestaat[[#This Row],[Code]],Locaties[#All],6,FALSE)</f>
        <v>Groenlo</v>
      </c>
      <c r="F23" s="195" t="s">
        <v>774</v>
      </c>
      <c r="G23" s="211" t="s">
        <v>776</v>
      </c>
      <c r="H23" s="195">
        <v>519</v>
      </c>
      <c r="I23" s="242" t="s">
        <v>639</v>
      </c>
      <c r="J23" s="195">
        <v>7</v>
      </c>
      <c r="K23" s="242" t="str">
        <f>VLOOKUP(Ruimtestaat[[#This Row],[Ruimte code]],Ruimtegroepen[#All],2,FALSE)</f>
        <v>Entree</v>
      </c>
      <c r="L23" s="211" t="s">
        <v>109</v>
      </c>
      <c r="M23" s="195" t="s">
        <v>778</v>
      </c>
      <c r="N23" s="197">
        <v>15.69</v>
      </c>
      <c r="O23" s="209"/>
      <c r="P23" s="241" t="str">
        <f>VLOOKUP(Ruimtestaat[[#This Row],[Ruimte code]],Ruimtegroepen[#All],4,FALSE)</f>
        <v>V  (Verkeersruimte)</v>
      </c>
      <c r="Q23" s="210"/>
      <c r="R23" s="211">
        <v>40</v>
      </c>
      <c r="S23" s="211" t="s">
        <v>2</v>
      </c>
      <c r="T23" s="211">
        <f>IF(R23&gt;0,IF(RIGHT(Ruimtestaat[[#This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23" s="211">
        <f>IF(T23&gt;0,VLOOKUP($J23,Ruimtegroepen[],3,FALSE)*VLOOKUP($L23,Vloersoorten[],3,FALSE)*VLOOKUP($S23,Frequenties[],3,FALSE)*VLOOKUP($A23,Locaties[],3,FALSE),0)</f>
        <v>100</v>
      </c>
      <c r="V23" s="211">
        <f>Ruimtestaat[[#This Row],[Uitvoeringen werkdagen]]*Ruimtestaat[[#This Row],[Oppervlak (netto)]]</f>
        <v>3138</v>
      </c>
      <c r="W23" s="257">
        <f>IF(U23&gt;0,Ruimtestaat[[#This Row],[Prest. (m2 /jaar) werkdagen]]/Ruimtestaat[[#This Row],[Norm (m2/uur) werkdagen]],0)</f>
        <v>31.38</v>
      </c>
      <c r="X23" s="258">
        <f>Ruimtestaat[[#This Row],[uren / jaar werkdagen]]*Tariefsopbouw!$D$38</f>
        <v>784.5</v>
      </c>
      <c r="Y23" s="33"/>
      <c r="Z23" s="33">
        <f>IF(Ruimtestaat[[#This Row],[Frequentie weekend]]&gt;0,VALUE(LEFT(Y23,1))*R23,0)</f>
        <v>0</v>
      </c>
      <c r="AA23" s="33">
        <f>IF($Z23&gt;0,VLOOKUP($J23,Ruimtegroepen[],3,FALSE)*VLOOKUP($L23,Vloersoorten[],3,FALSE)*VLOOKUP($Y23,Frequenties[],3,FALSE)*VLOOKUP(#REF!,Locaties[],3,FALSE),0)</f>
        <v>0</v>
      </c>
      <c r="AB23" s="33"/>
      <c r="AC23" s="33"/>
      <c r="AD23" s="33">
        <f>Ruimtestaat[[#This Row],[uren / jaar weekend]]*Tariefsopbouw!$D$40</f>
        <v>0</v>
      </c>
      <c r="AE23" s="88">
        <f>Ruimtestaat[[#This Row],[Prest. (m2 /jaar) weekend]]+Ruimtestaat[[#This Row],[Prest. (m2 /jaar) werkdagen]]</f>
        <v>3138</v>
      </c>
      <c r="AF23" s="88">
        <f>Ruimtestaat[[#This Row],[uren / jaar weekend]]+Ruimtestaat[[#This Row],[uren / jaar werkdagen]]</f>
        <v>31.38</v>
      </c>
      <c r="AG23" s="89">
        <f>Ruimtestaat[[#This Row],[kosten / jaar weekend]]+Ruimtestaat[[#This Row],[kosten / jaar werkdagen]]</f>
        <v>784.5</v>
      </c>
      <c r="AH23" s="114"/>
      <c r="HL23" s="87"/>
    </row>
    <row r="24" spans="1:220" ht="15" customHeight="1">
      <c r="A24" s="129">
        <v>1</v>
      </c>
      <c r="B24" s="21" t="str">
        <f>VLOOKUP(Ruimtestaat[[#This Row],[Code]],Locaties[#All],2,FALSE)</f>
        <v>Groenlo</v>
      </c>
      <c r="C24" s="21" t="str">
        <f>VLOOKUP(Ruimtestaat[[#This Row],[Code]],Locaties[#All],4,FALSE)</f>
        <v>Deken Hooijmanssingel 1</v>
      </c>
      <c r="D24" s="21" t="str">
        <f>VLOOKUP(Ruimtestaat[[#This Row],[Code]],Locaties[#All],5,FALSE)</f>
        <v>7141 EA</v>
      </c>
      <c r="E24" s="195" t="str">
        <f>VLOOKUP(Ruimtestaat[[#This Row],[Code]],Locaties[#All],6,FALSE)</f>
        <v>Groenlo</v>
      </c>
      <c r="F24" s="195" t="s">
        <v>774</v>
      </c>
      <c r="G24" s="211" t="s">
        <v>776</v>
      </c>
      <c r="H24" s="195">
        <v>520</v>
      </c>
      <c r="I24" s="242" t="s">
        <v>441</v>
      </c>
      <c r="J24" s="195">
        <v>1</v>
      </c>
      <c r="K24" s="242" t="str">
        <f>VLOOKUP(Ruimtestaat[[#This Row],[Ruimte code]],Ruimtegroepen[#All],2,FALSE)</f>
        <v>Magazijnen/bergingen</v>
      </c>
      <c r="L24" s="211" t="s">
        <v>110</v>
      </c>
      <c r="M24" s="195" t="s">
        <v>133</v>
      </c>
      <c r="N24" s="197">
        <v>7.34</v>
      </c>
      <c r="O24" s="209"/>
      <c r="P24" s="241" t="str">
        <f>VLOOKUP(Ruimtestaat[[#This Row],[Ruimte code]],Ruimtegroepen[#All],4,FALSE)</f>
        <v>V  (Verkeersruimte)</v>
      </c>
      <c r="Q24" s="210"/>
      <c r="R24" s="211">
        <v>40</v>
      </c>
      <c r="S24" s="211" t="s">
        <v>16</v>
      </c>
      <c r="T24" s="211">
        <f>IF(R24&gt;0,IF(RIGHT(Ruimtestaat[[#This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U24" s="211">
        <f>IF(T24&gt;0,VLOOKUP($J24,Ruimtegroepen[],3,FALSE)*VLOOKUP($L24,Vloersoorten[],3,FALSE)*VLOOKUP($S24,Frequenties[],3,FALSE)*VLOOKUP($A24,Locaties[],3,FALSE),0)</f>
        <v>100</v>
      </c>
      <c r="V24" s="211">
        <f>Ruimtestaat[[#This Row],[Uitvoeringen werkdagen]]*Ruimtestaat[[#This Row],[Oppervlak (netto)]]</f>
        <v>88.08</v>
      </c>
      <c r="W24" s="257">
        <f>IF(U24&gt;0,Ruimtestaat[[#This Row],[Prest. (m2 /jaar) werkdagen]]/Ruimtestaat[[#This Row],[Norm (m2/uur) werkdagen]],0)</f>
        <v>0.88080000000000003</v>
      </c>
      <c r="X24" s="258">
        <f>Ruimtestaat[[#This Row],[uren / jaar werkdagen]]*Tariefsopbouw!$D$38</f>
        <v>22.02</v>
      </c>
      <c r="Y24" s="33"/>
      <c r="Z24" s="33">
        <f>IF(Ruimtestaat[[#This Row],[Frequentie weekend]]&gt;0,VALUE(LEFT(Y24,1))*R24,0)</f>
        <v>0</v>
      </c>
      <c r="AA24" s="33">
        <f>IF($Z24&gt;0,VLOOKUP($J24,Ruimtegroepen[],3,FALSE)*VLOOKUP($L24,Vloersoorten[],3,FALSE)*VLOOKUP($Y24,Frequenties[],3,FALSE)*VLOOKUP(#REF!,Locaties[],3,FALSE),0)</f>
        <v>0</v>
      </c>
      <c r="AB24" s="33"/>
      <c r="AC24" s="33"/>
      <c r="AD24" s="33">
        <f>Ruimtestaat[[#This Row],[uren / jaar weekend]]*Tariefsopbouw!$D$40</f>
        <v>0</v>
      </c>
      <c r="AE24" s="88">
        <f>Ruimtestaat[[#This Row],[Prest. (m2 /jaar) weekend]]+Ruimtestaat[[#This Row],[Prest. (m2 /jaar) werkdagen]]</f>
        <v>88.08</v>
      </c>
      <c r="AF24" s="88">
        <f>Ruimtestaat[[#This Row],[uren / jaar weekend]]+Ruimtestaat[[#This Row],[uren / jaar werkdagen]]</f>
        <v>0.88080000000000003</v>
      </c>
      <c r="AG24" s="89">
        <f>Ruimtestaat[[#This Row],[kosten / jaar weekend]]+Ruimtestaat[[#This Row],[kosten / jaar werkdagen]]</f>
        <v>22.02</v>
      </c>
      <c r="AH24" s="114"/>
      <c r="HL24" s="87"/>
    </row>
    <row r="25" spans="1:220" ht="15" customHeight="1">
      <c r="A25" s="129">
        <v>1</v>
      </c>
      <c r="B25" s="21" t="str">
        <f>VLOOKUP(Ruimtestaat[[#This Row],[Code]],Locaties[#All],2,FALSE)</f>
        <v>Groenlo</v>
      </c>
      <c r="C25" s="21" t="str">
        <f>VLOOKUP(Ruimtestaat[[#This Row],[Code]],Locaties[#All],4,FALSE)</f>
        <v>Deken Hooijmanssingel 1</v>
      </c>
      <c r="D25" s="21" t="str">
        <f>VLOOKUP(Ruimtestaat[[#This Row],[Code]],Locaties[#All],5,FALSE)</f>
        <v>7141 EA</v>
      </c>
      <c r="E25" s="195" t="str">
        <f>VLOOKUP(Ruimtestaat[[#This Row],[Code]],Locaties[#All],6,FALSE)</f>
        <v>Groenlo</v>
      </c>
      <c r="F25" s="195" t="s">
        <v>774</v>
      </c>
      <c r="G25" s="211" t="s">
        <v>776</v>
      </c>
      <c r="H25" s="195">
        <v>521</v>
      </c>
      <c r="I25" s="242" t="s">
        <v>441</v>
      </c>
      <c r="J25" s="195">
        <v>1</v>
      </c>
      <c r="K25" s="242" t="str">
        <f>VLOOKUP(Ruimtestaat[[#This Row],[Ruimte code]],Ruimtegroepen[#All],2,FALSE)</f>
        <v>Magazijnen/bergingen</v>
      </c>
      <c r="L25" s="211" t="s">
        <v>110</v>
      </c>
      <c r="M25" s="195" t="s">
        <v>133</v>
      </c>
      <c r="N25" s="197">
        <v>22.38</v>
      </c>
      <c r="O25" s="209"/>
      <c r="P25" s="241" t="str">
        <f>VLOOKUP(Ruimtestaat[[#This Row],[Ruimte code]],Ruimtegroepen[#All],4,FALSE)</f>
        <v>V  (Verkeersruimte)</v>
      </c>
      <c r="Q25" s="210"/>
      <c r="R25" s="211">
        <v>40</v>
      </c>
      <c r="S25" s="211" t="s">
        <v>16</v>
      </c>
      <c r="T25" s="211">
        <f>IF(R25&gt;0,IF(RIGHT(Ruimtestaat[[#This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U25" s="211">
        <f>IF(T25&gt;0,VLOOKUP($J25,Ruimtegroepen[],3,FALSE)*VLOOKUP($L25,Vloersoorten[],3,FALSE)*VLOOKUP($S25,Frequenties[],3,FALSE)*VLOOKUP($A25,Locaties[],3,FALSE),0)</f>
        <v>100</v>
      </c>
      <c r="V25" s="211">
        <f>Ruimtestaat[[#This Row],[Uitvoeringen werkdagen]]*Ruimtestaat[[#This Row],[Oppervlak (netto)]]</f>
        <v>268.56</v>
      </c>
      <c r="W25" s="257">
        <f>IF(U25&gt;0,Ruimtestaat[[#This Row],[Prest. (m2 /jaar) werkdagen]]/Ruimtestaat[[#This Row],[Norm (m2/uur) werkdagen]],0)</f>
        <v>2.6856</v>
      </c>
      <c r="X25" s="258">
        <f>Ruimtestaat[[#This Row],[uren / jaar werkdagen]]*Tariefsopbouw!$D$38</f>
        <v>67.14</v>
      </c>
      <c r="Y25" s="33"/>
      <c r="Z25" s="33">
        <f>IF(Ruimtestaat[[#This Row],[Frequentie weekend]]&gt;0,VALUE(LEFT(Y25,1))*R25,0)</f>
        <v>0</v>
      </c>
      <c r="AA25" s="33">
        <f>IF($Z25&gt;0,VLOOKUP($J25,Ruimtegroepen[],3,FALSE)*VLOOKUP($L25,Vloersoorten[],3,FALSE)*VLOOKUP($Y25,Frequenties[],3,FALSE)*VLOOKUP(#REF!,Locaties[],3,FALSE),0)</f>
        <v>0</v>
      </c>
      <c r="AB25" s="33"/>
      <c r="AC25" s="33"/>
      <c r="AD25" s="33">
        <f>Ruimtestaat[[#This Row],[uren / jaar weekend]]*Tariefsopbouw!$D$40</f>
        <v>0</v>
      </c>
      <c r="AE25" s="88">
        <f>Ruimtestaat[[#This Row],[Prest. (m2 /jaar) weekend]]+Ruimtestaat[[#This Row],[Prest. (m2 /jaar) werkdagen]]</f>
        <v>268.56</v>
      </c>
      <c r="AF25" s="88">
        <f>Ruimtestaat[[#This Row],[uren / jaar weekend]]+Ruimtestaat[[#This Row],[uren / jaar werkdagen]]</f>
        <v>2.6856</v>
      </c>
      <c r="AG25" s="89">
        <f>Ruimtestaat[[#This Row],[kosten / jaar weekend]]+Ruimtestaat[[#This Row],[kosten / jaar werkdagen]]</f>
        <v>67.14</v>
      </c>
      <c r="AH25" s="114"/>
      <c r="HL25" s="87"/>
    </row>
    <row r="26" spans="1:220" ht="15" customHeight="1">
      <c r="A26" s="129">
        <v>1</v>
      </c>
      <c r="B26" s="21" t="str">
        <f>VLOOKUP(Ruimtestaat[[#This Row],[Code]],Locaties[#All],2,FALSE)</f>
        <v>Groenlo</v>
      </c>
      <c r="C26" s="21" t="str">
        <f>VLOOKUP(Ruimtestaat[[#This Row],[Code]],Locaties[#All],4,FALSE)</f>
        <v>Deken Hooijmanssingel 1</v>
      </c>
      <c r="D26" s="21" t="str">
        <f>VLOOKUP(Ruimtestaat[[#This Row],[Code]],Locaties[#All],5,FALSE)</f>
        <v>7141 EA</v>
      </c>
      <c r="E26" s="195" t="str">
        <f>VLOOKUP(Ruimtestaat[[#This Row],[Code]],Locaties[#All],6,FALSE)</f>
        <v>Groenlo</v>
      </c>
      <c r="F26" s="195" t="s">
        <v>774</v>
      </c>
      <c r="G26" s="211" t="s">
        <v>776</v>
      </c>
      <c r="H26" s="195">
        <v>522</v>
      </c>
      <c r="I26" s="242" t="s">
        <v>395</v>
      </c>
      <c r="J26" s="195">
        <v>16</v>
      </c>
      <c r="K26" s="242" t="str">
        <f>VLOOKUP(Ruimtestaat[[#This Row],[Ruimte code]],Ruimtegroepen[#All],2,FALSE)</f>
        <v>Lokaal</v>
      </c>
      <c r="L26" s="211" t="s">
        <v>110</v>
      </c>
      <c r="M26" s="195" t="s">
        <v>133</v>
      </c>
      <c r="N26" s="197">
        <v>91.52</v>
      </c>
      <c r="O26" s="209"/>
      <c r="P26" s="241" t="str">
        <f>VLOOKUP(Ruimtestaat[[#This Row],[Ruimte code]],Ruimtegroepen[#All],4,FALSE)</f>
        <v>L  (Lesruimte)</v>
      </c>
      <c r="Q26" s="210"/>
      <c r="R26" s="211">
        <v>40</v>
      </c>
      <c r="S26" s="211" t="s">
        <v>2</v>
      </c>
      <c r="T26" s="211">
        <f>IF(R26&gt;0,IF(RIGHT(Ruimtestaat[[#This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26" s="211">
        <f>IF(T26&gt;0,VLOOKUP($J26,Ruimtegroepen[],3,FALSE)*VLOOKUP($L26,Vloersoorten[],3,FALSE)*VLOOKUP($S26,Frequenties[],3,FALSE)*VLOOKUP($A26,Locaties[],3,FALSE),0)</f>
        <v>100</v>
      </c>
      <c r="V26" s="211">
        <f>Ruimtestaat[[#This Row],[Uitvoeringen werkdagen]]*Ruimtestaat[[#This Row],[Oppervlak (netto)]]</f>
        <v>18304</v>
      </c>
      <c r="W26" s="257">
        <f>IF(U26&gt;0,Ruimtestaat[[#This Row],[Prest. (m2 /jaar) werkdagen]]/Ruimtestaat[[#This Row],[Norm (m2/uur) werkdagen]],0)</f>
        <v>183.04</v>
      </c>
      <c r="X26" s="258">
        <f>Ruimtestaat[[#This Row],[uren / jaar werkdagen]]*Tariefsopbouw!$D$38</f>
        <v>4576</v>
      </c>
      <c r="Y26" s="33"/>
      <c r="Z26" s="33">
        <f>IF(Ruimtestaat[[#This Row],[Frequentie weekend]]&gt;0,VALUE(LEFT(Y26,1))*R26,0)</f>
        <v>0</v>
      </c>
      <c r="AA26" s="33">
        <f>IF($Z26&gt;0,VLOOKUP($J26,Ruimtegroepen[],3,FALSE)*VLOOKUP($L26,Vloersoorten[],3,FALSE)*VLOOKUP($Y26,Frequenties[],3,FALSE)*VLOOKUP(#REF!,Locaties[],3,FALSE),0)</f>
        <v>0</v>
      </c>
      <c r="AB26" s="33"/>
      <c r="AC26" s="33"/>
      <c r="AD26" s="33">
        <f>Ruimtestaat[[#This Row],[uren / jaar weekend]]*Tariefsopbouw!$D$40</f>
        <v>0</v>
      </c>
      <c r="AE26" s="88">
        <f>Ruimtestaat[[#This Row],[Prest. (m2 /jaar) weekend]]+Ruimtestaat[[#This Row],[Prest. (m2 /jaar) werkdagen]]</f>
        <v>18304</v>
      </c>
      <c r="AF26" s="88">
        <f>Ruimtestaat[[#This Row],[uren / jaar weekend]]+Ruimtestaat[[#This Row],[uren / jaar werkdagen]]</f>
        <v>183.04</v>
      </c>
      <c r="AG26" s="89">
        <f>Ruimtestaat[[#This Row],[kosten / jaar weekend]]+Ruimtestaat[[#This Row],[kosten / jaar werkdagen]]</f>
        <v>4576</v>
      </c>
      <c r="AH26" s="114"/>
      <c r="HL26" s="87"/>
    </row>
    <row r="27" spans="1:220" ht="15" customHeight="1">
      <c r="A27" s="129">
        <v>1</v>
      </c>
      <c r="B27" s="21" t="str">
        <f>VLOOKUP(Ruimtestaat[[#This Row],[Code]],Locaties[#All],2,FALSE)</f>
        <v>Groenlo</v>
      </c>
      <c r="C27" s="21" t="str">
        <f>VLOOKUP(Ruimtestaat[[#This Row],[Code]],Locaties[#All],4,FALSE)</f>
        <v>Deken Hooijmanssingel 1</v>
      </c>
      <c r="D27" s="21" t="str">
        <f>VLOOKUP(Ruimtestaat[[#This Row],[Code]],Locaties[#All],5,FALSE)</f>
        <v>7141 EA</v>
      </c>
      <c r="E27" s="195" t="str">
        <f>VLOOKUP(Ruimtestaat[[#This Row],[Code]],Locaties[#All],6,FALSE)</f>
        <v>Groenlo</v>
      </c>
      <c r="F27" s="195" t="s">
        <v>774</v>
      </c>
      <c r="G27" s="211" t="s">
        <v>776</v>
      </c>
      <c r="H27" s="195">
        <v>523</v>
      </c>
      <c r="I27" s="242" t="s">
        <v>272</v>
      </c>
      <c r="J27" s="195">
        <v>10</v>
      </c>
      <c r="K27" s="242" t="str">
        <f>VLOOKUP(Ruimtestaat[[#This Row],[Ruimte code]],Ruimtegroepen[#All],2,FALSE)</f>
        <v>Trappenhuizen/lift</v>
      </c>
      <c r="L27" s="211" t="s">
        <v>110</v>
      </c>
      <c r="M27" s="195" t="s">
        <v>133</v>
      </c>
      <c r="N27" s="197">
        <v>3.37</v>
      </c>
      <c r="O27" s="209"/>
      <c r="P27" s="241" t="str">
        <f>VLOOKUP(Ruimtestaat[[#This Row],[Ruimte code]],Ruimtegroepen[#All],4,FALSE)</f>
        <v>V  (Verkeersruimte)</v>
      </c>
      <c r="Q27" s="210"/>
      <c r="R27" s="211">
        <v>40</v>
      </c>
      <c r="S27" s="211" t="s">
        <v>2</v>
      </c>
      <c r="T27" s="211">
        <f>IF(R27&gt;0,IF(RIGHT(Ruimtestaat[[#This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27" s="211">
        <f>IF(T27&gt;0,VLOOKUP($J27,Ruimtegroepen[],3,FALSE)*VLOOKUP($L27,Vloersoorten[],3,FALSE)*VLOOKUP($S27,Frequenties[],3,FALSE)*VLOOKUP($A27,Locaties[],3,FALSE),0)</f>
        <v>100</v>
      </c>
      <c r="V27" s="211">
        <f>Ruimtestaat[[#This Row],[Uitvoeringen werkdagen]]*Ruimtestaat[[#This Row],[Oppervlak (netto)]]</f>
        <v>674</v>
      </c>
      <c r="W27" s="257">
        <f>IF(U27&gt;0,Ruimtestaat[[#This Row],[Prest. (m2 /jaar) werkdagen]]/Ruimtestaat[[#This Row],[Norm (m2/uur) werkdagen]],0)</f>
        <v>6.74</v>
      </c>
      <c r="X27" s="258">
        <f>Ruimtestaat[[#This Row],[uren / jaar werkdagen]]*Tariefsopbouw!$D$38</f>
        <v>168.5</v>
      </c>
      <c r="Y27" s="33"/>
      <c r="Z27" s="33">
        <f>IF(Ruimtestaat[[#This Row],[Frequentie weekend]]&gt;0,VALUE(LEFT(Y27,1))*R27,0)</f>
        <v>0</v>
      </c>
      <c r="AA27" s="33">
        <f>IF($Z27&gt;0,VLOOKUP($J27,Ruimtegroepen[],3,FALSE)*VLOOKUP($L27,Vloersoorten[],3,FALSE)*VLOOKUP($Y27,Frequenties[],3,FALSE)*VLOOKUP(#REF!,Locaties[],3,FALSE),0)</f>
        <v>0</v>
      </c>
      <c r="AB27" s="33"/>
      <c r="AC27" s="33"/>
      <c r="AD27" s="33">
        <f>Ruimtestaat[[#This Row],[uren / jaar weekend]]*Tariefsopbouw!$D$40</f>
        <v>0</v>
      </c>
      <c r="AE27" s="88">
        <f>Ruimtestaat[[#This Row],[Prest. (m2 /jaar) weekend]]+Ruimtestaat[[#This Row],[Prest. (m2 /jaar) werkdagen]]</f>
        <v>674</v>
      </c>
      <c r="AF27" s="88">
        <f>Ruimtestaat[[#This Row],[uren / jaar weekend]]+Ruimtestaat[[#This Row],[uren / jaar werkdagen]]</f>
        <v>6.74</v>
      </c>
      <c r="AG27" s="89">
        <f>Ruimtestaat[[#This Row],[kosten / jaar weekend]]+Ruimtestaat[[#This Row],[kosten / jaar werkdagen]]</f>
        <v>168.5</v>
      </c>
      <c r="AH27" s="114"/>
      <c r="HL27" s="87"/>
    </row>
    <row r="28" spans="1:220" ht="15" customHeight="1">
      <c r="A28" s="129">
        <v>1</v>
      </c>
      <c r="B28" s="21" t="str">
        <f>VLOOKUP(Ruimtestaat[[#This Row],[Code]],Locaties[#All],2,FALSE)</f>
        <v>Groenlo</v>
      </c>
      <c r="C28" s="21" t="str">
        <f>VLOOKUP(Ruimtestaat[[#This Row],[Code]],Locaties[#All],4,FALSE)</f>
        <v>Deken Hooijmanssingel 1</v>
      </c>
      <c r="D28" s="21" t="str">
        <f>VLOOKUP(Ruimtestaat[[#This Row],[Code]],Locaties[#All],5,FALSE)</f>
        <v>7141 EA</v>
      </c>
      <c r="E28" s="195" t="str">
        <f>VLOOKUP(Ruimtestaat[[#This Row],[Code]],Locaties[#All],6,FALSE)</f>
        <v>Groenlo</v>
      </c>
      <c r="F28" s="195" t="s">
        <v>774</v>
      </c>
      <c r="G28" s="211" t="s">
        <v>776</v>
      </c>
      <c r="H28" s="195">
        <v>524</v>
      </c>
      <c r="I28" s="242" t="s">
        <v>382</v>
      </c>
      <c r="J28" s="195">
        <v>10</v>
      </c>
      <c r="K28" s="242" t="str">
        <f>VLOOKUP(Ruimtestaat[[#This Row],[Ruimte code]],Ruimtegroepen[#All],2,FALSE)</f>
        <v>Trappenhuizen/lift</v>
      </c>
      <c r="L28" s="211" t="s">
        <v>110</v>
      </c>
      <c r="M28" s="195" t="s">
        <v>133</v>
      </c>
      <c r="N28" s="197">
        <v>63.17</v>
      </c>
      <c r="O28" s="209"/>
      <c r="P28" s="241" t="str">
        <f>VLOOKUP(Ruimtestaat[[#This Row],[Ruimte code]],Ruimtegroepen[#All],4,FALSE)</f>
        <v>V  (Verkeersruimte)</v>
      </c>
      <c r="Q28" s="210"/>
      <c r="R28" s="211">
        <v>40</v>
      </c>
      <c r="S28" s="211" t="s">
        <v>2</v>
      </c>
      <c r="T28" s="211">
        <f>IF(R28&gt;0,IF(RIGHT(Ruimtestaat[[#This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28" s="211">
        <f>IF(T28&gt;0,VLOOKUP($J28,Ruimtegroepen[],3,FALSE)*VLOOKUP($L28,Vloersoorten[],3,FALSE)*VLOOKUP($S28,Frequenties[],3,FALSE)*VLOOKUP($A28,Locaties[],3,FALSE),0)</f>
        <v>100</v>
      </c>
      <c r="V28" s="211">
        <f>Ruimtestaat[[#This Row],[Uitvoeringen werkdagen]]*Ruimtestaat[[#This Row],[Oppervlak (netto)]]</f>
        <v>12634</v>
      </c>
      <c r="W28" s="257">
        <f>IF(U28&gt;0,Ruimtestaat[[#This Row],[Prest. (m2 /jaar) werkdagen]]/Ruimtestaat[[#This Row],[Norm (m2/uur) werkdagen]],0)</f>
        <v>126.34</v>
      </c>
      <c r="X28" s="258">
        <f>Ruimtestaat[[#This Row],[uren / jaar werkdagen]]*Tariefsopbouw!$D$38</f>
        <v>3158.5</v>
      </c>
      <c r="Y28" s="33"/>
      <c r="Z28" s="33">
        <f>IF(Ruimtestaat[[#This Row],[Frequentie weekend]]&gt;0,VALUE(LEFT(Y28,1))*R28,0)</f>
        <v>0</v>
      </c>
      <c r="AA28" s="33">
        <f>IF($Z28&gt;0,VLOOKUP($J28,Ruimtegroepen[],3,FALSE)*VLOOKUP($L28,Vloersoorten[],3,FALSE)*VLOOKUP($Y28,Frequenties[],3,FALSE)*VLOOKUP(#REF!,Locaties[],3,FALSE),0)</f>
        <v>0</v>
      </c>
      <c r="AB28" s="33"/>
      <c r="AC28" s="33"/>
      <c r="AD28" s="33">
        <f>Ruimtestaat[[#This Row],[uren / jaar weekend]]*Tariefsopbouw!$D$40</f>
        <v>0</v>
      </c>
      <c r="AE28" s="88">
        <f>Ruimtestaat[[#This Row],[Prest. (m2 /jaar) weekend]]+Ruimtestaat[[#This Row],[Prest. (m2 /jaar) werkdagen]]</f>
        <v>12634</v>
      </c>
      <c r="AF28" s="88">
        <f>Ruimtestaat[[#This Row],[uren / jaar weekend]]+Ruimtestaat[[#This Row],[uren / jaar werkdagen]]</f>
        <v>126.34</v>
      </c>
      <c r="AG28" s="89">
        <f>Ruimtestaat[[#This Row],[kosten / jaar weekend]]+Ruimtestaat[[#This Row],[kosten / jaar werkdagen]]</f>
        <v>3158.5</v>
      </c>
      <c r="AH28" s="114"/>
      <c r="HL28" s="87"/>
    </row>
    <row r="29" spans="1:220" ht="15" customHeight="1">
      <c r="A29" s="129">
        <v>1</v>
      </c>
      <c r="B29" s="21" t="str">
        <f>VLOOKUP(Ruimtestaat[[#This Row],[Code]],Locaties[#All],2,FALSE)</f>
        <v>Groenlo</v>
      </c>
      <c r="C29" s="21" t="str">
        <f>VLOOKUP(Ruimtestaat[[#This Row],[Code]],Locaties[#All],4,FALSE)</f>
        <v>Deken Hooijmanssingel 1</v>
      </c>
      <c r="D29" s="21" t="str">
        <f>VLOOKUP(Ruimtestaat[[#This Row],[Code]],Locaties[#All],5,FALSE)</f>
        <v>7141 EA</v>
      </c>
      <c r="E29" s="195" t="str">
        <f>VLOOKUP(Ruimtestaat[[#This Row],[Code]],Locaties[#All],6,FALSE)</f>
        <v>Groenlo</v>
      </c>
      <c r="F29" s="195" t="s">
        <v>774</v>
      </c>
      <c r="G29" s="211" t="s">
        <v>776</v>
      </c>
      <c r="H29" s="195">
        <v>525</v>
      </c>
      <c r="I29" s="242" t="s">
        <v>382</v>
      </c>
      <c r="J29" s="195">
        <v>6</v>
      </c>
      <c r="K29" s="242" t="str">
        <f>VLOOKUP(Ruimtestaat[[#This Row],[Ruimte code]],Ruimtegroepen[#All],2,FALSE)</f>
        <v>Gangen/hallen</v>
      </c>
      <c r="L29" s="211" t="s">
        <v>110</v>
      </c>
      <c r="M29" s="195" t="s">
        <v>133</v>
      </c>
      <c r="N29" s="197">
        <v>21.28</v>
      </c>
      <c r="O29" s="209"/>
      <c r="P29" s="241" t="str">
        <f>VLOOKUP(Ruimtestaat[[#This Row],[Ruimte code]],Ruimtegroepen[#All],4,FALSE)</f>
        <v>V  (Verkeersruimte)</v>
      </c>
      <c r="Q29" s="210"/>
      <c r="R29" s="211">
        <v>40</v>
      </c>
      <c r="S29" s="211" t="s">
        <v>2</v>
      </c>
      <c r="T29" s="211">
        <f>IF(R29&gt;0,IF(RIGHT(Ruimtestaat[[#This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29" s="211">
        <f>IF(T29&gt;0,VLOOKUP($J29,Ruimtegroepen[],3,FALSE)*VLOOKUP($L29,Vloersoorten[],3,FALSE)*VLOOKUP($S29,Frequenties[],3,FALSE)*VLOOKUP($A29,Locaties[],3,FALSE),0)</f>
        <v>100</v>
      </c>
      <c r="V29" s="211">
        <f>Ruimtestaat[[#This Row],[Uitvoeringen werkdagen]]*Ruimtestaat[[#This Row],[Oppervlak (netto)]]</f>
        <v>4256</v>
      </c>
      <c r="W29" s="257">
        <f>IF(U29&gt;0,Ruimtestaat[[#This Row],[Prest. (m2 /jaar) werkdagen]]/Ruimtestaat[[#This Row],[Norm (m2/uur) werkdagen]],0)</f>
        <v>42.56</v>
      </c>
      <c r="X29" s="258">
        <f>Ruimtestaat[[#This Row],[uren / jaar werkdagen]]*Tariefsopbouw!$D$38</f>
        <v>1064</v>
      </c>
      <c r="Y29" s="33"/>
      <c r="Z29" s="33">
        <f>IF(Ruimtestaat[[#This Row],[Frequentie weekend]]&gt;0,VALUE(LEFT(Y29,1))*R29,0)</f>
        <v>0</v>
      </c>
      <c r="AA29" s="33">
        <f>IF($Z29&gt;0,VLOOKUP($J29,Ruimtegroepen[],3,FALSE)*VLOOKUP($L29,Vloersoorten[],3,FALSE)*VLOOKUP($Y29,Frequenties[],3,FALSE)*VLOOKUP(#REF!,Locaties[],3,FALSE),0)</f>
        <v>0</v>
      </c>
      <c r="AB29" s="33"/>
      <c r="AC29" s="33"/>
      <c r="AD29" s="33">
        <f>Ruimtestaat[[#This Row],[uren / jaar weekend]]*Tariefsopbouw!$D$40</f>
        <v>0</v>
      </c>
      <c r="AE29" s="88">
        <f>Ruimtestaat[[#This Row],[Prest. (m2 /jaar) weekend]]+Ruimtestaat[[#This Row],[Prest. (m2 /jaar) werkdagen]]</f>
        <v>4256</v>
      </c>
      <c r="AF29" s="88">
        <f>Ruimtestaat[[#This Row],[uren / jaar weekend]]+Ruimtestaat[[#This Row],[uren / jaar werkdagen]]</f>
        <v>42.56</v>
      </c>
      <c r="AG29" s="89">
        <f>Ruimtestaat[[#This Row],[kosten / jaar weekend]]+Ruimtestaat[[#This Row],[kosten / jaar werkdagen]]</f>
        <v>1064</v>
      </c>
      <c r="AH29" s="114"/>
      <c r="HL29" s="87"/>
    </row>
    <row r="30" spans="1:220" ht="15" customHeight="1">
      <c r="A30" s="129">
        <v>1</v>
      </c>
      <c r="B30" s="21" t="str">
        <f>VLOOKUP(Ruimtestaat[[#This Row],[Code]],Locaties[#All],2,FALSE)</f>
        <v>Groenlo</v>
      </c>
      <c r="C30" s="21" t="str">
        <f>VLOOKUP(Ruimtestaat[[#This Row],[Code]],Locaties[#All],4,FALSE)</f>
        <v>Deken Hooijmanssingel 1</v>
      </c>
      <c r="D30" s="21" t="str">
        <f>VLOOKUP(Ruimtestaat[[#This Row],[Code]],Locaties[#All],5,FALSE)</f>
        <v>7141 EA</v>
      </c>
      <c r="E30" s="195" t="str">
        <f>VLOOKUP(Ruimtestaat[[#This Row],[Code]],Locaties[#All],6,FALSE)</f>
        <v>Groenlo</v>
      </c>
      <c r="F30" s="195" t="s">
        <v>774</v>
      </c>
      <c r="G30" s="211" t="s">
        <v>776</v>
      </c>
      <c r="H30" s="259">
        <v>526</v>
      </c>
      <c r="I30" s="242" t="s">
        <v>821</v>
      </c>
      <c r="J30" s="195">
        <v>2</v>
      </c>
      <c r="K30" s="242" t="str">
        <f>VLOOKUP(Ruimtestaat[[#This Row],[Ruimte code]],Ruimtegroepen[#All],2,FALSE)</f>
        <v>Kantoren</v>
      </c>
      <c r="L30" s="195" t="s">
        <v>112</v>
      </c>
      <c r="M30" s="195" t="s">
        <v>130</v>
      </c>
      <c r="N30" s="197">
        <v>12.65</v>
      </c>
      <c r="O30" s="209"/>
      <c r="P30" s="241" t="str">
        <f>VLOOKUP(Ruimtestaat[[#This Row],[Ruimte code]],Ruimtegroepen[#All],4,FALSE)</f>
        <v>B  (Bureauruimte)</v>
      </c>
      <c r="Q30" s="210"/>
      <c r="R30" s="211">
        <v>40</v>
      </c>
      <c r="S30" s="211" t="s">
        <v>2</v>
      </c>
      <c r="T30" s="211">
        <f>IF(R30&gt;0,IF(RIGHT(Ruimtestaat[[#This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0" s="211">
        <f>IF(T30&gt;0,VLOOKUP($J30,Ruimtegroepen[],3,FALSE)*VLOOKUP($L30,Vloersoorten[],3,FALSE)*VLOOKUP($S30,Frequenties[],3,FALSE)*VLOOKUP($A30,Locaties[],3,FALSE),0)</f>
        <v>100</v>
      </c>
      <c r="V30" s="211">
        <f>Ruimtestaat[[#This Row],[Uitvoeringen werkdagen]]*Ruimtestaat[[#This Row],[Oppervlak (netto)]]</f>
        <v>2530</v>
      </c>
      <c r="W30" s="257">
        <f>IF(U30&gt;0,Ruimtestaat[[#This Row],[Prest. (m2 /jaar) werkdagen]]/Ruimtestaat[[#This Row],[Norm (m2/uur) werkdagen]],0)</f>
        <v>25.3</v>
      </c>
      <c r="X30" s="258">
        <f>Ruimtestaat[[#This Row],[uren / jaar werkdagen]]*Tariefsopbouw!$D$38</f>
        <v>632.5</v>
      </c>
      <c r="Y30" s="33"/>
      <c r="Z30" s="33">
        <f>IF(Ruimtestaat[[#This Row],[Frequentie weekend]]&gt;0,VALUE(LEFT(Y30,1))*R30,0)</f>
        <v>0</v>
      </c>
      <c r="AA30" s="33">
        <f>IF($Z30&gt;0,VLOOKUP($J30,Ruimtegroepen[],3,FALSE)*VLOOKUP($L30,Vloersoorten[],3,FALSE)*VLOOKUP($Y30,Frequenties[],3,FALSE)*VLOOKUP(#REF!,Locaties[],3,FALSE),0)</f>
        <v>0</v>
      </c>
      <c r="AB30" s="33"/>
      <c r="AC30" s="33"/>
      <c r="AD30" s="33">
        <f>Ruimtestaat[[#This Row],[uren / jaar weekend]]*Tariefsopbouw!$D$40</f>
        <v>0</v>
      </c>
      <c r="AE30" s="88">
        <f>Ruimtestaat[[#This Row],[Prest. (m2 /jaar) weekend]]+Ruimtestaat[[#This Row],[Prest. (m2 /jaar) werkdagen]]</f>
        <v>2530</v>
      </c>
      <c r="AF30" s="88">
        <f>Ruimtestaat[[#This Row],[uren / jaar weekend]]+Ruimtestaat[[#This Row],[uren / jaar werkdagen]]</f>
        <v>25.3</v>
      </c>
      <c r="AG30" s="89">
        <f>Ruimtestaat[[#This Row],[kosten / jaar weekend]]+Ruimtestaat[[#This Row],[kosten / jaar werkdagen]]</f>
        <v>632.5</v>
      </c>
      <c r="AH30" s="114"/>
      <c r="HL30" s="87"/>
    </row>
    <row r="31" spans="1:220" ht="15" customHeight="1">
      <c r="A31" s="129">
        <v>1</v>
      </c>
      <c r="B31" s="21" t="str">
        <f>VLOOKUP(Ruimtestaat[[#This Row],[Code]],Locaties[#All],2,FALSE)</f>
        <v>Groenlo</v>
      </c>
      <c r="C31" s="21" t="str">
        <f>VLOOKUP(Ruimtestaat[[#This Row],[Code]],Locaties[#All],4,FALSE)</f>
        <v>Deken Hooijmanssingel 1</v>
      </c>
      <c r="D31" s="21" t="str">
        <f>VLOOKUP(Ruimtestaat[[#This Row],[Code]],Locaties[#All],5,FALSE)</f>
        <v>7141 EA</v>
      </c>
      <c r="E31" s="195" t="str">
        <f>VLOOKUP(Ruimtestaat[[#This Row],[Code]],Locaties[#All],6,FALSE)</f>
        <v>Groenlo</v>
      </c>
      <c r="F31" s="195" t="s">
        <v>774</v>
      </c>
      <c r="G31" s="211" t="s">
        <v>776</v>
      </c>
      <c r="H31" s="195">
        <v>527</v>
      </c>
      <c r="I31" s="242" t="s">
        <v>444</v>
      </c>
      <c r="J31" s="195">
        <v>12</v>
      </c>
      <c r="K31" s="242" t="str">
        <f>VLOOKUP(Ruimtestaat[[#This Row],[Ruimte code]],Ruimtegroepen[#All],2,FALSE)</f>
        <v>Groepruimte / kantine</v>
      </c>
      <c r="L31" s="195" t="s">
        <v>112</v>
      </c>
      <c r="M31" s="195" t="s">
        <v>130</v>
      </c>
      <c r="N31" s="197">
        <v>419.86</v>
      </c>
      <c r="O31" s="209"/>
      <c r="P31" s="241" t="str">
        <f>VLOOKUP(Ruimtestaat[[#This Row],[Ruimte code]],Ruimtegroepen[#All],4,FALSE)</f>
        <v>V  (Verkeersruimte)</v>
      </c>
      <c r="Q31" s="210"/>
      <c r="R31" s="211">
        <v>40</v>
      </c>
      <c r="S31" s="211" t="s">
        <v>2</v>
      </c>
      <c r="T31" s="211">
        <f>IF(R31&gt;0,IF(RIGHT(Ruimtestaat[[#This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1" s="211">
        <f>IF(T31&gt;0,VLOOKUP($J31,Ruimtegroepen[],3,FALSE)*VLOOKUP($L31,Vloersoorten[],3,FALSE)*VLOOKUP($S31,Frequenties[],3,FALSE)*VLOOKUP($A31,Locaties[],3,FALSE),0)</f>
        <v>100</v>
      </c>
      <c r="V31" s="211">
        <f>Ruimtestaat[[#This Row],[Uitvoeringen werkdagen]]*Ruimtestaat[[#This Row],[Oppervlak (netto)]]</f>
        <v>83972</v>
      </c>
      <c r="W31" s="257">
        <f>IF(U31&gt;0,Ruimtestaat[[#This Row],[Prest. (m2 /jaar) werkdagen]]/Ruimtestaat[[#This Row],[Norm (m2/uur) werkdagen]],0)</f>
        <v>839.72</v>
      </c>
      <c r="X31" s="258">
        <f>Ruimtestaat[[#This Row],[uren / jaar werkdagen]]*Tariefsopbouw!$D$38</f>
        <v>20993</v>
      </c>
      <c r="Y31" s="33"/>
      <c r="Z31" s="33">
        <f>IF(Ruimtestaat[[#This Row],[Frequentie weekend]]&gt;0,VALUE(LEFT(Y31,1))*R31,0)</f>
        <v>0</v>
      </c>
      <c r="AA31" s="33">
        <f>IF($Z31&gt;0,VLOOKUP($J31,Ruimtegroepen[],3,FALSE)*VLOOKUP($L31,Vloersoorten[],3,FALSE)*VLOOKUP($Y31,Frequenties[],3,FALSE)*VLOOKUP(#REF!,Locaties[],3,FALSE),0)</f>
        <v>0</v>
      </c>
      <c r="AB31" s="33"/>
      <c r="AC31" s="33"/>
      <c r="AD31" s="33">
        <f>Ruimtestaat[[#This Row],[uren / jaar weekend]]*Tariefsopbouw!$D$40</f>
        <v>0</v>
      </c>
      <c r="AE31" s="88">
        <f>Ruimtestaat[[#This Row],[Prest. (m2 /jaar) weekend]]+Ruimtestaat[[#This Row],[Prest. (m2 /jaar) werkdagen]]</f>
        <v>83972</v>
      </c>
      <c r="AF31" s="88">
        <f>Ruimtestaat[[#This Row],[uren / jaar weekend]]+Ruimtestaat[[#This Row],[uren / jaar werkdagen]]</f>
        <v>839.72</v>
      </c>
      <c r="AG31" s="89">
        <f>Ruimtestaat[[#This Row],[kosten / jaar weekend]]+Ruimtestaat[[#This Row],[kosten / jaar werkdagen]]</f>
        <v>20993</v>
      </c>
      <c r="AH31" s="114"/>
      <c r="HL31" s="87"/>
    </row>
    <row r="32" spans="1:220" ht="15" customHeight="1">
      <c r="A32" s="129">
        <v>1</v>
      </c>
      <c r="B32" s="21" t="str">
        <f>VLOOKUP(Ruimtestaat[[#This Row],[Code]],Locaties[#All],2,FALSE)</f>
        <v>Groenlo</v>
      </c>
      <c r="C32" s="21" t="str">
        <f>VLOOKUP(Ruimtestaat[[#This Row],[Code]],Locaties[#All],4,FALSE)</f>
        <v>Deken Hooijmanssingel 1</v>
      </c>
      <c r="D32" s="21" t="str">
        <f>VLOOKUP(Ruimtestaat[[#This Row],[Code]],Locaties[#All],5,FALSE)</f>
        <v>7141 EA</v>
      </c>
      <c r="E32" s="195" t="str">
        <f>VLOOKUP(Ruimtestaat[[#This Row],[Code]],Locaties[#All],6,FALSE)</f>
        <v>Groenlo</v>
      </c>
      <c r="F32" s="195" t="s">
        <v>774</v>
      </c>
      <c r="G32" s="211" t="s">
        <v>776</v>
      </c>
      <c r="H32" s="259">
        <v>528</v>
      </c>
      <c r="I32" s="242" t="s">
        <v>445</v>
      </c>
      <c r="J32" s="195">
        <v>12</v>
      </c>
      <c r="K32" s="242" t="str">
        <f>VLOOKUP(Ruimtestaat[[#This Row],[Ruimte code]],Ruimtegroepen[#All],2,FALSE)</f>
        <v>Groepruimte / kantine</v>
      </c>
      <c r="L32" s="211" t="s">
        <v>109</v>
      </c>
      <c r="M32" s="195" t="s">
        <v>38</v>
      </c>
      <c r="N32" s="197">
        <v>54.78</v>
      </c>
      <c r="O32" s="209"/>
      <c r="P32" s="241" t="str">
        <f>VLOOKUP(Ruimtestaat[[#This Row],[Ruimte code]],Ruimtegroepen[#All],4,FALSE)</f>
        <v>V  (Verkeersruimte)</v>
      </c>
      <c r="Q32" s="210"/>
      <c r="R32" s="211">
        <v>40</v>
      </c>
      <c r="S32" s="211" t="s">
        <v>2</v>
      </c>
      <c r="T32" s="211">
        <f>IF(R32&gt;0,IF(RIGHT(Ruimtestaat[[#This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2" s="211">
        <f>IF(T32&gt;0,VLOOKUP($J32,Ruimtegroepen[],3,FALSE)*VLOOKUP($L32,Vloersoorten[],3,FALSE)*VLOOKUP($S32,Frequenties[],3,FALSE)*VLOOKUP($A32,Locaties[],3,FALSE),0)</f>
        <v>100</v>
      </c>
      <c r="V32" s="211">
        <f>Ruimtestaat[[#This Row],[Uitvoeringen werkdagen]]*Ruimtestaat[[#This Row],[Oppervlak (netto)]]</f>
        <v>10956</v>
      </c>
      <c r="W32" s="257">
        <f>IF(U32&gt;0,Ruimtestaat[[#This Row],[Prest. (m2 /jaar) werkdagen]]/Ruimtestaat[[#This Row],[Norm (m2/uur) werkdagen]],0)</f>
        <v>109.56</v>
      </c>
      <c r="X32" s="258">
        <f>Ruimtestaat[[#This Row],[uren / jaar werkdagen]]*Tariefsopbouw!$D$38</f>
        <v>2739</v>
      </c>
      <c r="Y32" s="33"/>
      <c r="Z32" s="33">
        <f>IF(Ruimtestaat[[#This Row],[Frequentie weekend]]&gt;0,VALUE(LEFT(Y32,1))*R32,0)</f>
        <v>0</v>
      </c>
      <c r="AA32" s="33">
        <f>IF($Z32&gt;0,VLOOKUP($J32,Ruimtegroepen[],3,FALSE)*VLOOKUP($L32,Vloersoorten[],3,FALSE)*VLOOKUP($Y32,Frequenties[],3,FALSE)*VLOOKUP(#REF!,Locaties[],3,FALSE),0)</f>
        <v>0</v>
      </c>
      <c r="AB32" s="33"/>
      <c r="AC32" s="33"/>
      <c r="AD32" s="33">
        <f>Ruimtestaat[[#This Row],[uren / jaar weekend]]*Tariefsopbouw!$D$40</f>
        <v>0</v>
      </c>
      <c r="AE32" s="88">
        <f>Ruimtestaat[[#This Row],[Prest. (m2 /jaar) weekend]]+Ruimtestaat[[#This Row],[Prest. (m2 /jaar) werkdagen]]</f>
        <v>10956</v>
      </c>
      <c r="AF32" s="88">
        <f>Ruimtestaat[[#This Row],[uren / jaar weekend]]+Ruimtestaat[[#This Row],[uren / jaar werkdagen]]</f>
        <v>109.56</v>
      </c>
      <c r="AG32" s="89">
        <f>Ruimtestaat[[#This Row],[kosten / jaar weekend]]+Ruimtestaat[[#This Row],[kosten / jaar werkdagen]]</f>
        <v>2739</v>
      </c>
      <c r="AH32" s="114"/>
      <c r="HL32" s="87"/>
    </row>
    <row r="33" spans="1:220" ht="15" customHeight="1">
      <c r="A33" s="129">
        <v>1</v>
      </c>
      <c r="B33" s="21" t="str">
        <f>VLOOKUP(Ruimtestaat[[#This Row],[Code]],Locaties[#All],2,FALSE)</f>
        <v>Groenlo</v>
      </c>
      <c r="C33" s="21" t="str">
        <f>VLOOKUP(Ruimtestaat[[#This Row],[Code]],Locaties[#All],4,FALSE)</f>
        <v>Deken Hooijmanssingel 1</v>
      </c>
      <c r="D33" s="21" t="str">
        <f>VLOOKUP(Ruimtestaat[[#This Row],[Code]],Locaties[#All],5,FALSE)</f>
        <v>7141 EA</v>
      </c>
      <c r="E33" s="195" t="str">
        <f>VLOOKUP(Ruimtestaat[[#This Row],[Code]],Locaties[#All],6,FALSE)</f>
        <v>Groenlo</v>
      </c>
      <c r="F33" s="195" t="s">
        <v>774</v>
      </c>
      <c r="G33" s="211" t="s">
        <v>776</v>
      </c>
      <c r="H33" s="195">
        <v>529</v>
      </c>
      <c r="I33" s="242" t="s">
        <v>444</v>
      </c>
      <c r="J33" s="195">
        <v>12</v>
      </c>
      <c r="K33" s="242" t="str">
        <f>VLOOKUP(Ruimtestaat[[#This Row],[Ruimte code]],Ruimtegroepen[#All],2,FALSE)</f>
        <v>Groepruimte / kantine</v>
      </c>
      <c r="L33" s="211" t="s">
        <v>109</v>
      </c>
      <c r="M33" s="195" t="s">
        <v>38</v>
      </c>
      <c r="N33" s="197">
        <v>59.78</v>
      </c>
      <c r="O33" s="209"/>
      <c r="P33" s="241" t="str">
        <f>VLOOKUP(Ruimtestaat[[#This Row],[Ruimte code]],Ruimtegroepen[#All],4,FALSE)</f>
        <v>V  (Verkeersruimte)</v>
      </c>
      <c r="Q33" s="210"/>
      <c r="R33" s="211">
        <v>40</v>
      </c>
      <c r="S33" s="211" t="s">
        <v>2</v>
      </c>
      <c r="T33" s="211">
        <f>IF(R33&gt;0,IF(RIGHT(Ruimtestaat[[#This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3" s="211">
        <f>IF(T33&gt;0,VLOOKUP($J33,Ruimtegroepen[],3,FALSE)*VLOOKUP($L33,Vloersoorten[],3,FALSE)*VLOOKUP($S33,Frequenties[],3,FALSE)*VLOOKUP($A33,Locaties[],3,FALSE),0)</f>
        <v>100</v>
      </c>
      <c r="V33" s="211">
        <f>Ruimtestaat[[#This Row],[Uitvoeringen werkdagen]]*Ruimtestaat[[#This Row],[Oppervlak (netto)]]</f>
        <v>11956</v>
      </c>
      <c r="W33" s="257">
        <f>IF(U33&gt;0,Ruimtestaat[[#This Row],[Prest. (m2 /jaar) werkdagen]]/Ruimtestaat[[#This Row],[Norm (m2/uur) werkdagen]],0)</f>
        <v>119.56</v>
      </c>
      <c r="X33" s="258">
        <f>Ruimtestaat[[#This Row],[uren / jaar werkdagen]]*Tariefsopbouw!$D$38</f>
        <v>2989</v>
      </c>
      <c r="Y33" s="33"/>
      <c r="Z33" s="33">
        <f>IF(Ruimtestaat[[#This Row],[Frequentie weekend]]&gt;0,VALUE(LEFT(Y33,1))*R33,0)</f>
        <v>0</v>
      </c>
      <c r="AA33" s="33">
        <f>IF($Z33&gt;0,VLOOKUP($J33,Ruimtegroepen[],3,FALSE)*VLOOKUP($L33,Vloersoorten[],3,FALSE)*VLOOKUP($Y33,Frequenties[],3,FALSE)*VLOOKUP(#REF!,Locaties[],3,FALSE),0)</f>
        <v>0</v>
      </c>
      <c r="AB33" s="33"/>
      <c r="AC33" s="33"/>
      <c r="AD33" s="33">
        <f>Ruimtestaat[[#This Row],[uren / jaar weekend]]*Tariefsopbouw!$D$40</f>
        <v>0</v>
      </c>
      <c r="AE33" s="88">
        <f>Ruimtestaat[[#This Row],[Prest. (m2 /jaar) weekend]]+Ruimtestaat[[#This Row],[Prest. (m2 /jaar) werkdagen]]</f>
        <v>11956</v>
      </c>
      <c r="AF33" s="88">
        <f>Ruimtestaat[[#This Row],[uren / jaar weekend]]+Ruimtestaat[[#This Row],[uren / jaar werkdagen]]</f>
        <v>119.56</v>
      </c>
      <c r="AG33" s="89">
        <f>Ruimtestaat[[#This Row],[kosten / jaar weekend]]+Ruimtestaat[[#This Row],[kosten / jaar werkdagen]]</f>
        <v>2989</v>
      </c>
      <c r="AH33" s="114"/>
      <c r="HL33" s="87"/>
    </row>
    <row r="34" spans="1:220" ht="15" customHeight="1">
      <c r="A34" s="129">
        <v>1</v>
      </c>
      <c r="B34" s="21" t="str">
        <f>VLOOKUP(Ruimtestaat[[#This Row],[Code]],Locaties[#All],2,FALSE)</f>
        <v>Groenlo</v>
      </c>
      <c r="C34" s="21" t="str">
        <f>VLOOKUP(Ruimtestaat[[#This Row],[Code]],Locaties[#All],4,FALSE)</f>
        <v>Deken Hooijmanssingel 1</v>
      </c>
      <c r="D34" s="21" t="str">
        <f>VLOOKUP(Ruimtestaat[[#This Row],[Code]],Locaties[#All],5,FALSE)</f>
        <v>7141 EA</v>
      </c>
      <c r="E34" s="195" t="str">
        <f>VLOOKUP(Ruimtestaat[[#This Row],[Code]],Locaties[#All],6,FALSE)</f>
        <v>Groenlo</v>
      </c>
      <c r="F34" s="195" t="s">
        <v>774</v>
      </c>
      <c r="G34" s="211" t="s">
        <v>776</v>
      </c>
      <c r="H34" s="195">
        <v>530</v>
      </c>
      <c r="I34" s="242" t="s">
        <v>441</v>
      </c>
      <c r="J34" s="195">
        <v>1</v>
      </c>
      <c r="K34" s="242" t="str">
        <f>VLOOKUP(Ruimtestaat[[#This Row],[Ruimte code]],Ruimtegroepen[#All],2,FALSE)</f>
        <v>Magazijnen/bergingen</v>
      </c>
      <c r="L34" s="211" t="s">
        <v>111</v>
      </c>
      <c r="M34" s="195" t="s">
        <v>777</v>
      </c>
      <c r="N34" s="197">
        <v>5.94</v>
      </c>
      <c r="O34" s="209"/>
      <c r="P34" s="241" t="str">
        <f>VLOOKUP(Ruimtestaat[[#This Row],[Ruimte code]],Ruimtegroepen[#All],4,FALSE)</f>
        <v>V  (Verkeersruimte)</v>
      </c>
      <c r="Q34" s="210"/>
      <c r="R34" s="211">
        <v>40</v>
      </c>
      <c r="S34" s="211" t="s">
        <v>16</v>
      </c>
      <c r="T34" s="211">
        <f>IF(R34&gt;0,IF(RIGHT(Ruimtestaat[[#This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U34" s="211">
        <f>IF(T34&gt;0,VLOOKUP($J34,Ruimtegroepen[],3,FALSE)*VLOOKUP($L34,Vloersoorten[],3,FALSE)*VLOOKUP($S34,Frequenties[],3,FALSE)*VLOOKUP($A34,Locaties[],3,FALSE),0)</f>
        <v>100</v>
      </c>
      <c r="V34" s="211">
        <f>Ruimtestaat[[#This Row],[Uitvoeringen werkdagen]]*Ruimtestaat[[#This Row],[Oppervlak (netto)]]</f>
        <v>71.28</v>
      </c>
      <c r="W34" s="257">
        <f>IF(U34&gt;0,Ruimtestaat[[#This Row],[Prest. (m2 /jaar) werkdagen]]/Ruimtestaat[[#This Row],[Norm (m2/uur) werkdagen]],0)</f>
        <v>0.71279999999999999</v>
      </c>
      <c r="X34" s="258">
        <f>Ruimtestaat[[#This Row],[uren / jaar werkdagen]]*Tariefsopbouw!$D$38</f>
        <v>17.82</v>
      </c>
      <c r="Y34" s="33"/>
      <c r="Z34" s="33">
        <f>IF(Ruimtestaat[[#This Row],[Frequentie weekend]]&gt;0,VALUE(LEFT(Y34,1))*R34,0)</f>
        <v>0</v>
      </c>
      <c r="AA34" s="33">
        <f>IF($Z34&gt;0,VLOOKUP($J34,Ruimtegroepen[],3,FALSE)*VLOOKUP($L34,Vloersoorten[],3,FALSE)*VLOOKUP($Y34,Frequenties[],3,FALSE)*VLOOKUP(#REF!,Locaties[],3,FALSE),0)</f>
        <v>0</v>
      </c>
      <c r="AB34" s="33"/>
      <c r="AC34" s="33"/>
      <c r="AD34" s="33">
        <f>Ruimtestaat[[#This Row],[uren / jaar weekend]]*Tariefsopbouw!$D$40</f>
        <v>0</v>
      </c>
      <c r="AE34" s="88">
        <f>Ruimtestaat[[#This Row],[Prest. (m2 /jaar) weekend]]+Ruimtestaat[[#This Row],[Prest. (m2 /jaar) werkdagen]]</f>
        <v>71.28</v>
      </c>
      <c r="AF34" s="88">
        <f>Ruimtestaat[[#This Row],[uren / jaar weekend]]+Ruimtestaat[[#This Row],[uren / jaar werkdagen]]</f>
        <v>0.71279999999999999</v>
      </c>
      <c r="AG34" s="89">
        <f>Ruimtestaat[[#This Row],[kosten / jaar weekend]]+Ruimtestaat[[#This Row],[kosten / jaar werkdagen]]</f>
        <v>17.82</v>
      </c>
      <c r="AH34" s="114"/>
      <c r="HL34" s="87"/>
    </row>
    <row r="35" spans="1:220" ht="15" customHeight="1">
      <c r="A35" s="129">
        <v>1</v>
      </c>
      <c r="B35" s="21" t="str">
        <f>VLOOKUP(Ruimtestaat[[#This Row],[Code]],Locaties[#All],2,FALSE)</f>
        <v>Groenlo</v>
      </c>
      <c r="C35" s="21" t="str">
        <f>VLOOKUP(Ruimtestaat[[#This Row],[Code]],Locaties[#All],4,FALSE)</f>
        <v>Deken Hooijmanssingel 1</v>
      </c>
      <c r="D35" s="21" t="str">
        <f>VLOOKUP(Ruimtestaat[[#This Row],[Code]],Locaties[#All],5,FALSE)</f>
        <v>7141 EA</v>
      </c>
      <c r="E35" s="195" t="str">
        <f>VLOOKUP(Ruimtestaat[[#This Row],[Code]],Locaties[#All],6,FALSE)</f>
        <v>Groenlo</v>
      </c>
      <c r="F35" s="259" t="s">
        <v>774</v>
      </c>
      <c r="G35" s="211" t="s">
        <v>776</v>
      </c>
      <c r="H35" s="211">
        <v>531</v>
      </c>
      <c r="I35" s="256" t="s">
        <v>446</v>
      </c>
      <c r="J35" s="195">
        <v>15</v>
      </c>
      <c r="K35" s="256" t="str">
        <f>VLOOKUP(Ruimtestaat[[#This Row],[Ruimte code]],Ruimtegroepen[#All],2,FALSE)</f>
        <v>Keuken/pantry</v>
      </c>
      <c r="L35" s="211" t="s">
        <v>111</v>
      </c>
      <c r="M35" s="211" t="s">
        <v>777</v>
      </c>
      <c r="N35" s="197">
        <v>23.75</v>
      </c>
      <c r="O35" s="209"/>
      <c r="P35" s="241" t="str">
        <f>VLOOKUP(Ruimtestaat[[#This Row],[Ruimte code]],Ruimtegroepen[#All],4,FALSE)</f>
        <v>V  (Verkeersruimte)</v>
      </c>
      <c r="Q35" s="210"/>
      <c r="R35" s="211">
        <v>40</v>
      </c>
      <c r="S35" s="211" t="s">
        <v>2</v>
      </c>
      <c r="T35" s="211">
        <f>IF(R35&gt;0,IF(RIGHT(Ruimtestaat[[#This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5" s="211">
        <f>IF(T35&gt;0,VLOOKUP($J35,Ruimtegroepen[],3,FALSE)*VLOOKUP($L35,Vloersoorten[],3,FALSE)*VLOOKUP($S35,Frequenties[],3,FALSE)*VLOOKUP($A35,Locaties[],3,FALSE),0)</f>
        <v>100</v>
      </c>
      <c r="V35" s="211">
        <f>Ruimtestaat[[#This Row],[Uitvoeringen werkdagen]]*Ruimtestaat[[#This Row],[Oppervlak (netto)]]</f>
        <v>4750</v>
      </c>
      <c r="W35" s="257">
        <f>IF(U35&gt;0,Ruimtestaat[[#This Row],[Prest. (m2 /jaar) werkdagen]]/Ruimtestaat[[#This Row],[Norm (m2/uur) werkdagen]],0)</f>
        <v>47.5</v>
      </c>
      <c r="X35" s="258">
        <f>Ruimtestaat[[#This Row],[uren / jaar werkdagen]]*Tariefsopbouw!$D$38</f>
        <v>1187.5</v>
      </c>
      <c r="Y35" s="33"/>
      <c r="Z35" s="33">
        <f>IF(Ruimtestaat[[#This Row],[Frequentie weekend]]&gt;0,VALUE(LEFT(Y35,1))*R35,0)</f>
        <v>0</v>
      </c>
      <c r="AA35" s="33">
        <f>IF($Z35&gt;0,VLOOKUP($J35,Ruimtegroepen[],3,FALSE)*VLOOKUP($L35,Vloersoorten[],3,FALSE)*VLOOKUP($Y35,Frequenties[],3,FALSE)*VLOOKUP(#REF!,Locaties[],3,FALSE),0)</f>
        <v>0</v>
      </c>
      <c r="AB35" s="33"/>
      <c r="AC35" s="33"/>
      <c r="AD35" s="33">
        <f>Ruimtestaat[[#This Row],[uren / jaar weekend]]*Tariefsopbouw!$D$40</f>
        <v>0</v>
      </c>
      <c r="AE35" s="88">
        <f>Ruimtestaat[[#This Row],[Prest. (m2 /jaar) weekend]]+Ruimtestaat[[#This Row],[Prest. (m2 /jaar) werkdagen]]</f>
        <v>4750</v>
      </c>
      <c r="AF35" s="88">
        <f>Ruimtestaat[[#This Row],[uren / jaar weekend]]+Ruimtestaat[[#This Row],[uren / jaar werkdagen]]</f>
        <v>47.5</v>
      </c>
      <c r="AG35" s="89">
        <f>Ruimtestaat[[#This Row],[kosten / jaar weekend]]+Ruimtestaat[[#This Row],[kosten / jaar werkdagen]]</f>
        <v>1187.5</v>
      </c>
      <c r="AH35" s="114"/>
      <c r="HL35" s="87"/>
    </row>
    <row r="36" spans="1:220" ht="15" customHeight="1">
      <c r="A36" s="129">
        <v>1</v>
      </c>
      <c r="B36" s="21" t="str">
        <f>VLOOKUP(Ruimtestaat[[#This Row],[Code]],Locaties[#All],2,FALSE)</f>
        <v>Groenlo</v>
      </c>
      <c r="C36" s="21" t="str">
        <f>VLOOKUP(Ruimtestaat[[#This Row],[Code]],Locaties[#All],4,FALSE)</f>
        <v>Deken Hooijmanssingel 1</v>
      </c>
      <c r="D36" s="21" t="str">
        <f>VLOOKUP(Ruimtestaat[[#This Row],[Code]],Locaties[#All],5,FALSE)</f>
        <v>7141 EA</v>
      </c>
      <c r="E36" s="195" t="str">
        <f>VLOOKUP(Ruimtestaat[[#This Row],[Code]],Locaties[#All],6,FALSE)</f>
        <v>Groenlo</v>
      </c>
      <c r="F36" s="259" t="s">
        <v>774</v>
      </c>
      <c r="G36" s="211" t="s">
        <v>776</v>
      </c>
      <c r="H36" s="211">
        <v>532</v>
      </c>
      <c r="I36" s="256" t="s">
        <v>441</v>
      </c>
      <c r="J36" s="195">
        <v>1</v>
      </c>
      <c r="K36" s="256" t="str">
        <f>VLOOKUP(Ruimtestaat[[#This Row],[Ruimte code]],Ruimtegroepen[#All],2,FALSE)</f>
        <v>Magazijnen/bergingen</v>
      </c>
      <c r="L36" s="211" t="s">
        <v>110</v>
      </c>
      <c r="M36" s="211" t="s">
        <v>133</v>
      </c>
      <c r="N36" s="197">
        <v>12.73</v>
      </c>
      <c r="O36" s="209"/>
      <c r="P36" s="241" t="str">
        <f>VLOOKUP(Ruimtestaat[[#This Row],[Ruimte code]],Ruimtegroepen[#All],4,FALSE)</f>
        <v>V  (Verkeersruimte)</v>
      </c>
      <c r="Q36" s="210"/>
      <c r="R36" s="211">
        <v>40</v>
      </c>
      <c r="S36" s="211" t="s">
        <v>16</v>
      </c>
      <c r="T36" s="211">
        <f>IF(R36&gt;0,IF(RIGHT(Ruimtestaat[[#This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U36" s="211">
        <f>IF(T36&gt;0,VLOOKUP($J36,Ruimtegroepen[],3,FALSE)*VLOOKUP($L36,Vloersoorten[],3,FALSE)*VLOOKUP($S36,Frequenties[],3,FALSE)*VLOOKUP($A36,Locaties[],3,FALSE),0)</f>
        <v>100</v>
      </c>
      <c r="V36" s="211">
        <f>Ruimtestaat[[#This Row],[Uitvoeringen werkdagen]]*Ruimtestaat[[#This Row],[Oppervlak (netto)]]</f>
        <v>152.76</v>
      </c>
      <c r="W36" s="257">
        <f>IF(U36&gt;0,Ruimtestaat[[#This Row],[Prest. (m2 /jaar) werkdagen]]/Ruimtestaat[[#This Row],[Norm (m2/uur) werkdagen]],0)</f>
        <v>1.5275999999999998</v>
      </c>
      <c r="X36" s="258">
        <f>Ruimtestaat[[#This Row],[uren / jaar werkdagen]]*Tariefsopbouw!$D$38</f>
        <v>38.19</v>
      </c>
      <c r="Y36" s="33"/>
      <c r="Z36" s="33">
        <f>IF(Ruimtestaat[[#This Row],[Frequentie weekend]]&gt;0,VALUE(LEFT(Y36,1))*R36,0)</f>
        <v>0</v>
      </c>
      <c r="AA36" s="33">
        <f>IF($Z36&gt;0,VLOOKUP($J36,Ruimtegroepen[],3,FALSE)*VLOOKUP($L36,Vloersoorten[],3,FALSE)*VLOOKUP($Y36,Frequenties[],3,FALSE)*VLOOKUP(#REF!,Locaties[],3,FALSE),0)</f>
        <v>0</v>
      </c>
      <c r="AB36" s="33"/>
      <c r="AC36" s="33"/>
      <c r="AD36" s="33">
        <f>Ruimtestaat[[#This Row],[uren / jaar weekend]]*Tariefsopbouw!$D$40</f>
        <v>0</v>
      </c>
      <c r="AE36" s="88">
        <f>Ruimtestaat[[#This Row],[Prest. (m2 /jaar) weekend]]+Ruimtestaat[[#This Row],[Prest. (m2 /jaar) werkdagen]]</f>
        <v>152.76</v>
      </c>
      <c r="AF36" s="88">
        <f>Ruimtestaat[[#This Row],[uren / jaar weekend]]+Ruimtestaat[[#This Row],[uren / jaar werkdagen]]</f>
        <v>1.5275999999999998</v>
      </c>
      <c r="AG36" s="89">
        <f>Ruimtestaat[[#This Row],[kosten / jaar weekend]]+Ruimtestaat[[#This Row],[kosten / jaar werkdagen]]</f>
        <v>38.19</v>
      </c>
      <c r="AH36" s="114"/>
      <c r="HL36" s="87"/>
    </row>
    <row r="37" spans="1:220" ht="15" customHeight="1">
      <c r="A37" s="129">
        <v>1</v>
      </c>
      <c r="B37" s="21" t="str">
        <f>VLOOKUP(Ruimtestaat[[#This Row],[Code]],Locaties[#All],2,FALSE)</f>
        <v>Groenlo</v>
      </c>
      <c r="C37" s="21" t="str">
        <f>VLOOKUP(Ruimtestaat[[#This Row],[Code]],Locaties[#All],4,FALSE)</f>
        <v>Deken Hooijmanssingel 1</v>
      </c>
      <c r="D37" s="21" t="str">
        <f>VLOOKUP(Ruimtestaat[[#This Row],[Code]],Locaties[#All],5,FALSE)</f>
        <v>7141 EA</v>
      </c>
      <c r="E37" s="195" t="str">
        <f>VLOOKUP(Ruimtestaat[[#This Row],[Code]],Locaties[#All],6,FALSE)</f>
        <v>Groenlo</v>
      </c>
      <c r="F37" s="195" t="s">
        <v>774</v>
      </c>
      <c r="G37" s="211" t="s">
        <v>776</v>
      </c>
      <c r="H37" s="195">
        <v>533</v>
      </c>
      <c r="I37" s="242" t="s">
        <v>22</v>
      </c>
      <c r="J37" s="195">
        <v>5</v>
      </c>
      <c r="K37" s="242" t="str">
        <f>VLOOKUP(Ruimtestaat[[#This Row],[Ruimte code]],Ruimtegroepen[#All],2,FALSE)</f>
        <v>Sanitair</v>
      </c>
      <c r="L37" s="211" t="s">
        <v>111</v>
      </c>
      <c r="M37" s="195" t="s">
        <v>777</v>
      </c>
      <c r="N37" s="197">
        <v>9.76</v>
      </c>
      <c r="O37" s="209"/>
      <c r="P37" s="241" t="str">
        <f>VLOOKUP(Ruimtestaat[[#This Row],[Ruimte code]],Ruimtegroepen[#All],4,FALSE)</f>
        <v>S  (Sanitair)</v>
      </c>
      <c r="Q37" s="210"/>
      <c r="R37" s="211">
        <v>40</v>
      </c>
      <c r="S37" s="211" t="s">
        <v>2</v>
      </c>
      <c r="T37" s="211">
        <f>IF(R37&gt;0,IF(RIGHT(Ruimtestaat[[#This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7" s="211">
        <f>IF(T37&gt;0,VLOOKUP($J37,Ruimtegroepen[],3,FALSE)*VLOOKUP($L37,Vloersoorten[],3,FALSE)*VLOOKUP($S37,Frequenties[],3,FALSE)*VLOOKUP($A37,Locaties[],3,FALSE),0)</f>
        <v>100</v>
      </c>
      <c r="V37" s="211">
        <f>Ruimtestaat[[#This Row],[Uitvoeringen werkdagen]]*Ruimtestaat[[#This Row],[Oppervlak (netto)]]</f>
        <v>1952</v>
      </c>
      <c r="W37" s="257">
        <f>IF(U37&gt;0,Ruimtestaat[[#This Row],[Prest. (m2 /jaar) werkdagen]]/Ruimtestaat[[#This Row],[Norm (m2/uur) werkdagen]],0)</f>
        <v>19.52</v>
      </c>
      <c r="X37" s="258">
        <f>Ruimtestaat[[#This Row],[uren / jaar werkdagen]]*Tariefsopbouw!$D$38</f>
        <v>488</v>
      </c>
      <c r="Y37" s="33"/>
      <c r="Z37" s="33">
        <f>IF(Ruimtestaat[[#This Row],[Frequentie weekend]]&gt;0,VALUE(LEFT(Y37,1))*R37,0)</f>
        <v>0</v>
      </c>
      <c r="AA37" s="33">
        <f>IF($Z37&gt;0,VLOOKUP($J37,Ruimtegroepen[],3,FALSE)*VLOOKUP($L37,Vloersoorten[],3,FALSE)*VLOOKUP($Y37,Frequenties[],3,FALSE)*VLOOKUP(#REF!,Locaties[],3,FALSE),0)</f>
        <v>0</v>
      </c>
      <c r="AB37" s="33"/>
      <c r="AC37" s="33"/>
      <c r="AD37" s="33">
        <f>Ruimtestaat[[#This Row],[uren / jaar weekend]]*Tariefsopbouw!$D$40</f>
        <v>0</v>
      </c>
      <c r="AE37" s="88">
        <f>Ruimtestaat[[#This Row],[Prest. (m2 /jaar) weekend]]+Ruimtestaat[[#This Row],[Prest. (m2 /jaar) werkdagen]]</f>
        <v>1952</v>
      </c>
      <c r="AF37" s="88">
        <f>Ruimtestaat[[#This Row],[uren / jaar weekend]]+Ruimtestaat[[#This Row],[uren / jaar werkdagen]]</f>
        <v>19.52</v>
      </c>
      <c r="AG37" s="89">
        <f>Ruimtestaat[[#This Row],[kosten / jaar weekend]]+Ruimtestaat[[#This Row],[kosten / jaar werkdagen]]</f>
        <v>488</v>
      </c>
      <c r="AH37" s="114"/>
      <c r="HL37" s="87"/>
    </row>
    <row r="38" spans="1:220" ht="15" customHeight="1">
      <c r="A38" s="129">
        <v>1</v>
      </c>
      <c r="B38" s="21" t="str">
        <f>VLOOKUP(Ruimtestaat[[#This Row],[Code]],Locaties[#All],2,FALSE)</f>
        <v>Groenlo</v>
      </c>
      <c r="C38" s="21" t="str">
        <f>VLOOKUP(Ruimtestaat[[#This Row],[Code]],Locaties[#All],4,FALSE)</f>
        <v>Deken Hooijmanssingel 1</v>
      </c>
      <c r="D38" s="21" t="str">
        <f>VLOOKUP(Ruimtestaat[[#This Row],[Code]],Locaties[#All],5,FALSE)</f>
        <v>7141 EA</v>
      </c>
      <c r="E38" s="195" t="str">
        <f>VLOOKUP(Ruimtestaat[[#This Row],[Code]],Locaties[#All],6,FALSE)</f>
        <v>Groenlo</v>
      </c>
      <c r="F38" s="195" t="s">
        <v>774</v>
      </c>
      <c r="G38" s="211" t="s">
        <v>776</v>
      </c>
      <c r="H38" s="195">
        <v>534</v>
      </c>
      <c r="I38" s="242" t="s">
        <v>822</v>
      </c>
      <c r="J38" s="195">
        <v>5</v>
      </c>
      <c r="K38" s="242" t="str">
        <f>VLOOKUP(Ruimtestaat[[#This Row],[Ruimte code]],Ruimtegroepen[#All],2,FALSE)</f>
        <v>Sanitair</v>
      </c>
      <c r="L38" s="211" t="s">
        <v>111</v>
      </c>
      <c r="M38" s="195" t="s">
        <v>777</v>
      </c>
      <c r="N38" s="197">
        <v>4.84</v>
      </c>
      <c r="O38" s="209"/>
      <c r="P38" s="241" t="str">
        <f>VLOOKUP(Ruimtestaat[[#This Row],[Ruimte code]],Ruimtegroepen[#All],4,FALSE)</f>
        <v>S  (Sanitair)</v>
      </c>
      <c r="Q38" s="210"/>
      <c r="R38" s="211">
        <v>40</v>
      </c>
      <c r="S38" s="211" t="s">
        <v>2</v>
      </c>
      <c r="T38" s="211">
        <f>IF(R38&gt;0,IF(RIGHT(Ruimtestaat[[#This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8" s="211">
        <f>IF(T38&gt;0,VLOOKUP($J38,Ruimtegroepen[],3,FALSE)*VLOOKUP($L38,Vloersoorten[],3,FALSE)*VLOOKUP($S38,Frequenties[],3,FALSE)*VLOOKUP($A38,Locaties[],3,FALSE),0)</f>
        <v>100</v>
      </c>
      <c r="V38" s="211">
        <f>Ruimtestaat[[#This Row],[Uitvoeringen werkdagen]]*Ruimtestaat[[#This Row],[Oppervlak (netto)]]</f>
        <v>968</v>
      </c>
      <c r="W38" s="257">
        <f>IF(U38&gt;0,Ruimtestaat[[#This Row],[Prest. (m2 /jaar) werkdagen]]/Ruimtestaat[[#This Row],[Norm (m2/uur) werkdagen]],0)</f>
        <v>9.68</v>
      </c>
      <c r="X38" s="258">
        <f>Ruimtestaat[[#This Row],[uren / jaar werkdagen]]*Tariefsopbouw!$D$38</f>
        <v>242</v>
      </c>
      <c r="Y38" s="33"/>
      <c r="Z38" s="33">
        <f>IF(Ruimtestaat[[#This Row],[Frequentie weekend]]&gt;0,VALUE(LEFT(Y38,1))*R38,0)</f>
        <v>0</v>
      </c>
      <c r="AA38" s="33">
        <f>IF($Z38&gt;0,VLOOKUP($J38,Ruimtegroepen[],3,FALSE)*VLOOKUP($L38,Vloersoorten[],3,FALSE)*VLOOKUP($Y38,Frequenties[],3,FALSE)*VLOOKUP(#REF!,Locaties[],3,FALSE),0)</f>
        <v>0</v>
      </c>
      <c r="AB38" s="33"/>
      <c r="AC38" s="33"/>
      <c r="AD38" s="33">
        <f>Ruimtestaat[[#This Row],[uren / jaar weekend]]*Tariefsopbouw!$D$40</f>
        <v>0</v>
      </c>
      <c r="AE38" s="88">
        <f>Ruimtestaat[[#This Row],[Prest. (m2 /jaar) weekend]]+Ruimtestaat[[#This Row],[Prest. (m2 /jaar) werkdagen]]</f>
        <v>968</v>
      </c>
      <c r="AF38" s="88">
        <f>Ruimtestaat[[#This Row],[uren / jaar weekend]]+Ruimtestaat[[#This Row],[uren / jaar werkdagen]]</f>
        <v>9.68</v>
      </c>
      <c r="AG38" s="89">
        <f>Ruimtestaat[[#This Row],[kosten / jaar weekend]]+Ruimtestaat[[#This Row],[kosten / jaar werkdagen]]</f>
        <v>242</v>
      </c>
      <c r="AH38" s="114"/>
      <c r="HL38" s="87"/>
    </row>
    <row r="39" spans="1:220" ht="15" customHeight="1">
      <c r="A39" s="129">
        <v>1</v>
      </c>
      <c r="B39" s="21" t="str">
        <f>VLOOKUP(Ruimtestaat[[#This Row],[Code]],Locaties[#All],2,FALSE)</f>
        <v>Groenlo</v>
      </c>
      <c r="C39" s="21" t="str">
        <f>VLOOKUP(Ruimtestaat[[#This Row],[Code]],Locaties[#All],4,FALSE)</f>
        <v>Deken Hooijmanssingel 1</v>
      </c>
      <c r="D39" s="21" t="str">
        <f>VLOOKUP(Ruimtestaat[[#This Row],[Code]],Locaties[#All],5,FALSE)</f>
        <v>7141 EA</v>
      </c>
      <c r="E39" s="195" t="str">
        <f>VLOOKUP(Ruimtestaat[[#This Row],[Code]],Locaties[#All],6,FALSE)</f>
        <v>Groenlo</v>
      </c>
      <c r="F39" s="195" t="s">
        <v>774</v>
      </c>
      <c r="G39" s="211" t="s">
        <v>776</v>
      </c>
      <c r="H39" s="195">
        <v>535</v>
      </c>
      <c r="I39" s="242" t="s">
        <v>447</v>
      </c>
      <c r="J39" s="195">
        <v>21</v>
      </c>
      <c r="K39" s="242" t="str">
        <f>VLOOKUP(Ruimtestaat[[#This Row],[Ruimte code]],Ruimtegroepen[#All],2,FALSE)</f>
        <v>Niet in onderhoud</v>
      </c>
      <c r="L39" s="211" t="s">
        <v>111</v>
      </c>
      <c r="M39" s="195" t="s">
        <v>777</v>
      </c>
      <c r="N39" s="197"/>
      <c r="O39" s="209">
        <v>2.75</v>
      </c>
      <c r="P39" s="241" t="str">
        <f>VLOOKUP(Ruimtestaat[[#This Row],[Ruimte code]],Ruimtegroepen[#All],4,FALSE)</f>
        <v>Niet in onderhoud</v>
      </c>
      <c r="Q39" s="210"/>
      <c r="R39" s="211"/>
      <c r="S39" s="211"/>
      <c r="T39" s="211">
        <f>IF(R39&gt;0,IF(RIGHT(Ruimtestaat[[#This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39" s="211">
        <f>IF(T39&gt;0,VLOOKUP($J39,Ruimtegroepen[],3,FALSE)*VLOOKUP($L39,Vloersoorten[],3,FALSE)*VLOOKUP($S39,Frequenties[],3,FALSE)*VLOOKUP($A39,Locaties[],3,FALSE),0)</f>
        <v>0</v>
      </c>
      <c r="V39" s="211">
        <f>Ruimtestaat[[#This Row],[Uitvoeringen werkdagen]]*Ruimtestaat[[#This Row],[Oppervlak (netto)]]</f>
        <v>0</v>
      </c>
      <c r="W39" s="257">
        <f>IF(U39&gt;0,Ruimtestaat[[#This Row],[Prest. (m2 /jaar) werkdagen]]/Ruimtestaat[[#This Row],[Norm (m2/uur) werkdagen]],0)</f>
        <v>0</v>
      </c>
      <c r="X39" s="258">
        <f>Ruimtestaat[[#This Row],[uren / jaar werkdagen]]*Tariefsopbouw!$D$38</f>
        <v>0</v>
      </c>
      <c r="Y39" s="33"/>
      <c r="Z39" s="33">
        <f>IF(Ruimtestaat[[#This Row],[Frequentie weekend]]&gt;0,VALUE(LEFT(Y39,1))*R39,0)</f>
        <v>0</v>
      </c>
      <c r="AA39" s="33">
        <f>IF($Z39&gt;0,VLOOKUP($J39,Ruimtegroepen[],3,FALSE)*VLOOKUP($L39,Vloersoorten[],3,FALSE)*VLOOKUP($Y39,Frequenties[],3,FALSE)*VLOOKUP(#REF!,Locaties[],3,FALSE),0)</f>
        <v>0</v>
      </c>
      <c r="AB39" s="33"/>
      <c r="AC39" s="33"/>
      <c r="AD39" s="33">
        <f>Ruimtestaat[[#This Row],[uren / jaar weekend]]*Tariefsopbouw!$D$40</f>
        <v>0</v>
      </c>
      <c r="AE39" s="88">
        <f>Ruimtestaat[[#This Row],[Prest. (m2 /jaar) weekend]]+Ruimtestaat[[#This Row],[Prest. (m2 /jaar) werkdagen]]</f>
        <v>0</v>
      </c>
      <c r="AF39" s="88">
        <f>Ruimtestaat[[#This Row],[uren / jaar weekend]]+Ruimtestaat[[#This Row],[uren / jaar werkdagen]]</f>
        <v>0</v>
      </c>
      <c r="AG39" s="89">
        <f>Ruimtestaat[[#This Row],[kosten / jaar weekend]]+Ruimtestaat[[#This Row],[kosten / jaar werkdagen]]</f>
        <v>0</v>
      </c>
      <c r="AH39" s="114"/>
      <c r="HL39" s="87"/>
    </row>
    <row r="40" spans="1:220" ht="15" customHeight="1">
      <c r="A40" s="129">
        <v>1</v>
      </c>
      <c r="B40" s="21" t="str">
        <f>VLOOKUP(Ruimtestaat[[#This Row],[Code]],Locaties[#All],2,FALSE)</f>
        <v>Groenlo</v>
      </c>
      <c r="C40" s="21" t="str">
        <f>VLOOKUP(Ruimtestaat[[#This Row],[Code]],Locaties[#All],4,FALSE)</f>
        <v>Deken Hooijmanssingel 1</v>
      </c>
      <c r="D40" s="21" t="str">
        <f>VLOOKUP(Ruimtestaat[[#This Row],[Code]],Locaties[#All],5,FALSE)</f>
        <v>7141 EA</v>
      </c>
      <c r="E40" s="195" t="str">
        <f>VLOOKUP(Ruimtestaat[[#This Row],[Code]],Locaties[#All],6,FALSE)</f>
        <v>Groenlo</v>
      </c>
      <c r="F40" s="195" t="s">
        <v>774</v>
      </c>
      <c r="G40" s="211" t="s">
        <v>776</v>
      </c>
      <c r="H40" s="195">
        <v>536</v>
      </c>
      <c r="I40" s="242" t="s">
        <v>382</v>
      </c>
      <c r="J40" s="195">
        <v>6</v>
      </c>
      <c r="K40" s="242" t="str">
        <f>VLOOKUP(Ruimtestaat[[#This Row],[Ruimte code]],Ruimtegroepen[#All],2,FALSE)</f>
        <v>Gangen/hallen</v>
      </c>
      <c r="L40" s="211" t="s">
        <v>110</v>
      </c>
      <c r="M40" s="195" t="s">
        <v>133</v>
      </c>
      <c r="N40" s="197">
        <v>77.12</v>
      </c>
      <c r="O40" s="209"/>
      <c r="P40" s="241" t="str">
        <f>VLOOKUP(Ruimtestaat[[#This Row],[Ruimte code]],Ruimtegroepen[#All],4,FALSE)</f>
        <v>V  (Verkeersruimte)</v>
      </c>
      <c r="Q40" s="210"/>
      <c r="R40" s="211">
        <v>40</v>
      </c>
      <c r="S40" s="211" t="s">
        <v>2</v>
      </c>
      <c r="T40" s="211">
        <f>IF(R40&gt;0,IF(RIGHT(Ruimtestaat[[#This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40" s="211">
        <f>IF(T40&gt;0,VLOOKUP($J40,Ruimtegroepen[],3,FALSE)*VLOOKUP($L40,Vloersoorten[],3,FALSE)*VLOOKUP($S40,Frequenties[],3,FALSE)*VLOOKUP($A40,Locaties[],3,FALSE),0)</f>
        <v>100</v>
      </c>
      <c r="V40" s="211">
        <f>Ruimtestaat[[#This Row],[Uitvoeringen werkdagen]]*Ruimtestaat[[#This Row],[Oppervlak (netto)]]</f>
        <v>15424</v>
      </c>
      <c r="W40" s="257">
        <f>IF(U40&gt;0,Ruimtestaat[[#This Row],[Prest. (m2 /jaar) werkdagen]]/Ruimtestaat[[#This Row],[Norm (m2/uur) werkdagen]],0)</f>
        <v>154.24</v>
      </c>
      <c r="X40" s="258">
        <f>Ruimtestaat[[#This Row],[uren / jaar werkdagen]]*Tariefsopbouw!$D$38</f>
        <v>3856</v>
      </c>
      <c r="Y40" s="33"/>
      <c r="Z40" s="33">
        <f>IF(Ruimtestaat[[#This Row],[Frequentie weekend]]&gt;0,VALUE(LEFT(Y40,1))*R40,0)</f>
        <v>0</v>
      </c>
      <c r="AA40" s="33">
        <f>IF($Z40&gt;0,VLOOKUP($J40,Ruimtegroepen[],3,FALSE)*VLOOKUP($L40,Vloersoorten[],3,FALSE)*VLOOKUP($Y40,Frequenties[],3,FALSE)*VLOOKUP(#REF!,Locaties[],3,FALSE),0)</f>
        <v>0</v>
      </c>
      <c r="AB40" s="33"/>
      <c r="AC40" s="33"/>
      <c r="AD40" s="33">
        <f>Ruimtestaat[[#This Row],[uren / jaar weekend]]*Tariefsopbouw!$D$40</f>
        <v>0</v>
      </c>
      <c r="AE40" s="88">
        <f>Ruimtestaat[[#This Row],[Prest. (m2 /jaar) weekend]]+Ruimtestaat[[#This Row],[Prest. (m2 /jaar) werkdagen]]</f>
        <v>15424</v>
      </c>
      <c r="AF40" s="88">
        <f>Ruimtestaat[[#This Row],[uren / jaar weekend]]+Ruimtestaat[[#This Row],[uren / jaar werkdagen]]</f>
        <v>154.24</v>
      </c>
      <c r="AG40" s="89">
        <f>Ruimtestaat[[#This Row],[kosten / jaar weekend]]+Ruimtestaat[[#This Row],[kosten / jaar werkdagen]]</f>
        <v>3856</v>
      </c>
      <c r="AH40" s="114"/>
      <c r="HL40" s="87"/>
    </row>
    <row r="41" spans="1:220" ht="15" customHeight="1">
      <c r="A41" s="129">
        <v>1</v>
      </c>
      <c r="B41" s="21" t="str">
        <f>VLOOKUP(Ruimtestaat[[#This Row],[Code]],Locaties[#All],2,FALSE)</f>
        <v>Groenlo</v>
      </c>
      <c r="C41" s="21" t="str">
        <f>VLOOKUP(Ruimtestaat[[#This Row],[Code]],Locaties[#All],4,FALSE)</f>
        <v>Deken Hooijmanssingel 1</v>
      </c>
      <c r="D41" s="21" t="str">
        <f>VLOOKUP(Ruimtestaat[[#This Row],[Code]],Locaties[#All],5,FALSE)</f>
        <v>7141 EA</v>
      </c>
      <c r="E41" s="195" t="str">
        <f>VLOOKUP(Ruimtestaat[[#This Row],[Code]],Locaties[#All],6,FALSE)</f>
        <v>Groenlo</v>
      </c>
      <c r="F41" s="195" t="s">
        <v>774</v>
      </c>
      <c r="G41" s="211" t="s">
        <v>776</v>
      </c>
      <c r="H41" s="195">
        <v>537</v>
      </c>
      <c r="I41" s="242" t="s">
        <v>765</v>
      </c>
      <c r="J41" s="195">
        <v>11</v>
      </c>
      <c r="K41" s="242" t="str">
        <f>VLOOKUP(Ruimtestaat[[#This Row],[Ruimte code]],Ruimtegroepen[#All],2,FALSE)</f>
        <v>Praktijklokaal</v>
      </c>
      <c r="L41" s="211" t="s">
        <v>110</v>
      </c>
      <c r="M41" s="195" t="s">
        <v>133</v>
      </c>
      <c r="N41" s="197">
        <v>109.34</v>
      </c>
      <c r="O41" s="209"/>
      <c r="P41" s="241" t="str">
        <f>VLOOKUP(Ruimtestaat[[#This Row],[Ruimte code]],Ruimtegroepen[#All],4,FALSE)</f>
        <v>L  (Lesruimte)</v>
      </c>
      <c r="Q41" s="210"/>
      <c r="R41" s="211">
        <v>40</v>
      </c>
      <c r="S41" s="211" t="s">
        <v>2</v>
      </c>
      <c r="T41" s="211">
        <f>IF(R41&gt;0,IF(RIGHT(Ruimtestaat[[#This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41" s="211">
        <f>IF(T41&gt;0,VLOOKUP($J41,Ruimtegroepen[],3,FALSE)*VLOOKUP($L41,Vloersoorten[],3,FALSE)*VLOOKUP($S41,Frequenties[],3,FALSE)*VLOOKUP($A41,Locaties[],3,FALSE),0)</f>
        <v>100</v>
      </c>
      <c r="V41" s="211">
        <f>Ruimtestaat[[#This Row],[Uitvoeringen werkdagen]]*Ruimtestaat[[#This Row],[Oppervlak (netto)]]</f>
        <v>21868</v>
      </c>
      <c r="W41" s="257">
        <f>IF(U41&gt;0,Ruimtestaat[[#This Row],[Prest. (m2 /jaar) werkdagen]]/Ruimtestaat[[#This Row],[Norm (m2/uur) werkdagen]],0)</f>
        <v>218.68</v>
      </c>
      <c r="X41" s="258">
        <f>Ruimtestaat[[#This Row],[uren / jaar werkdagen]]*Tariefsopbouw!$D$38</f>
        <v>5467</v>
      </c>
      <c r="Y41" s="33"/>
      <c r="Z41" s="33">
        <f>IF(Ruimtestaat[[#This Row],[Frequentie weekend]]&gt;0,VALUE(LEFT(Y41,1))*R41,0)</f>
        <v>0</v>
      </c>
      <c r="AA41" s="33">
        <f>IF($Z41&gt;0,VLOOKUP($J41,Ruimtegroepen[],3,FALSE)*VLOOKUP($L41,Vloersoorten[],3,FALSE)*VLOOKUP($Y41,Frequenties[],3,FALSE)*VLOOKUP(#REF!,Locaties[],3,FALSE),0)</f>
        <v>0</v>
      </c>
      <c r="AB41" s="33"/>
      <c r="AC41" s="33"/>
      <c r="AD41" s="33">
        <f>Ruimtestaat[[#This Row],[uren / jaar weekend]]*Tariefsopbouw!$D$40</f>
        <v>0</v>
      </c>
      <c r="AE41" s="88">
        <f>Ruimtestaat[[#This Row],[Prest. (m2 /jaar) weekend]]+Ruimtestaat[[#This Row],[Prest. (m2 /jaar) werkdagen]]</f>
        <v>21868</v>
      </c>
      <c r="AF41" s="88">
        <f>Ruimtestaat[[#This Row],[uren / jaar weekend]]+Ruimtestaat[[#This Row],[uren / jaar werkdagen]]</f>
        <v>218.68</v>
      </c>
      <c r="AG41" s="89">
        <f>Ruimtestaat[[#This Row],[kosten / jaar weekend]]+Ruimtestaat[[#This Row],[kosten / jaar werkdagen]]</f>
        <v>5467</v>
      </c>
      <c r="AH41" s="114"/>
      <c r="HL41" s="87"/>
    </row>
    <row r="42" spans="1:220" ht="15" customHeight="1">
      <c r="A42" s="129">
        <v>1</v>
      </c>
      <c r="B42" s="21" t="str">
        <f>VLOOKUP(Ruimtestaat[[#This Row],[Code]],Locaties[#All],2,FALSE)</f>
        <v>Groenlo</v>
      </c>
      <c r="C42" s="21" t="str">
        <f>VLOOKUP(Ruimtestaat[[#This Row],[Code]],Locaties[#All],4,FALSE)</f>
        <v>Deken Hooijmanssingel 1</v>
      </c>
      <c r="D42" s="21" t="str">
        <f>VLOOKUP(Ruimtestaat[[#This Row],[Code]],Locaties[#All],5,FALSE)</f>
        <v>7141 EA</v>
      </c>
      <c r="E42" s="195" t="str">
        <f>VLOOKUP(Ruimtestaat[[#This Row],[Code]],Locaties[#All],6,FALSE)</f>
        <v>Groenlo</v>
      </c>
      <c r="F42" s="195" t="s">
        <v>774</v>
      </c>
      <c r="G42" s="211" t="s">
        <v>776</v>
      </c>
      <c r="H42" s="195">
        <v>538</v>
      </c>
      <c r="I42" s="242" t="s">
        <v>441</v>
      </c>
      <c r="J42" s="195">
        <v>1</v>
      </c>
      <c r="K42" s="242" t="str">
        <f>VLOOKUP(Ruimtestaat[[#This Row],[Ruimte code]],Ruimtegroepen[#All],2,FALSE)</f>
        <v>Magazijnen/bergingen</v>
      </c>
      <c r="L42" s="211" t="s">
        <v>110</v>
      </c>
      <c r="M42" s="195" t="s">
        <v>133</v>
      </c>
      <c r="N42" s="197">
        <v>15.29</v>
      </c>
      <c r="O42" s="209"/>
      <c r="P42" s="241" t="str">
        <f>VLOOKUP(Ruimtestaat[[#This Row],[Ruimte code]],Ruimtegroepen[#All],4,FALSE)</f>
        <v>V  (Verkeersruimte)</v>
      </c>
      <c r="Q42" s="210"/>
      <c r="R42" s="211">
        <v>40</v>
      </c>
      <c r="S42" s="211" t="s">
        <v>16</v>
      </c>
      <c r="T42" s="211">
        <f>IF(R42&gt;0,IF(RIGHT(Ruimtestaat[[#This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U42" s="211">
        <f>IF(T42&gt;0,VLOOKUP($J42,Ruimtegroepen[],3,FALSE)*VLOOKUP($L42,Vloersoorten[],3,FALSE)*VLOOKUP($S42,Frequenties[],3,FALSE)*VLOOKUP($A42,Locaties[],3,FALSE),0)</f>
        <v>100</v>
      </c>
      <c r="V42" s="211">
        <f>Ruimtestaat[[#This Row],[Uitvoeringen werkdagen]]*Ruimtestaat[[#This Row],[Oppervlak (netto)]]</f>
        <v>183.48</v>
      </c>
      <c r="W42" s="257">
        <f>IF(U42&gt;0,Ruimtestaat[[#This Row],[Prest. (m2 /jaar) werkdagen]]/Ruimtestaat[[#This Row],[Norm (m2/uur) werkdagen]],0)</f>
        <v>1.8348</v>
      </c>
      <c r="X42" s="258">
        <f>Ruimtestaat[[#This Row],[uren / jaar werkdagen]]*Tariefsopbouw!$D$38</f>
        <v>45.87</v>
      </c>
      <c r="Y42" s="33"/>
      <c r="Z42" s="33">
        <f>IF(Ruimtestaat[[#This Row],[Frequentie weekend]]&gt;0,VALUE(LEFT(Y42,1))*R42,0)</f>
        <v>0</v>
      </c>
      <c r="AA42" s="33">
        <f>IF($Z42&gt;0,VLOOKUP($J42,Ruimtegroepen[],3,FALSE)*VLOOKUP($L42,Vloersoorten[],3,FALSE)*VLOOKUP($Y42,Frequenties[],3,FALSE)*VLOOKUP(#REF!,Locaties[],3,FALSE),0)</f>
        <v>0</v>
      </c>
      <c r="AB42" s="33"/>
      <c r="AC42" s="33"/>
      <c r="AD42" s="33">
        <f>Ruimtestaat[[#This Row],[uren / jaar weekend]]*Tariefsopbouw!$D$40</f>
        <v>0</v>
      </c>
      <c r="AE42" s="88">
        <f>Ruimtestaat[[#This Row],[Prest. (m2 /jaar) weekend]]+Ruimtestaat[[#This Row],[Prest. (m2 /jaar) werkdagen]]</f>
        <v>183.48</v>
      </c>
      <c r="AF42" s="88">
        <f>Ruimtestaat[[#This Row],[uren / jaar weekend]]+Ruimtestaat[[#This Row],[uren / jaar werkdagen]]</f>
        <v>1.8348</v>
      </c>
      <c r="AG42" s="89">
        <f>Ruimtestaat[[#This Row],[kosten / jaar weekend]]+Ruimtestaat[[#This Row],[kosten / jaar werkdagen]]</f>
        <v>45.87</v>
      </c>
      <c r="AH42" s="114"/>
      <c r="HL42" s="87"/>
    </row>
    <row r="43" spans="1:220" ht="15" customHeight="1">
      <c r="A43" s="129">
        <v>1</v>
      </c>
      <c r="B43" s="21" t="str">
        <f>VLOOKUP(Ruimtestaat[[#This Row],[Code]],Locaties[#All],2,FALSE)</f>
        <v>Groenlo</v>
      </c>
      <c r="C43" s="21" t="str">
        <f>VLOOKUP(Ruimtestaat[[#This Row],[Code]],Locaties[#All],4,FALSE)</f>
        <v>Deken Hooijmanssingel 1</v>
      </c>
      <c r="D43" s="21" t="str">
        <f>VLOOKUP(Ruimtestaat[[#This Row],[Code]],Locaties[#All],5,FALSE)</f>
        <v>7141 EA</v>
      </c>
      <c r="E43" s="195" t="str">
        <f>VLOOKUP(Ruimtestaat[[#This Row],[Code]],Locaties[#All],6,FALSE)</f>
        <v>Groenlo</v>
      </c>
      <c r="F43" s="195" t="s">
        <v>774</v>
      </c>
      <c r="G43" s="211" t="s">
        <v>776</v>
      </c>
      <c r="H43" s="195">
        <v>539</v>
      </c>
      <c r="I43" s="242" t="s">
        <v>441</v>
      </c>
      <c r="J43" s="195">
        <v>1</v>
      </c>
      <c r="K43" s="242" t="str">
        <f>VLOOKUP(Ruimtestaat[[#This Row],[Ruimte code]],Ruimtegroepen[#All],2,FALSE)</f>
        <v>Magazijnen/bergingen</v>
      </c>
      <c r="L43" s="211" t="s">
        <v>110</v>
      </c>
      <c r="M43" s="195" t="s">
        <v>133</v>
      </c>
      <c r="N43" s="197">
        <v>15.15</v>
      </c>
      <c r="O43" s="209"/>
      <c r="P43" s="241" t="str">
        <f>VLOOKUP(Ruimtestaat[[#This Row],[Ruimte code]],Ruimtegroepen[#All],4,FALSE)</f>
        <v>V  (Verkeersruimte)</v>
      </c>
      <c r="Q43" s="210"/>
      <c r="R43" s="211">
        <v>40</v>
      </c>
      <c r="S43" s="211" t="s">
        <v>16</v>
      </c>
      <c r="T43" s="211">
        <f>IF(R43&gt;0,IF(RIGHT(Ruimtestaat[[#This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U43" s="211">
        <f>IF(T43&gt;0,VLOOKUP($J43,Ruimtegroepen[],3,FALSE)*VLOOKUP($L43,Vloersoorten[],3,FALSE)*VLOOKUP($S43,Frequenties[],3,FALSE)*VLOOKUP($A43,Locaties[],3,FALSE),0)</f>
        <v>100</v>
      </c>
      <c r="V43" s="211">
        <f>Ruimtestaat[[#This Row],[Uitvoeringen werkdagen]]*Ruimtestaat[[#This Row],[Oppervlak (netto)]]</f>
        <v>181.8</v>
      </c>
      <c r="W43" s="257">
        <f>IF(U43&gt;0,Ruimtestaat[[#This Row],[Prest. (m2 /jaar) werkdagen]]/Ruimtestaat[[#This Row],[Norm (m2/uur) werkdagen]],0)</f>
        <v>1.8180000000000001</v>
      </c>
      <c r="X43" s="258">
        <f>Ruimtestaat[[#This Row],[uren / jaar werkdagen]]*Tariefsopbouw!$D$38</f>
        <v>45.45</v>
      </c>
      <c r="Y43" s="33"/>
      <c r="Z43" s="33">
        <f>IF(Ruimtestaat[[#This Row],[Frequentie weekend]]&gt;0,VALUE(LEFT(Y43,1))*R43,0)</f>
        <v>0</v>
      </c>
      <c r="AA43" s="33">
        <f>IF($Z43&gt;0,VLOOKUP($J43,Ruimtegroepen[],3,FALSE)*VLOOKUP($L43,Vloersoorten[],3,FALSE)*VLOOKUP($Y43,Frequenties[],3,FALSE)*VLOOKUP(#REF!,Locaties[],3,FALSE),0)</f>
        <v>0</v>
      </c>
      <c r="AB43" s="33"/>
      <c r="AC43" s="33"/>
      <c r="AD43" s="33">
        <f>Ruimtestaat[[#This Row],[uren / jaar weekend]]*Tariefsopbouw!$D$40</f>
        <v>0</v>
      </c>
      <c r="AE43" s="88">
        <f>Ruimtestaat[[#This Row],[Prest. (m2 /jaar) weekend]]+Ruimtestaat[[#This Row],[Prest. (m2 /jaar) werkdagen]]</f>
        <v>181.8</v>
      </c>
      <c r="AF43" s="88">
        <f>Ruimtestaat[[#This Row],[uren / jaar weekend]]+Ruimtestaat[[#This Row],[uren / jaar werkdagen]]</f>
        <v>1.8180000000000001</v>
      </c>
      <c r="AG43" s="89">
        <f>Ruimtestaat[[#This Row],[kosten / jaar weekend]]+Ruimtestaat[[#This Row],[kosten / jaar werkdagen]]</f>
        <v>45.45</v>
      </c>
      <c r="AH43" s="114"/>
      <c r="HL43" s="87"/>
    </row>
    <row r="44" spans="1:220" ht="15" customHeight="1">
      <c r="A44" s="129">
        <v>1</v>
      </c>
      <c r="B44" s="21" t="str">
        <f>VLOOKUP(Ruimtestaat[[#This Row],[Code]],Locaties[#All],2,FALSE)</f>
        <v>Groenlo</v>
      </c>
      <c r="C44" s="21" t="str">
        <f>VLOOKUP(Ruimtestaat[[#This Row],[Code]],Locaties[#All],4,FALSE)</f>
        <v>Deken Hooijmanssingel 1</v>
      </c>
      <c r="D44" s="21" t="str">
        <f>VLOOKUP(Ruimtestaat[[#This Row],[Code]],Locaties[#All],5,FALSE)</f>
        <v>7141 EA</v>
      </c>
      <c r="E44" s="195" t="str">
        <f>VLOOKUP(Ruimtestaat[[#This Row],[Code]],Locaties[#All],6,FALSE)</f>
        <v>Groenlo</v>
      </c>
      <c r="F44" s="195" t="s">
        <v>774</v>
      </c>
      <c r="G44" s="211" t="s">
        <v>776</v>
      </c>
      <c r="H44" s="195">
        <v>540</v>
      </c>
      <c r="I44" s="242" t="s">
        <v>765</v>
      </c>
      <c r="J44" s="195">
        <v>11</v>
      </c>
      <c r="K44" s="242" t="str">
        <f>VLOOKUP(Ruimtestaat[[#This Row],[Ruimte code]],Ruimtegroepen[#All],2,FALSE)</f>
        <v>Praktijklokaal</v>
      </c>
      <c r="L44" s="211" t="s">
        <v>110</v>
      </c>
      <c r="M44" s="195" t="s">
        <v>133</v>
      </c>
      <c r="N44" s="197">
        <v>102.07</v>
      </c>
      <c r="O44" s="209"/>
      <c r="P44" s="241" t="str">
        <f>VLOOKUP(Ruimtestaat[[#This Row],[Ruimte code]],Ruimtegroepen[#All],4,FALSE)</f>
        <v>L  (Lesruimte)</v>
      </c>
      <c r="Q44" s="210"/>
      <c r="R44" s="211">
        <v>40</v>
      </c>
      <c r="S44" s="211" t="s">
        <v>2</v>
      </c>
      <c r="T44" s="211">
        <f>IF(R44&gt;0,IF(RIGHT(Ruimtestaat[[#This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44" s="211">
        <f>IF(T44&gt;0,VLOOKUP($J44,Ruimtegroepen[],3,FALSE)*VLOOKUP($L44,Vloersoorten[],3,FALSE)*VLOOKUP($S44,Frequenties[],3,FALSE)*VLOOKUP($A44,Locaties[],3,FALSE),0)</f>
        <v>100</v>
      </c>
      <c r="V44" s="211">
        <f>Ruimtestaat[[#This Row],[Uitvoeringen werkdagen]]*Ruimtestaat[[#This Row],[Oppervlak (netto)]]</f>
        <v>20414</v>
      </c>
      <c r="W44" s="257">
        <f>IF(U44&gt;0,Ruimtestaat[[#This Row],[Prest. (m2 /jaar) werkdagen]]/Ruimtestaat[[#This Row],[Norm (m2/uur) werkdagen]],0)</f>
        <v>204.14</v>
      </c>
      <c r="X44" s="258">
        <f>Ruimtestaat[[#This Row],[uren / jaar werkdagen]]*Tariefsopbouw!$D$38</f>
        <v>5103.5</v>
      </c>
      <c r="Y44" s="33"/>
      <c r="Z44" s="33">
        <f>IF(Ruimtestaat[[#This Row],[Frequentie weekend]]&gt;0,VALUE(LEFT(Y44,1))*R44,0)</f>
        <v>0</v>
      </c>
      <c r="AA44" s="33">
        <f>IF($Z44&gt;0,VLOOKUP($J44,Ruimtegroepen[],3,FALSE)*VLOOKUP($L44,Vloersoorten[],3,FALSE)*VLOOKUP($Y44,Frequenties[],3,FALSE)*VLOOKUP(#REF!,Locaties[],3,FALSE),0)</f>
        <v>0</v>
      </c>
      <c r="AB44" s="33"/>
      <c r="AC44" s="33"/>
      <c r="AD44" s="33">
        <f>Ruimtestaat[[#This Row],[uren / jaar weekend]]*Tariefsopbouw!$D$40</f>
        <v>0</v>
      </c>
      <c r="AE44" s="88">
        <f>Ruimtestaat[[#This Row],[Prest. (m2 /jaar) weekend]]+Ruimtestaat[[#This Row],[Prest. (m2 /jaar) werkdagen]]</f>
        <v>20414</v>
      </c>
      <c r="AF44" s="88">
        <f>Ruimtestaat[[#This Row],[uren / jaar weekend]]+Ruimtestaat[[#This Row],[uren / jaar werkdagen]]</f>
        <v>204.14</v>
      </c>
      <c r="AG44" s="89">
        <f>Ruimtestaat[[#This Row],[kosten / jaar weekend]]+Ruimtestaat[[#This Row],[kosten / jaar werkdagen]]</f>
        <v>5103.5</v>
      </c>
      <c r="AH44" s="114"/>
      <c r="HL44" s="87"/>
    </row>
    <row r="45" spans="1:220" ht="15" customHeight="1">
      <c r="A45" s="129">
        <v>1</v>
      </c>
      <c r="B45" s="21" t="str">
        <f>VLOOKUP(Ruimtestaat[[#This Row],[Code]],Locaties[#All],2,FALSE)</f>
        <v>Groenlo</v>
      </c>
      <c r="C45" s="21" t="str">
        <f>VLOOKUP(Ruimtestaat[[#This Row],[Code]],Locaties[#All],4,FALSE)</f>
        <v>Deken Hooijmanssingel 1</v>
      </c>
      <c r="D45" s="21" t="str">
        <f>VLOOKUP(Ruimtestaat[[#This Row],[Code]],Locaties[#All],5,FALSE)</f>
        <v>7141 EA</v>
      </c>
      <c r="E45" s="195" t="str">
        <f>VLOOKUP(Ruimtestaat[[#This Row],[Code]],Locaties[#All],6,FALSE)</f>
        <v>Groenlo</v>
      </c>
      <c r="F45" s="195" t="s">
        <v>774</v>
      </c>
      <c r="G45" s="211" t="s">
        <v>776</v>
      </c>
      <c r="H45" s="195">
        <v>541</v>
      </c>
      <c r="I45" s="242" t="s">
        <v>441</v>
      </c>
      <c r="J45" s="195">
        <v>1</v>
      </c>
      <c r="K45" s="242" t="str">
        <f>VLOOKUP(Ruimtestaat[[#This Row],[Ruimte code]],Ruimtegroepen[#All],2,FALSE)</f>
        <v>Magazijnen/bergingen</v>
      </c>
      <c r="L45" s="211" t="s">
        <v>110</v>
      </c>
      <c r="M45" s="195" t="s">
        <v>133</v>
      </c>
      <c r="N45" s="197">
        <v>6.04</v>
      </c>
      <c r="O45" s="209"/>
      <c r="P45" s="241" t="str">
        <f>VLOOKUP(Ruimtestaat[[#This Row],[Ruimte code]],Ruimtegroepen[#All],4,FALSE)</f>
        <v>V  (Verkeersruimte)</v>
      </c>
      <c r="Q45" s="210"/>
      <c r="R45" s="211">
        <v>40</v>
      </c>
      <c r="S45" s="211" t="s">
        <v>16</v>
      </c>
      <c r="T45" s="211">
        <f>IF(R45&gt;0,IF(RIGHT(Ruimtestaat[[#This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U45" s="211">
        <f>IF(T45&gt;0,VLOOKUP($J45,Ruimtegroepen[],3,FALSE)*VLOOKUP($L45,Vloersoorten[],3,FALSE)*VLOOKUP($S45,Frequenties[],3,FALSE)*VLOOKUP($A45,Locaties[],3,FALSE),0)</f>
        <v>100</v>
      </c>
      <c r="V45" s="211">
        <f>Ruimtestaat[[#This Row],[Uitvoeringen werkdagen]]*Ruimtestaat[[#This Row],[Oppervlak (netto)]]</f>
        <v>72.48</v>
      </c>
      <c r="W45" s="257">
        <f>IF(U45&gt;0,Ruimtestaat[[#This Row],[Prest. (m2 /jaar) werkdagen]]/Ruimtestaat[[#This Row],[Norm (m2/uur) werkdagen]],0)</f>
        <v>0.7248</v>
      </c>
      <c r="X45" s="258">
        <f>Ruimtestaat[[#This Row],[uren / jaar werkdagen]]*Tariefsopbouw!$D$38</f>
        <v>18.12</v>
      </c>
      <c r="Y45" s="33"/>
      <c r="Z45" s="33">
        <f>IF(Ruimtestaat[[#This Row],[Frequentie weekend]]&gt;0,VALUE(LEFT(Y45,1))*R45,0)</f>
        <v>0</v>
      </c>
      <c r="AA45" s="33">
        <f>IF($Z45&gt;0,VLOOKUP($J45,Ruimtegroepen[],3,FALSE)*VLOOKUP($L45,Vloersoorten[],3,FALSE)*VLOOKUP($Y45,Frequenties[],3,FALSE)*VLOOKUP(#REF!,Locaties[],3,FALSE),0)</f>
        <v>0</v>
      </c>
      <c r="AB45" s="33"/>
      <c r="AC45" s="33"/>
      <c r="AD45" s="33">
        <f>Ruimtestaat[[#This Row],[uren / jaar weekend]]*Tariefsopbouw!$D$40</f>
        <v>0</v>
      </c>
      <c r="AE45" s="88">
        <f>Ruimtestaat[[#This Row],[Prest. (m2 /jaar) weekend]]+Ruimtestaat[[#This Row],[Prest. (m2 /jaar) werkdagen]]</f>
        <v>72.48</v>
      </c>
      <c r="AF45" s="88">
        <f>Ruimtestaat[[#This Row],[uren / jaar weekend]]+Ruimtestaat[[#This Row],[uren / jaar werkdagen]]</f>
        <v>0.7248</v>
      </c>
      <c r="AG45" s="89">
        <f>Ruimtestaat[[#This Row],[kosten / jaar weekend]]+Ruimtestaat[[#This Row],[kosten / jaar werkdagen]]</f>
        <v>18.12</v>
      </c>
      <c r="AH45" s="114"/>
      <c r="HL45" s="87"/>
    </row>
    <row r="46" spans="1:220" ht="15" customHeight="1">
      <c r="A46" s="129">
        <v>1</v>
      </c>
      <c r="B46" s="21" t="str">
        <f>VLOOKUP(Ruimtestaat[[#This Row],[Code]],Locaties[#All],2,FALSE)</f>
        <v>Groenlo</v>
      </c>
      <c r="C46" s="21" t="str">
        <f>VLOOKUP(Ruimtestaat[[#This Row],[Code]],Locaties[#All],4,FALSE)</f>
        <v>Deken Hooijmanssingel 1</v>
      </c>
      <c r="D46" s="21" t="str">
        <f>VLOOKUP(Ruimtestaat[[#This Row],[Code]],Locaties[#All],5,FALSE)</f>
        <v>7141 EA</v>
      </c>
      <c r="E46" s="195" t="str">
        <f>VLOOKUP(Ruimtestaat[[#This Row],[Code]],Locaties[#All],6,FALSE)</f>
        <v>Groenlo</v>
      </c>
      <c r="F46" s="195" t="s">
        <v>774</v>
      </c>
      <c r="G46" s="211" t="s">
        <v>776</v>
      </c>
      <c r="H46" s="195">
        <v>542</v>
      </c>
      <c r="I46" s="242" t="s">
        <v>765</v>
      </c>
      <c r="J46" s="195">
        <v>11</v>
      </c>
      <c r="K46" s="242" t="str">
        <f>VLOOKUP(Ruimtestaat[[#This Row],[Ruimte code]],Ruimtegroepen[#All],2,FALSE)</f>
        <v>Praktijklokaal</v>
      </c>
      <c r="L46" s="211" t="s">
        <v>110</v>
      </c>
      <c r="M46" s="195" t="s">
        <v>133</v>
      </c>
      <c r="N46" s="197">
        <v>48.86</v>
      </c>
      <c r="O46" s="209"/>
      <c r="P46" s="241" t="str">
        <f>VLOOKUP(Ruimtestaat[[#This Row],[Ruimte code]],Ruimtegroepen[#All],4,FALSE)</f>
        <v>L  (Lesruimte)</v>
      </c>
      <c r="Q46" s="210"/>
      <c r="R46" s="211">
        <v>40</v>
      </c>
      <c r="S46" s="211" t="s">
        <v>2</v>
      </c>
      <c r="T46" s="211">
        <f>IF(R46&gt;0,IF(RIGHT(Ruimtestaat[[#This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46" s="211">
        <f>IF(T46&gt;0,VLOOKUP($J46,Ruimtegroepen[],3,FALSE)*VLOOKUP($L46,Vloersoorten[],3,FALSE)*VLOOKUP($S46,Frequenties[],3,FALSE)*VLOOKUP($A46,Locaties[],3,FALSE),0)</f>
        <v>100</v>
      </c>
      <c r="V46" s="211">
        <f>Ruimtestaat[[#This Row],[Uitvoeringen werkdagen]]*Ruimtestaat[[#This Row],[Oppervlak (netto)]]</f>
        <v>9772</v>
      </c>
      <c r="W46" s="257">
        <f>IF(U46&gt;0,Ruimtestaat[[#This Row],[Prest. (m2 /jaar) werkdagen]]/Ruimtestaat[[#This Row],[Norm (m2/uur) werkdagen]],0)</f>
        <v>97.72</v>
      </c>
      <c r="X46" s="258">
        <f>Ruimtestaat[[#This Row],[uren / jaar werkdagen]]*Tariefsopbouw!$D$38</f>
        <v>2443</v>
      </c>
      <c r="Y46" s="33"/>
      <c r="Z46" s="33">
        <f>IF(Ruimtestaat[[#This Row],[Frequentie weekend]]&gt;0,VALUE(LEFT(Y46,1))*R46,0)</f>
        <v>0</v>
      </c>
      <c r="AA46" s="33">
        <f>IF($Z46&gt;0,VLOOKUP($J46,Ruimtegroepen[],3,FALSE)*VLOOKUP($L46,Vloersoorten[],3,FALSE)*VLOOKUP($Y46,Frequenties[],3,FALSE)*VLOOKUP(#REF!,Locaties[],3,FALSE),0)</f>
        <v>0</v>
      </c>
      <c r="AB46" s="33"/>
      <c r="AC46" s="33"/>
      <c r="AD46" s="33">
        <f>Ruimtestaat[[#This Row],[uren / jaar weekend]]*Tariefsopbouw!$D$40</f>
        <v>0</v>
      </c>
      <c r="AE46" s="88">
        <f>Ruimtestaat[[#This Row],[Prest. (m2 /jaar) weekend]]+Ruimtestaat[[#This Row],[Prest. (m2 /jaar) werkdagen]]</f>
        <v>9772</v>
      </c>
      <c r="AF46" s="88">
        <f>Ruimtestaat[[#This Row],[uren / jaar weekend]]+Ruimtestaat[[#This Row],[uren / jaar werkdagen]]</f>
        <v>97.72</v>
      </c>
      <c r="AG46" s="89">
        <f>Ruimtestaat[[#This Row],[kosten / jaar weekend]]+Ruimtestaat[[#This Row],[kosten / jaar werkdagen]]</f>
        <v>2443</v>
      </c>
      <c r="AH46" s="114"/>
      <c r="HL46" s="87"/>
    </row>
    <row r="47" spans="1:220" ht="15" customHeight="1">
      <c r="A47" s="129">
        <v>1</v>
      </c>
      <c r="B47" s="21" t="str">
        <f>VLOOKUP(Ruimtestaat[[#This Row],[Code]],Locaties[#All],2,FALSE)</f>
        <v>Groenlo</v>
      </c>
      <c r="C47" s="21" t="str">
        <f>VLOOKUP(Ruimtestaat[[#This Row],[Code]],Locaties[#All],4,FALSE)</f>
        <v>Deken Hooijmanssingel 1</v>
      </c>
      <c r="D47" s="21" t="str">
        <f>VLOOKUP(Ruimtestaat[[#This Row],[Code]],Locaties[#All],5,FALSE)</f>
        <v>7141 EA</v>
      </c>
      <c r="E47" s="195" t="str">
        <f>VLOOKUP(Ruimtestaat[[#This Row],[Code]],Locaties[#All],6,FALSE)</f>
        <v>Groenlo</v>
      </c>
      <c r="F47" s="195" t="s">
        <v>774</v>
      </c>
      <c r="G47" s="211" t="s">
        <v>776</v>
      </c>
      <c r="H47" s="195">
        <v>543</v>
      </c>
      <c r="I47" s="242" t="s">
        <v>382</v>
      </c>
      <c r="J47" s="195">
        <v>10</v>
      </c>
      <c r="K47" s="242" t="str">
        <f>VLOOKUP(Ruimtestaat[[#This Row],[Ruimte code]],Ruimtegroepen[#All],2,FALSE)</f>
        <v>Trappenhuizen/lift</v>
      </c>
      <c r="L47" s="211" t="s">
        <v>110</v>
      </c>
      <c r="M47" s="195" t="s">
        <v>133</v>
      </c>
      <c r="N47" s="197">
        <v>24.9</v>
      </c>
      <c r="O47" s="209"/>
      <c r="P47" s="241" t="str">
        <f>VLOOKUP(Ruimtestaat[[#This Row],[Ruimte code]],Ruimtegroepen[#All],4,FALSE)</f>
        <v>V  (Verkeersruimte)</v>
      </c>
      <c r="Q47" s="210"/>
      <c r="R47" s="211">
        <v>40</v>
      </c>
      <c r="S47" s="211" t="s">
        <v>2</v>
      </c>
      <c r="T47" s="211">
        <f>IF(R47&gt;0,IF(RIGHT(Ruimtestaat[[#This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47" s="211">
        <f>IF(T47&gt;0,VLOOKUP($J47,Ruimtegroepen[],3,FALSE)*VLOOKUP($L47,Vloersoorten[],3,FALSE)*VLOOKUP($S47,Frequenties[],3,FALSE)*VLOOKUP($A47,Locaties[],3,FALSE),0)</f>
        <v>100</v>
      </c>
      <c r="V47" s="211">
        <f>Ruimtestaat[[#This Row],[Uitvoeringen werkdagen]]*Ruimtestaat[[#This Row],[Oppervlak (netto)]]</f>
        <v>4980</v>
      </c>
      <c r="W47" s="257">
        <f>IF(U47&gt;0,Ruimtestaat[[#This Row],[Prest. (m2 /jaar) werkdagen]]/Ruimtestaat[[#This Row],[Norm (m2/uur) werkdagen]],0)</f>
        <v>49.8</v>
      </c>
      <c r="X47" s="258">
        <f>Ruimtestaat[[#This Row],[uren / jaar werkdagen]]*Tariefsopbouw!$D$38</f>
        <v>1245</v>
      </c>
      <c r="Y47" s="33"/>
      <c r="Z47" s="33">
        <f>IF(Ruimtestaat[[#This Row],[Frequentie weekend]]&gt;0,VALUE(LEFT(Y47,1))*R47,0)</f>
        <v>0</v>
      </c>
      <c r="AA47" s="33">
        <f>IF($Z47&gt;0,VLOOKUP($J47,Ruimtegroepen[],3,FALSE)*VLOOKUP($L47,Vloersoorten[],3,FALSE)*VLOOKUP($Y47,Frequenties[],3,FALSE)*VLOOKUP(#REF!,Locaties[],3,FALSE),0)</f>
        <v>0</v>
      </c>
      <c r="AB47" s="33"/>
      <c r="AC47" s="33"/>
      <c r="AD47" s="33">
        <f>Ruimtestaat[[#This Row],[uren / jaar weekend]]*Tariefsopbouw!$D$40</f>
        <v>0</v>
      </c>
      <c r="AE47" s="88">
        <f>Ruimtestaat[[#This Row],[Prest. (m2 /jaar) weekend]]+Ruimtestaat[[#This Row],[Prest. (m2 /jaar) werkdagen]]</f>
        <v>4980</v>
      </c>
      <c r="AF47" s="88">
        <f>Ruimtestaat[[#This Row],[uren / jaar weekend]]+Ruimtestaat[[#This Row],[uren / jaar werkdagen]]</f>
        <v>49.8</v>
      </c>
      <c r="AG47" s="89">
        <f>Ruimtestaat[[#This Row],[kosten / jaar weekend]]+Ruimtestaat[[#This Row],[kosten / jaar werkdagen]]</f>
        <v>1245</v>
      </c>
      <c r="AH47" s="114"/>
      <c r="HL47" s="87"/>
    </row>
    <row r="48" spans="1:220" ht="15" customHeight="1">
      <c r="A48" s="129">
        <v>1</v>
      </c>
      <c r="B48" s="21" t="str">
        <f>VLOOKUP(Ruimtestaat[[#This Row],[Code]],Locaties[#All],2,FALSE)</f>
        <v>Groenlo</v>
      </c>
      <c r="C48" s="21" t="str">
        <f>VLOOKUP(Ruimtestaat[[#This Row],[Code]],Locaties[#All],4,FALSE)</f>
        <v>Deken Hooijmanssingel 1</v>
      </c>
      <c r="D48" s="21" t="str">
        <f>VLOOKUP(Ruimtestaat[[#This Row],[Code]],Locaties[#All],5,FALSE)</f>
        <v>7141 EA</v>
      </c>
      <c r="E48" s="195" t="str">
        <f>VLOOKUP(Ruimtestaat[[#This Row],[Code]],Locaties[#All],6,FALSE)</f>
        <v>Groenlo</v>
      </c>
      <c r="F48" s="195" t="s">
        <v>774</v>
      </c>
      <c r="G48" s="195" t="s">
        <v>776</v>
      </c>
      <c r="H48" s="195">
        <v>544</v>
      </c>
      <c r="I48" s="242" t="s">
        <v>765</v>
      </c>
      <c r="J48" s="195">
        <v>11</v>
      </c>
      <c r="K48" s="242" t="str">
        <f>VLOOKUP(Ruimtestaat[[#This Row],[Ruimte code]],Ruimtegroepen[#All],2,FALSE)</f>
        <v>Praktijklokaal</v>
      </c>
      <c r="L48" s="211" t="s">
        <v>110</v>
      </c>
      <c r="M48" s="195" t="s">
        <v>133</v>
      </c>
      <c r="N48" s="197">
        <v>108.25</v>
      </c>
      <c r="O48" s="209"/>
      <c r="P48" s="241" t="str">
        <f>VLOOKUP(Ruimtestaat[[#This Row],[Ruimte code]],Ruimtegroepen[#All],4,FALSE)</f>
        <v>L  (Lesruimte)</v>
      </c>
      <c r="Q48" s="210"/>
      <c r="R48" s="211">
        <v>40</v>
      </c>
      <c r="S48" s="211" t="s">
        <v>2</v>
      </c>
      <c r="T48" s="211">
        <f>IF(R48&gt;0,IF(RIGHT(Ruimtestaat[[#This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48" s="211">
        <f>IF(T48&gt;0,VLOOKUP($J48,Ruimtegroepen[],3,FALSE)*VLOOKUP($L48,Vloersoorten[],3,FALSE)*VLOOKUP($S48,Frequenties[],3,FALSE)*VLOOKUP($A48,Locaties[],3,FALSE),0)</f>
        <v>100</v>
      </c>
      <c r="V48" s="211">
        <f>Ruimtestaat[[#This Row],[Uitvoeringen werkdagen]]*Ruimtestaat[[#This Row],[Oppervlak (netto)]]</f>
        <v>21650</v>
      </c>
      <c r="W48" s="257">
        <f>IF(U48&gt;0,Ruimtestaat[[#This Row],[Prest. (m2 /jaar) werkdagen]]/Ruimtestaat[[#This Row],[Norm (m2/uur) werkdagen]],0)</f>
        <v>216.5</v>
      </c>
      <c r="X48" s="258">
        <f>Ruimtestaat[[#This Row],[uren / jaar werkdagen]]*Tariefsopbouw!$D$38</f>
        <v>5412.5</v>
      </c>
      <c r="Y48" s="33"/>
      <c r="Z48" s="33">
        <f>IF(Ruimtestaat[[#This Row],[Frequentie weekend]]&gt;0,VALUE(LEFT(Y48,1))*R48,0)</f>
        <v>0</v>
      </c>
      <c r="AA48" s="33">
        <f>IF($Z48&gt;0,VLOOKUP($J48,Ruimtegroepen[],3,FALSE)*VLOOKUP($L48,Vloersoorten[],3,FALSE)*VLOOKUP($Y48,Frequenties[],3,FALSE)*VLOOKUP(#REF!,Locaties[],3,FALSE),0)</f>
        <v>0</v>
      </c>
      <c r="AB48" s="33"/>
      <c r="AC48" s="33"/>
      <c r="AD48" s="33">
        <f>Ruimtestaat[[#This Row],[uren / jaar weekend]]*Tariefsopbouw!$D$40</f>
        <v>0</v>
      </c>
      <c r="AE48" s="88">
        <f>Ruimtestaat[[#This Row],[Prest. (m2 /jaar) weekend]]+Ruimtestaat[[#This Row],[Prest. (m2 /jaar) werkdagen]]</f>
        <v>21650</v>
      </c>
      <c r="AF48" s="88">
        <f>Ruimtestaat[[#This Row],[uren / jaar weekend]]+Ruimtestaat[[#This Row],[uren / jaar werkdagen]]</f>
        <v>216.5</v>
      </c>
      <c r="AG48" s="89">
        <f>Ruimtestaat[[#This Row],[kosten / jaar weekend]]+Ruimtestaat[[#This Row],[kosten / jaar werkdagen]]</f>
        <v>5412.5</v>
      </c>
      <c r="AH48" s="114"/>
      <c r="HL48" s="87"/>
    </row>
    <row r="49" spans="1:220" ht="15" customHeight="1">
      <c r="A49" s="129">
        <v>1</v>
      </c>
      <c r="B49" s="21" t="str">
        <f>VLOOKUP(Ruimtestaat[[#This Row],[Code]],Locaties[#All],2,FALSE)</f>
        <v>Groenlo</v>
      </c>
      <c r="C49" s="21" t="str">
        <f>VLOOKUP(Ruimtestaat[[#This Row],[Code]],Locaties[#All],4,FALSE)</f>
        <v>Deken Hooijmanssingel 1</v>
      </c>
      <c r="D49" s="21" t="str">
        <f>VLOOKUP(Ruimtestaat[[#This Row],[Code]],Locaties[#All],5,FALSE)</f>
        <v>7141 EA</v>
      </c>
      <c r="E49" s="195" t="str">
        <f>VLOOKUP(Ruimtestaat[[#This Row],[Code]],Locaties[#All],6,FALSE)</f>
        <v>Groenlo</v>
      </c>
      <c r="F49" s="195" t="s">
        <v>774</v>
      </c>
      <c r="G49" s="195" t="s">
        <v>776</v>
      </c>
      <c r="H49" s="195">
        <v>545</v>
      </c>
      <c r="I49" s="242" t="s">
        <v>441</v>
      </c>
      <c r="J49" s="195">
        <v>1</v>
      </c>
      <c r="K49" s="242" t="str">
        <f>VLOOKUP(Ruimtestaat[[#This Row],[Ruimte code]],Ruimtegroepen[#All],2,FALSE)</f>
        <v>Magazijnen/bergingen</v>
      </c>
      <c r="L49" s="211" t="s">
        <v>110</v>
      </c>
      <c r="M49" s="195" t="s">
        <v>133</v>
      </c>
      <c r="N49" s="197">
        <v>12.67</v>
      </c>
      <c r="O49" s="209"/>
      <c r="P49" s="241" t="str">
        <f>VLOOKUP(Ruimtestaat[[#This Row],[Ruimte code]],Ruimtegroepen[#All],4,FALSE)</f>
        <v>V  (Verkeersruimte)</v>
      </c>
      <c r="Q49" s="210"/>
      <c r="R49" s="211">
        <v>40</v>
      </c>
      <c r="S49" s="211" t="s">
        <v>16</v>
      </c>
      <c r="T49" s="211">
        <f>IF(R49&gt;0,IF(RIGHT(Ruimtestaat[[#This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U49" s="211">
        <f>IF(T49&gt;0,VLOOKUP($J49,Ruimtegroepen[],3,FALSE)*VLOOKUP($L49,Vloersoorten[],3,FALSE)*VLOOKUP($S49,Frequenties[],3,FALSE)*VLOOKUP($A49,Locaties[],3,FALSE),0)</f>
        <v>100</v>
      </c>
      <c r="V49" s="211">
        <f>Ruimtestaat[[#This Row],[Uitvoeringen werkdagen]]*Ruimtestaat[[#This Row],[Oppervlak (netto)]]</f>
        <v>152.04</v>
      </c>
      <c r="W49" s="257">
        <f>IF(U49&gt;0,Ruimtestaat[[#This Row],[Prest. (m2 /jaar) werkdagen]]/Ruimtestaat[[#This Row],[Norm (m2/uur) werkdagen]],0)</f>
        <v>1.5204</v>
      </c>
      <c r="X49" s="258">
        <f>Ruimtestaat[[#This Row],[uren / jaar werkdagen]]*Tariefsopbouw!$D$38</f>
        <v>38.01</v>
      </c>
      <c r="Y49" s="33"/>
      <c r="Z49" s="33">
        <f>IF(Ruimtestaat[[#This Row],[Frequentie weekend]]&gt;0,VALUE(LEFT(Y49,1))*R49,0)</f>
        <v>0</v>
      </c>
      <c r="AA49" s="33">
        <f>IF($Z49&gt;0,VLOOKUP($J49,Ruimtegroepen[],3,FALSE)*VLOOKUP($L49,Vloersoorten[],3,FALSE)*VLOOKUP($Y49,Frequenties[],3,FALSE)*VLOOKUP(#REF!,Locaties[],3,FALSE),0)</f>
        <v>0</v>
      </c>
      <c r="AB49" s="33"/>
      <c r="AC49" s="33"/>
      <c r="AD49" s="33">
        <f>Ruimtestaat[[#This Row],[uren / jaar weekend]]*Tariefsopbouw!$D$40</f>
        <v>0</v>
      </c>
      <c r="AE49" s="88">
        <f>Ruimtestaat[[#This Row],[Prest. (m2 /jaar) weekend]]+Ruimtestaat[[#This Row],[Prest. (m2 /jaar) werkdagen]]</f>
        <v>152.04</v>
      </c>
      <c r="AF49" s="88">
        <f>Ruimtestaat[[#This Row],[uren / jaar weekend]]+Ruimtestaat[[#This Row],[uren / jaar werkdagen]]</f>
        <v>1.5204</v>
      </c>
      <c r="AG49" s="89">
        <f>Ruimtestaat[[#This Row],[kosten / jaar weekend]]+Ruimtestaat[[#This Row],[kosten / jaar werkdagen]]</f>
        <v>38.01</v>
      </c>
      <c r="AH49" s="114"/>
      <c r="HL49" s="87"/>
    </row>
    <row r="50" spans="1:220" s="193" customFormat="1" ht="14.25" customHeight="1">
      <c r="A50" s="129">
        <v>1</v>
      </c>
      <c r="B50" s="21" t="str">
        <f>VLOOKUP(Ruimtestaat[[#This Row],[Code]],Locaties[#All],2,FALSE)</f>
        <v>Groenlo</v>
      </c>
      <c r="C50" s="21" t="str">
        <f>VLOOKUP(Ruimtestaat[[#This Row],[Code]],Locaties[#All],4,FALSE)</f>
        <v>Deken Hooijmanssingel 1</v>
      </c>
      <c r="D50" s="21" t="str">
        <f>VLOOKUP(Ruimtestaat[[#This Row],[Code]],Locaties[#All],5,FALSE)</f>
        <v>7141 EA</v>
      </c>
      <c r="E50" s="195" t="str">
        <f>VLOOKUP(Ruimtestaat[[#This Row],[Code]],Locaties[#All],6,FALSE)</f>
        <v>Groenlo</v>
      </c>
      <c r="F50" s="195" t="s">
        <v>774</v>
      </c>
      <c r="G50" s="195" t="s">
        <v>776</v>
      </c>
      <c r="H50" s="195">
        <v>546</v>
      </c>
      <c r="I50" s="242" t="s">
        <v>382</v>
      </c>
      <c r="J50" s="195">
        <v>6</v>
      </c>
      <c r="K50" s="242" t="str">
        <f>VLOOKUP(Ruimtestaat[[#This Row],[Ruimte code]],Ruimtegroepen[#All],2,FALSE)</f>
        <v>Gangen/hallen</v>
      </c>
      <c r="L50" s="211" t="s">
        <v>110</v>
      </c>
      <c r="M50" s="195" t="s">
        <v>133</v>
      </c>
      <c r="N50" s="197">
        <v>127.25</v>
      </c>
      <c r="O50" s="209"/>
      <c r="P50" s="241" t="str">
        <f>VLOOKUP(Ruimtestaat[[#This Row],[Ruimte code]],Ruimtegroepen[#All],4,FALSE)</f>
        <v>V  (Verkeersruimte)</v>
      </c>
      <c r="Q50" s="210"/>
      <c r="R50" s="211">
        <v>40</v>
      </c>
      <c r="S50" s="211" t="s">
        <v>2</v>
      </c>
      <c r="T50" s="211">
        <f>IF(R50&gt;0,IF(RIGHT(Ruimtestaat[[#This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50" s="211">
        <f>IF(T50&gt;0,VLOOKUP($J50,Ruimtegroepen[],3,FALSE)*VLOOKUP($L50,Vloersoorten[],3,FALSE)*VLOOKUP($S50,Frequenties[],3,FALSE)*VLOOKUP($A50,Locaties[],3,FALSE),0)</f>
        <v>100</v>
      </c>
      <c r="V50" s="211">
        <f>Ruimtestaat[[#This Row],[Uitvoeringen werkdagen]]*Ruimtestaat[[#This Row],[Oppervlak (netto)]]</f>
        <v>25450</v>
      </c>
      <c r="W50" s="257">
        <f>IF(U50&gt;0,Ruimtestaat[[#This Row],[Prest. (m2 /jaar) werkdagen]]/Ruimtestaat[[#This Row],[Norm (m2/uur) werkdagen]],0)</f>
        <v>254.5</v>
      </c>
      <c r="X50" s="258">
        <f>Ruimtestaat[[#This Row],[uren / jaar werkdagen]]*Tariefsopbouw!$D$38</f>
        <v>6362.5</v>
      </c>
      <c r="Y50" s="33"/>
      <c r="Z50" s="33">
        <f>IF(Ruimtestaat[[#This Row],[Frequentie weekend]]&gt;0,VALUE(LEFT(Y50,1))*R50,0)</f>
        <v>0</v>
      </c>
      <c r="AA50" s="33">
        <f>IF($Z50&gt;0,VLOOKUP($J50,Ruimtegroepen[],3,FALSE)*VLOOKUP($L50,Vloersoorten[],3,FALSE)*VLOOKUP($Y50,Frequenties[],3,FALSE)*VLOOKUP(#REF!,Locaties[],3,FALSE),0)</f>
        <v>0</v>
      </c>
      <c r="AB50" s="33"/>
      <c r="AC50" s="33"/>
      <c r="AD50" s="33">
        <f>Ruimtestaat[[#This Row],[uren / jaar weekend]]*Tariefsopbouw!$D$40</f>
        <v>0</v>
      </c>
      <c r="AE50" s="88">
        <f>Ruimtestaat[[#This Row],[Prest. (m2 /jaar) weekend]]+Ruimtestaat[[#This Row],[Prest. (m2 /jaar) werkdagen]]</f>
        <v>25450</v>
      </c>
      <c r="AF50" s="88">
        <f>Ruimtestaat[[#This Row],[uren / jaar weekend]]+Ruimtestaat[[#This Row],[uren / jaar werkdagen]]</f>
        <v>254.5</v>
      </c>
      <c r="AG50" s="89">
        <f>Ruimtestaat[[#This Row],[kosten / jaar weekend]]+Ruimtestaat[[#This Row],[kosten / jaar werkdagen]]</f>
        <v>6362.5</v>
      </c>
      <c r="AH50" s="192"/>
    </row>
    <row r="51" spans="1:220" s="193" customFormat="1" ht="15" customHeight="1">
      <c r="A51" s="129">
        <v>1</v>
      </c>
      <c r="B51" s="21" t="str">
        <f>VLOOKUP(Ruimtestaat[[#This Row],[Code]],Locaties[#All],2,FALSE)</f>
        <v>Groenlo</v>
      </c>
      <c r="C51" s="21" t="str">
        <f>VLOOKUP(Ruimtestaat[[#This Row],[Code]],Locaties[#All],4,FALSE)</f>
        <v>Deken Hooijmanssingel 1</v>
      </c>
      <c r="D51" s="21" t="str">
        <f>VLOOKUP(Ruimtestaat[[#This Row],[Code]],Locaties[#All],5,FALSE)</f>
        <v>7141 EA</v>
      </c>
      <c r="E51" s="195" t="str">
        <f>VLOOKUP(Ruimtestaat[[#This Row],[Code]],Locaties[#All],6,FALSE)</f>
        <v>Groenlo</v>
      </c>
      <c r="F51" s="195" t="s">
        <v>774</v>
      </c>
      <c r="G51" s="195" t="s">
        <v>776</v>
      </c>
      <c r="H51" s="259">
        <v>547</v>
      </c>
      <c r="I51" s="242" t="s">
        <v>448</v>
      </c>
      <c r="J51" s="195">
        <v>14</v>
      </c>
      <c r="K51" s="242" t="str">
        <f>VLOOKUP(Ruimtestaat[[#This Row],[Ruimte code]],Ruimtegroepen[#All],2,FALSE)</f>
        <v>Personeelsruimte</v>
      </c>
      <c r="L51" s="211" t="s">
        <v>109</v>
      </c>
      <c r="M51" s="195" t="s">
        <v>38</v>
      </c>
      <c r="N51" s="197">
        <v>122.19</v>
      </c>
      <c r="O51" s="209"/>
      <c r="P51" s="241" t="str">
        <f>VLOOKUP(Ruimtestaat[[#This Row],[Ruimte code]],Ruimtegroepen[#All],4,FALSE)</f>
        <v>V  (Verkeersruimte)</v>
      </c>
      <c r="Q51" s="210"/>
      <c r="R51" s="211">
        <v>40</v>
      </c>
      <c r="S51" s="211" t="s">
        <v>2</v>
      </c>
      <c r="T51" s="211">
        <f>IF(R51&gt;0,IF(RIGHT(Ruimtestaat[[#This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51" s="211">
        <f>IF(T51&gt;0,VLOOKUP($J51,Ruimtegroepen[],3,FALSE)*VLOOKUP($L51,Vloersoorten[],3,FALSE)*VLOOKUP($S51,Frequenties[],3,FALSE)*VLOOKUP($A51,Locaties[],3,FALSE),0)</f>
        <v>100</v>
      </c>
      <c r="V51" s="211">
        <f>Ruimtestaat[[#This Row],[Uitvoeringen werkdagen]]*Ruimtestaat[[#This Row],[Oppervlak (netto)]]</f>
        <v>24438</v>
      </c>
      <c r="W51" s="257">
        <f>IF(U51&gt;0,Ruimtestaat[[#This Row],[Prest. (m2 /jaar) werkdagen]]/Ruimtestaat[[#This Row],[Norm (m2/uur) werkdagen]],0)</f>
        <v>244.38</v>
      </c>
      <c r="X51" s="258">
        <f>Ruimtestaat[[#This Row],[uren / jaar werkdagen]]*Tariefsopbouw!$D$38</f>
        <v>6109.5</v>
      </c>
      <c r="Y51" s="33"/>
      <c r="Z51" s="33">
        <f>IF(Ruimtestaat[[#This Row],[Frequentie weekend]]&gt;0,VALUE(LEFT(Y51,1))*R51,0)</f>
        <v>0</v>
      </c>
      <c r="AA51" s="33">
        <f>IF($Z51&gt;0,VLOOKUP($J51,Ruimtegroepen[],3,FALSE)*VLOOKUP($L51,Vloersoorten[],3,FALSE)*VLOOKUP($Y51,Frequenties[],3,FALSE)*VLOOKUP(#REF!,Locaties[],3,FALSE),0)</f>
        <v>0</v>
      </c>
      <c r="AB51" s="33"/>
      <c r="AC51" s="33"/>
      <c r="AD51" s="33">
        <f>Ruimtestaat[[#This Row],[uren / jaar weekend]]*Tariefsopbouw!$D$40</f>
        <v>0</v>
      </c>
      <c r="AE51" s="88">
        <f>Ruimtestaat[[#This Row],[Prest. (m2 /jaar) weekend]]+Ruimtestaat[[#This Row],[Prest. (m2 /jaar) werkdagen]]</f>
        <v>24438</v>
      </c>
      <c r="AF51" s="88">
        <f>Ruimtestaat[[#This Row],[uren / jaar weekend]]+Ruimtestaat[[#This Row],[uren / jaar werkdagen]]</f>
        <v>244.38</v>
      </c>
      <c r="AG51" s="89">
        <f>Ruimtestaat[[#This Row],[kosten / jaar weekend]]+Ruimtestaat[[#This Row],[kosten / jaar werkdagen]]</f>
        <v>6109.5</v>
      </c>
      <c r="AH51" s="192"/>
    </row>
    <row r="52" spans="1:220" ht="15" customHeight="1">
      <c r="A52" s="129">
        <v>1</v>
      </c>
      <c r="B52" s="21" t="str">
        <f>VLOOKUP(Ruimtestaat[[#This Row],[Code]],Locaties[#All],2,FALSE)</f>
        <v>Groenlo</v>
      </c>
      <c r="C52" s="21" t="str">
        <f>VLOOKUP(Ruimtestaat[[#This Row],[Code]],Locaties[#All],4,FALSE)</f>
        <v>Deken Hooijmanssingel 1</v>
      </c>
      <c r="D52" s="21" t="str">
        <f>VLOOKUP(Ruimtestaat[[#This Row],[Code]],Locaties[#All],5,FALSE)</f>
        <v>7141 EA</v>
      </c>
      <c r="E52" s="195" t="str">
        <f>VLOOKUP(Ruimtestaat[[#This Row],[Code]],Locaties[#All],6,FALSE)</f>
        <v>Groenlo</v>
      </c>
      <c r="F52" s="195" t="s">
        <v>774</v>
      </c>
      <c r="G52" s="195" t="s">
        <v>776</v>
      </c>
      <c r="H52" s="195">
        <v>548</v>
      </c>
      <c r="I52" s="242" t="s">
        <v>820</v>
      </c>
      <c r="J52" s="211">
        <v>2</v>
      </c>
      <c r="K52" s="242" t="str">
        <f>VLOOKUP(Ruimtestaat[[#This Row],[Ruimte code]],Ruimtegroepen[#All],2,FALSE)</f>
        <v>Kantoren</v>
      </c>
      <c r="L52" s="211" t="s">
        <v>109</v>
      </c>
      <c r="M52" s="195" t="s">
        <v>38</v>
      </c>
      <c r="N52" s="197">
        <v>68.64</v>
      </c>
      <c r="O52" s="209"/>
      <c r="P52" s="241" t="str">
        <f>VLOOKUP(Ruimtestaat[[#This Row],[Ruimte code]],Ruimtegroepen[#All],4,FALSE)</f>
        <v>B  (Bureauruimte)</v>
      </c>
      <c r="Q52" s="210"/>
      <c r="R52" s="211">
        <v>40</v>
      </c>
      <c r="S52" s="211" t="s">
        <v>18</v>
      </c>
      <c r="T52" s="211">
        <f>IF(R52&gt;0,IF(RIGHT(Ruimtestaat[[#This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U52" s="211">
        <f>IF(T52&gt;0,VLOOKUP($J52,Ruimtegroepen[],3,FALSE)*VLOOKUP($L52,Vloersoorten[],3,FALSE)*VLOOKUP($S52,Frequenties[],3,FALSE)*VLOOKUP($A52,Locaties[],3,FALSE),0)</f>
        <v>100</v>
      </c>
      <c r="V52" s="211">
        <f>Ruimtestaat[[#This Row],[Uitvoeringen werkdagen]]*Ruimtestaat[[#This Row],[Oppervlak (netto)]]</f>
        <v>8236.7999999999993</v>
      </c>
      <c r="W52" s="257">
        <f>IF(U52&gt;0,Ruimtestaat[[#This Row],[Prest. (m2 /jaar) werkdagen]]/Ruimtestaat[[#This Row],[Norm (m2/uur) werkdagen]],0)</f>
        <v>82.367999999999995</v>
      </c>
      <c r="X52" s="258">
        <f>Ruimtestaat[[#This Row],[uren / jaar werkdagen]]*Tariefsopbouw!$D$38</f>
        <v>2059.1999999999998</v>
      </c>
      <c r="Y52" s="33"/>
      <c r="Z52" s="33">
        <f>IF(Ruimtestaat[[#This Row],[Frequentie weekend]]&gt;0,VALUE(LEFT(Y52,1))*R52,0)</f>
        <v>0</v>
      </c>
      <c r="AA52" s="33">
        <f>IF($Z52&gt;0,VLOOKUP($J52,Ruimtegroepen[],3,FALSE)*VLOOKUP($L52,Vloersoorten[],3,FALSE)*VLOOKUP($Y52,Frequenties[],3,FALSE)*VLOOKUP(#REF!,Locaties[],3,FALSE),0)</f>
        <v>0</v>
      </c>
      <c r="AB52" s="33"/>
      <c r="AC52" s="33"/>
      <c r="AD52" s="33">
        <f>Ruimtestaat[[#This Row],[uren / jaar weekend]]*Tariefsopbouw!$D$40</f>
        <v>0</v>
      </c>
      <c r="AE52" s="88">
        <f>Ruimtestaat[[#This Row],[Prest. (m2 /jaar) weekend]]+Ruimtestaat[[#This Row],[Prest. (m2 /jaar) werkdagen]]</f>
        <v>8236.7999999999993</v>
      </c>
      <c r="AF52" s="88">
        <f>Ruimtestaat[[#This Row],[uren / jaar weekend]]+Ruimtestaat[[#This Row],[uren / jaar werkdagen]]</f>
        <v>82.367999999999995</v>
      </c>
      <c r="AG52" s="89">
        <f>Ruimtestaat[[#This Row],[kosten / jaar weekend]]+Ruimtestaat[[#This Row],[kosten / jaar werkdagen]]</f>
        <v>2059.1999999999998</v>
      </c>
      <c r="AH52" s="114"/>
      <c r="HL52" s="87"/>
    </row>
    <row r="53" spans="1:220" ht="15" customHeight="1">
      <c r="A53" s="129">
        <v>1</v>
      </c>
      <c r="B53" s="21" t="str">
        <f>VLOOKUP(Ruimtestaat[[#This Row],[Code]],Locaties[#All],2,FALSE)</f>
        <v>Groenlo</v>
      </c>
      <c r="C53" s="21" t="str">
        <f>VLOOKUP(Ruimtestaat[[#This Row],[Code]],Locaties[#All],4,FALSE)</f>
        <v>Deken Hooijmanssingel 1</v>
      </c>
      <c r="D53" s="21" t="str">
        <f>VLOOKUP(Ruimtestaat[[#This Row],[Code]],Locaties[#All],5,FALSE)</f>
        <v>7141 EA</v>
      </c>
      <c r="E53" s="195" t="str">
        <f>VLOOKUP(Ruimtestaat[[#This Row],[Code]],Locaties[#All],6,FALSE)</f>
        <v>Groenlo</v>
      </c>
      <c r="F53" s="195" t="s">
        <v>774</v>
      </c>
      <c r="G53" s="195" t="s">
        <v>776</v>
      </c>
      <c r="H53" s="195">
        <v>549</v>
      </c>
      <c r="I53" s="242" t="s">
        <v>382</v>
      </c>
      <c r="J53" s="195">
        <v>6</v>
      </c>
      <c r="K53" s="242" t="str">
        <f>VLOOKUP(Ruimtestaat[[#This Row],[Ruimte code]],Ruimtegroepen[#All],2,FALSE)</f>
        <v>Gangen/hallen</v>
      </c>
      <c r="L53" s="211" t="s">
        <v>110</v>
      </c>
      <c r="M53" s="195" t="s">
        <v>133</v>
      </c>
      <c r="N53" s="197">
        <v>45.02</v>
      </c>
      <c r="O53" s="209"/>
      <c r="P53" s="241" t="str">
        <f>VLOOKUP(Ruimtestaat[[#This Row],[Ruimte code]],Ruimtegroepen[#All],4,FALSE)</f>
        <v>V  (Verkeersruimte)</v>
      </c>
      <c r="Q53" s="210"/>
      <c r="R53" s="211">
        <v>40</v>
      </c>
      <c r="S53" s="211" t="s">
        <v>2</v>
      </c>
      <c r="T53" s="211">
        <f>IF(R53&gt;0,IF(RIGHT(Ruimtestaat[[#This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53" s="211">
        <f>IF(T53&gt;0,VLOOKUP($J53,Ruimtegroepen[],3,FALSE)*VLOOKUP($L53,Vloersoorten[],3,FALSE)*VLOOKUP($S53,Frequenties[],3,FALSE)*VLOOKUP($A53,Locaties[],3,FALSE),0)</f>
        <v>100</v>
      </c>
      <c r="V53" s="211">
        <f>Ruimtestaat[[#This Row],[Uitvoeringen werkdagen]]*Ruimtestaat[[#This Row],[Oppervlak (netto)]]</f>
        <v>9004</v>
      </c>
      <c r="W53" s="257">
        <f>IF(U53&gt;0,Ruimtestaat[[#This Row],[Prest. (m2 /jaar) werkdagen]]/Ruimtestaat[[#This Row],[Norm (m2/uur) werkdagen]],0)</f>
        <v>90.04</v>
      </c>
      <c r="X53" s="258">
        <f>Ruimtestaat[[#This Row],[uren / jaar werkdagen]]*Tariefsopbouw!$D$38</f>
        <v>2251</v>
      </c>
      <c r="Y53" s="33"/>
      <c r="Z53" s="33">
        <f>IF(Ruimtestaat[[#This Row],[Frequentie weekend]]&gt;0,VALUE(LEFT(Y53,1))*R53,0)</f>
        <v>0</v>
      </c>
      <c r="AA53" s="33">
        <f>IF($Z53&gt;0,VLOOKUP($J53,Ruimtegroepen[],3,FALSE)*VLOOKUP($L53,Vloersoorten[],3,FALSE)*VLOOKUP($Y53,Frequenties[],3,FALSE)*VLOOKUP(#REF!,Locaties[],3,FALSE),0)</f>
        <v>0</v>
      </c>
      <c r="AB53" s="33"/>
      <c r="AC53" s="33"/>
      <c r="AD53" s="33">
        <f>Ruimtestaat[[#This Row],[uren / jaar weekend]]*Tariefsopbouw!$D$40</f>
        <v>0</v>
      </c>
      <c r="AE53" s="88">
        <f>Ruimtestaat[[#This Row],[Prest. (m2 /jaar) weekend]]+Ruimtestaat[[#This Row],[Prest. (m2 /jaar) werkdagen]]</f>
        <v>9004</v>
      </c>
      <c r="AF53" s="88">
        <f>Ruimtestaat[[#This Row],[uren / jaar weekend]]+Ruimtestaat[[#This Row],[uren / jaar werkdagen]]</f>
        <v>90.04</v>
      </c>
      <c r="AG53" s="89">
        <f>Ruimtestaat[[#This Row],[kosten / jaar weekend]]+Ruimtestaat[[#This Row],[kosten / jaar werkdagen]]</f>
        <v>2251</v>
      </c>
      <c r="AH53" s="114"/>
      <c r="HL53" s="87"/>
    </row>
    <row r="54" spans="1:220" ht="15" customHeight="1">
      <c r="A54" s="129">
        <v>1</v>
      </c>
      <c r="B54" s="21" t="str">
        <f>VLOOKUP(Ruimtestaat[[#This Row],[Code]],Locaties[#All],2,FALSE)</f>
        <v>Groenlo</v>
      </c>
      <c r="C54" s="21" t="str">
        <f>VLOOKUP(Ruimtestaat[[#This Row],[Code]],Locaties[#All],4,FALSE)</f>
        <v>Deken Hooijmanssingel 1</v>
      </c>
      <c r="D54" s="21" t="str">
        <f>VLOOKUP(Ruimtestaat[[#This Row],[Code]],Locaties[#All],5,FALSE)</f>
        <v>7141 EA</v>
      </c>
      <c r="E54" s="195" t="str">
        <f>VLOOKUP(Ruimtestaat[[#This Row],[Code]],Locaties[#All],6,FALSE)</f>
        <v>Groenlo</v>
      </c>
      <c r="F54" s="195" t="s">
        <v>774</v>
      </c>
      <c r="G54" s="195" t="s">
        <v>776</v>
      </c>
      <c r="H54" s="195">
        <v>550</v>
      </c>
      <c r="I54" s="242" t="s">
        <v>820</v>
      </c>
      <c r="J54" s="195">
        <v>2</v>
      </c>
      <c r="K54" s="242" t="str">
        <f>VLOOKUP(Ruimtestaat[[#This Row],[Ruimte code]],Ruimtegroepen[#All],2,FALSE)</f>
        <v>Kantoren</v>
      </c>
      <c r="L54" s="211" t="s">
        <v>109</v>
      </c>
      <c r="M54" s="195" t="s">
        <v>38</v>
      </c>
      <c r="N54" s="197">
        <v>15.04</v>
      </c>
      <c r="O54" s="209"/>
      <c r="P54" s="241" t="str">
        <f>VLOOKUP(Ruimtestaat[[#This Row],[Ruimte code]],Ruimtegroepen[#All],4,FALSE)</f>
        <v>B  (Bureauruimte)</v>
      </c>
      <c r="Q54" s="210"/>
      <c r="R54" s="211">
        <v>40</v>
      </c>
      <c r="S54" s="211" t="s">
        <v>18</v>
      </c>
      <c r="T54" s="211">
        <f>IF(R54&gt;0,IF(RIGHT(Ruimtestaat[[#This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U54" s="211">
        <f>IF(T54&gt;0,VLOOKUP($J54,Ruimtegroepen[],3,FALSE)*VLOOKUP($L54,Vloersoorten[],3,FALSE)*VLOOKUP($S54,Frequenties[],3,FALSE)*VLOOKUP($A54,Locaties[],3,FALSE),0)</f>
        <v>100</v>
      </c>
      <c r="V54" s="211">
        <f>Ruimtestaat[[#This Row],[Uitvoeringen werkdagen]]*Ruimtestaat[[#This Row],[Oppervlak (netto)]]</f>
        <v>1804.8</v>
      </c>
      <c r="W54" s="257">
        <f>IF(U54&gt;0,Ruimtestaat[[#This Row],[Prest. (m2 /jaar) werkdagen]]/Ruimtestaat[[#This Row],[Norm (m2/uur) werkdagen]],0)</f>
        <v>18.047999999999998</v>
      </c>
      <c r="X54" s="258">
        <f>Ruimtestaat[[#This Row],[uren / jaar werkdagen]]*Tariefsopbouw!$D$38</f>
        <v>451.19999999999993</v>
      </c>
      <c r="Y54" s="33"/>
      <c r="Z54" s="33">
        <f>IF(Ruimtestaat[[#This Row],[Frequentie weekend]]&gt;0,VALUE(LEFT(Y54,1))*R54,0)</f>
        <v>0</v>
      </c>
      <c r="AA54" s="33">
        <f>IF($Z54&gt;0,VLOOKUP($J54,Ruimtegroepen[],3,FALSE)*VLOOKUP($L54,Vloersoorten[],3,FALSE)*VLOOKUP($Y54,Frequenties[],3,FALSE)*VLOOKUP(#REF!,Locaties[],3,FALSE),0)</f>
        <v>0</v>
      </c>
      <c r="AB54" s="33"/>
      <c r="AC54" s="33"/>
      <c r="AD54" s="33">
        <f>Ruimtestaat[[#This Row],[uren / jaar weekend]]*Tariefsopbouw!$D$40</f>
        <v>0</v>
      </c>
      <c r="AE54" s="88">
        <f>Ruimtestaat[[#This Row],[Prest. (m2 /jaar) weekend]]+Ruimtestaat[[#This Row],[Prest. (m2 /jaar) werkdagen]]</f>
        <v>1804.8</v>
      </c>
      <c r="AF54" s="88">
        <f>Ruimtestaat[[#This Row],[uren / jaar weekend]]+Ruimtestaat[[#This Row],[uren / jaar werkdagen]]</f>
        <v>18.047999999999998</v>
      </c>
      <c r="AG54" s="89">
        <f>Ruimtestaat[[#This Row],[kosten / jaar weekend]]+Ruimtestaat[[#This Row],[kosten / jaar werkdagen]]</f>
        <v>451.19999999999993</v>
      </c>
      <c r="AH54" s="114"/>
      <c r="HL54" s="87"/>
    </row>
    <row r="55" spans="1:220" ht="15" customHeight="1">
      <c r="A55" s="129">
        <v>1</v>
      </c>
      <c r="B55" s="21" t="str">
        <f>VLOOKUP(Ruimtestaat[[#This Row],[Code]],Locaties[#All],2,FALSE)</f>
        <v>Groenlo</v>
      </c>
      <c r="C55" s="21" t="str">
        <f>VLOOKUP(Ruimtestaat[[#This Row],[Code]],Locaties[#All],4,FALSE)</f>
        <v>Deken Hooijmanssingel 1</v>
      </c>
      <c r="D55" s="21" t="str">
        <f>VLOOKUP(Ruimtestaat[[#This Row],[Code]],Locaties[#All],5,FALSE)</f>
        <v>7141 EA</v>
      </c>
      <c r="E55" s="195" t="str">
        <f>VLOOKUP(Ruimtestaat[[#This Row],[Code]],Locaties[#All],6,FALSE)</f>
        <v>Groenlo</v>
      </c>
      <c r="F55" s="195" t="s">
        <v>774</v>
      </c>
      <c r="G55" s="195" t="s">
        <v>776</v>
      </c>
      <c r="H55" s="195">
        <v>551</v>
      </c>
      <c r="I55" s="242" t="s">
        <v>820</v>
      </c>
      <c r="J55" s="195">
        <v>2</v>
      </c>
      <c r="K55" s="242" t="str">
        <f>VLOOKUP(Ruimtestaat[[#This Row],[Ruimte code]],Ruimtegroepen[#All],2,FALSE)</f>
        <v>Kantoren</v>
      </c>
      <c r="L55" s="211" t="s">
        <v>109</v>
      </c>
      <c r="M55" s="195" t="s">
        <v>38</v>
      </c>
      <c r="N55" s="197">
        <v>15.04</v>
      </c>
      <c r="O55" s="209"/>
      <c r="P55" s="241" t="str">
        <f>VLOOKUP(Ruimtestaat[[#This Row],[Ruimte code]],Ruimtegroepen[#All],4,FALSE)</f>
        <v>B  (Bureauruimte)</v>
      </c>
      <c r="Q55" s="210"/>
      <c r="R55" s="211">
        <v>40</v>
      </c>
      <c r="S55" s="211" t="s">
        <v>18</v>
      </c>
      <c r="T55" s="211">
        <f>IF(R55&gt;0,IF(RIGHT(Ruimtestaat[[#This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U55" s="211">
        <f>IF(T55&gt;0,VLOOKUP($J55,Ruimtegroepen[],3,FALSE)*VLOOKUP($L55,Vloersoorten[],3,FALSE)*VLOOKUP($S55,Frequenties[],3,FALSE)*VLOOKUP($A55,Locaties[],3,FALSE),0)</f>
        <v>100</v>
      </c>
      <c r="V55" s="211">
        <f>Ruimtestaat[[#This Row],[Uitvoeringen werkdagen]]*Ruimtestaat[[#This Row],[Oppervlak (netto)]]</f>
        <v>1804.8</v>
      </c>
      <c r="W55" s="257">
        <f>IF(U55&gt;0,Ruimtestaat[[#This Row],[Prest. (m2 /jaar) werkdagen]]/Ruimtestaat[[#This Row],[Norm (m2/uur) werkdagen]],0)</f>
        <v>18.047999999999998</v>
      </c>
      <c r="X55" s="258">
        <f>Ruimtestaat[[#This Row],[uren / jaar werkdagen]]*Tariefsopbouw!$D$38</f>
        <v>451.19999999999993</v>
      </c>
      <c r="Y55" s="33"/>
      <c r="Z55" s="33">
        <f>IF(Ruimtestaat[[#This Row],[Frequentie weekend]]&gt;0,VALUE(LEFT(Y55,1))*R55,0)</f>
        <v>0</v>
      </c>
      <c r="AA55" s="33">
        <f>IF($Z55&gt;0,VLOOKUP($J55,Ruimtegroepen[],3,FALSE)*VLOOKUP($L55,Vloersoorten[],3,FALSE)*VLOOKUP($Y55,Frequenties[],3,FALSE)*VLOOKUP(#REF!,Locaties[],3,FALSE),0)</f>
        <v>0</v>
      </c>
      <c r="AB55" s="33"/>
      <c r="AC55" s="33"/>
      <c r="AD55" s="33">
        <f>Ruimtestaat[[#This Row],[uren / jaar weekend]]*Tariefsopbouw!$D$40</f>
        <v>0</v>
      </c>
      <c r="AE55" s="88">
        <f>Ruimtestaat[[#This Row],[Prest. (m2 /jaar) weekend]]+Ruimtestaat[[#This Row],[Prest. (m2 /jaar) werkdagen]]</f>
        <v>1804.8</v>
      </c>
      <c r="AF55" s="88">
        <f>Ruimtestaat[[#This Row],[uren / jaar weekend]]+Ruimtestaat[[#This Row],[uren / jaar werkdagen]]</f>
        <v>18.047999999999998</v>
      </c>
      <c r="AG55" s="89">
        <f>Ruimtestaat[[#This Row],[kosten / jaar weekend]]+Ruimtestaat[[#This Row],[kosten / jaar werkdagen]]</f>
        <v>451.19999999999993</v>
      </c>
      <c r="AH55" s="114"/>
      <c r="HL55" s="87"/>
    </row>
    <row r="56" spans="1:220" ht="15" customHeight="1">
      <c r="A56" s="129">
        <v>1</v>
      </c>
      <c r="B56" s="21" t="str">
        <f>VLOOKUP(Ruimtestaat[[#This Row],[Code]],Locaties[#All],2,FALSE)</f>
        <v>Groenlo</v>
      </c>
      <c r="C56" s="21" t="str">
        <f>VLOOKUP(Ruimtestaat[[#This Row],[Code]],Locaties[#All],4,FALSE)</f>
        <v>Deken Hooijmanssingel 1</v>
      </c>
      <c r="D56" s="21" t="str">
        <f>VLOOKUP(Ruimtestaat[[#This Row],[Code]],Locaties[#All],5,FALSE)</f>
        <v>7141 EA</v>
      </c>
      <c r="E56" s="195" t="str">
        <f>VLOOKUP(Ruimtestaat[[#This Row],[Code]],Locaties[#All],6,FALSE)</f>
        <v>Groenlo</v>
      </c>
      <c r="F56" s="195" t="s">
        <v>774</v>
      </c>
      <c r="G56" s="195" t="s">
        <v>776</v>
      </c>
      <c r="H56" s="195">
        <v>552</v>
      </c>
      <c r="I56" s="242" t="s">
        <v>449</v>
      </c>
      <c r="J56" s="195">
        <v>2</v>
      </c>
      <c r="K56" s="242" t="str">
        <f>VLOOKUP(Ruimtestaat[[#This Row],[Ruimte code]],Ruimtegroepen[#All],2,FALSE)</f>
        <v>Kantoren</v>
      </c>
      <c r="L56" s="211" t="s">
        <v>109</v>
      </c>
      <c r="M56" s="195" t="s">
        <v>38</v>
      </c>
      <c r="N56" s="197">
        <v>18.78</v>
      </c>
      <c r="O56" s="209"/>
      <c r="P56" s="241" t="str">
        <f>VLOOKUP(Ruimtestaat[[#This Row],[Ruimte code]],Ruimtegroepen[#All],4,FALSE)</f>
        <v>B  (Bureauruimte)</v>
      </c>
      <c r="Q56" s="210"/>
      <c r="R56" s="211">
        <v>40</v>
      </c>
      <c r="S56" s="211" t="s">
        <v>2</v>
      </c>
      <c r="T56" s="211">
        <f>IF(R56&gt;0,IF(RIGHT(Ruimtestaat[[#This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56" s="211">
        <f>IF(T56&gt;0,VLOOKUP($J56,Ruimtegroepen[],3,FALSE)*VLOOKUP($L56,Vloersoorten[],3,FALSE)*VLOOKUP($S56,Frequenties[],3,FALSE)*VLOOKUP($A56,Locaties[],3,FALSE),0)</f>
        <v>100</v>
      </c>
      <c r="V56" s="211">
        <f>Ruimtestaat[[#This Row],[Uitvoeringen werkdagen]]*Ruimtestaat[[#This Row],[Oppervlak (netto)]]</f>
        <v>3756</v>
      </c>
      <c r="W56" s="257">
        <f>IF(U56&gt;0,Ruimtestaat[[#This Row],[Prest. (m2 /jaar) werkdagen]]/Ruimtestaat[[#This Row],[Norm (m2/uur) werkdagen]],0)</f>
        <v>37.56</v>
      </c>
      <c r="X56" s="258">
        <f>Ruimtestaat[[#This Row],[uren / jaar werkdagen]]*Tariefsopbouw!$D$38</f>
        <v>939</v>
      </c>
      <c r="Y56" s="33"/>
      <c r="Z56" s="33">
        <f>IF(Ruimtestaat[[#This Row],[Frequentie weekend]]&gt;0,VALUE(LEFT(Y56,1))*R56,0)</f>
        <v>0</v>
      </c>
      <c r="AA56" s="33">
        <f>IF($Z56&gt;0,VLOOKUP($J56,Ruimtegroepen[],3,FALSE)*VLOOKUP($L56,Vloersoorten[],3,FALSE)*VLOOKUP($Y56,Frequenties[],3,FALSE)*VLOOKUP(#REF!,Locaties[],3,FALSE),0)</f>
        <v>0</v>
      </c>
      <c r="AB56" s="33"/>
      <c r="AC56" s="33"/>
      <c r="AD56" s="33">
        <f>Ruimtestaat[[#This Row],[uren / jaar weekend]]*Tariefsopbouw!$D$40</f>
        <v>0</v>
      </c>
      <c r="AE56" s="88">
        <f>Ruimtestaat[[#This Row],[Prest. (m2 /jaar) weekend]]+Ruimtestaat[[#This Row],[Prest. (m2 /jaar) werkdagen]]</f>
        <v>3756</v>
      </c>
      <c r="AF56" s="88">
        <f>Ruimtestaat[[#This Row],[uren / jaar weekend]]+Ruimtestaat[[#This Row],[uren / jaar werkdagen]]</f>
        <v>37.56</v>
      </c>
      <c r="AG56" s="89">
        <f>Ruimtestaat[[#This Row],[kosten / jaar weekend]]+Ruimtestaat[[#This Row],[kosten / jaar werkdagen]]</f>
        <v>939</v>
      </c>
      <c r="AH56" s="114"/>
      <c r="HL56" s="87"/>
    </row>
    <row r="57" spans="1:220" ht="15" customHeight="1">
      <c r="A57" s="129">
        <v>1</v>
      </c>
      <c r="B57" s="21" t="str">
        <f>VLOOKUP(Ruimtestaat[[#This Row],[Code]],Locaties[#All],2,FALSE)</f>
        <v>Groenlo</v>
      </c>
      <c r="C57" s="21" t="str">
        <f>VLOOKUP(Ruimtestaat[[#This Row],[Code]],Locaties[#All],4,FALSE)</f>
        <v>Deken Hooijmanssingel 1</v>
      </c>
      <c r="D57" s="21" t="str">
        <f>VLOOKUP(Ruimtestaat[[#This Row],[Code]],Locaties[#All],5,FALSE)</f>
        <v>7141 EA</v>
      </c>
      <c r="E57" s="195" t="str">
        <f>VLOOKUP(Ruimtestaat[[#This Row],[Code]],Locaties[#All],6,FALSE)</f>
        <v>Groenlo</v>
      </c>
      <c r="F57" s="195" t="s">
        <v>774</v>
      </c>
      <c r="G57" s="195" t="s">
        <v>776</v>
      </c>
      <c r="H57" s="195">
        <v>553</v>
      </c>
      <c r="I57" s="242" t="s">
        <v>449</v>
      </c>
      <c r="J57" s="195">
        <v>2</v>
      </c>
      <c r="K57" s="242" t="str">
        <f>VLOOKUP(Ruimtestaat[[#This Row],[Ruimte code]],Ruimtegroepen[#All],2,FALSE)</f>
        <v>Kantoren</v>
      </c>
      <c r="L57" s="211" t="s">
        <v>109</v>
      </c>
      <c r="M57" s="195" t="s">
        <v>38</v>
      </c>
      <c r="N57" s="197">
        <v>19.059999999999999</v>
      </c>
      <c r="O57" s="209"/>
      <c r="P57" s="241" t="str">
        <f>VLOOKUP(Ruimtestaat[[#This Row],[Ruimte code]],Ruimtegroepen[#All],4,FALSE)</f>
        <v>B  (Bureauruimte)</v>
      </c>
      <c r="Q57" s="210"/>
      <c r="R57" s="211">
        <v>40</v>
      </c>
      <c r="S57" s="211" t="s">
        <v>2</v>
      </c>
      <c r="T57" s="211">
        <f>IF(R57&gt;0,IF(RIGHT(Ruimtestaat[[#This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57" s="211">
        <f>IF(T57&gt;0,VLOOKUP($J57,Ruimtegroepen[],3,FALSE)*VLOOKUP($L57,Vloersoorten[],3,FALSE)*VLOOKUP($S57,Frequenties[],3,FALSE)*VLOOKUP($A57,Locaties[],3,FALSE),0)</f>
        <v>100</v>
      </c>
      <c r="V57" s="211">
        <f>Ruimtestaat[[#This Row],[Uitvoeringen werkdagen]]*Ruimtestaat[[#This Row],[Oppervlak (netto)]]</f>
        <v>3811.9999999999995</v>
      </c>
      <c r="W57" s="257">
        <f>IF(U57&gt;0,Ruimtestaat[[#This Row],[Prest. (m2 /jaar) werkdagen]]/Ruimtestaat[[#This Row],[Norm (m2/uur) werkdagen]],0)</f>
        <v>38.119999999999997</v>
      </c>
      <c r="X57" s="258">
        <f>Ruimtestaat[[#This Row],[uren / jaar werkdagen]]*Tariefsopbouw!$D$38</f>
        <v>952.99999999999989</v>
      </c>
      <c r="Y57" s="33"/>
      <c r="Z57" s="33">
        <f>IF(Ruimtestaat[[#This Row],[Frequentie weekend]]&gt;0,VALUE(LEFT(Y57,1))*R57,0)</f>
        <v>0</v>
      </c>
      <c r="AA57" s="33">
        <f>IF($Z57&gt;0,VLOOKUP($J57,Ruimtegroepen[],3,FALSE)*VLOOKUP($L57,Vloersoorten[],3,FALSE)*VLOOKUP($Y57,Frequenties[],3,FALSE)*VLOOKUP(#REF!,Locaties[],3,FALSE),0)</f>
        <v>0</v>
      </c>
      <c r="AB57" s="33"/>
      <c r="AC57" s="33"/>
      <c r="AD57" s="33">
        <f>Ruimtestaat[[#This Row],[uren / jaar weekend]]*Tariefsopbouw!$D$40</f>
        <v>0</v>
      </c>
      <c r="AE57" s="88">
        <f>Ruimtestaat[[#This Row],[Prest. (m2 /jaar) weekend]]+Ruimtestaat[[#This Row],[Prest. (m2 /jaar) werkdagen]]</f>
        <v>3811.9999999999995</v>
      </c>
      <c r="AF57" s="88">
        <f>Ruimtestaat[[#This Row],[uren / jaar weekend]]+Ruimtestaat[[#This Row],[uren / jaar werkdagen]]</f>
        <v>38.119999999999997</v>
      </c>
      <c r="AG57" s="89">
        <f>Ruimtestaat[[#This Row],[kosten / jaar weekend]]+Ruimtestaat[[#This Row],[kosten / jaar werkdagen]]</f>
        <v>952.99999999999989</v>
      </c>
      <c r="AH57" s="114"/>
      <c r="HL57" s="87"/>
    </row>
    <row r="58" spans="1:220" ht="15" customHeight="1">
      <c r="A58" s="129">
        <v>1</v>
      </c>
      <c r="B58" s="21" t="str">
        <f>VLOOKUP(Ruimtestaat[[#This Row],[Code]],Locaties[#All],2,FALSE)</f>
        <v>Groenlo</v>
      </c>
      <c r="C58" s="21" t="str">
        <f>VLOOKUP(Ruimtestaat[[#This Row],[Code]],Locaties[#All],4,FALSE)</f>
        <v>Deken Hooijmanssingel 1</v>
      </c>
      <c r="D58" s="21" t="str">
        <f>VLOOKUP(Ruimtestaat[[#This Row],[Code]],Locaties[#All],5,FALSE)</f>
        <v>7141 EA</v>
      </c>
      <c r="E58" s="195" t="str">
        <f>VLOOKUP(Ruimtestaat[[#This Row],[Code]],Locaties[#All],6,FALSE)</f>
        <v>Groenlo</v>
      </c>
      <c r="F58" s="195" t="s">
        <v>774</v>
      </c>
      <c r="G58" s="195" t="s">
        <v>776</v>
      </c>
      <c r="H58" s="195">
        <v>555</v>
      </c>
      <c r="I58" s="242" t="s">
        <v>449</v>
      </c>
      <c r="J58" s="195">
        <v>2</v>
      </c>
      <c r="K58" s="242" t="str">
        <f>VLOOKUP(Ruimtestaat[[#This Row],[Ruimte code]],Ruimtegroepen[#All],2,FALSE)</f>
        <v>Kantoren</v>
      </c>
      <c r="L58" s="211" t="s">
        <v>109</v>
      </c>
      <c r="M58" s="195" t="s">
        <v>38</v>
      </c>
      <c r="N58" s="209">
        <v>19.11</v>
      </c>
      <c r="O58" s="209"/>
      <c r="P58" s="241" t="str">
        <f>VLOOKUP(Ruimtestaat[[#This Row],[Ruimte code]],Ruimtegroepen[#All],4,FALSE)</f>
        <v>B  (Bureauruimte)</v>
      </c>
      <c r="Q58" s="210"/>
      <c r="R58" s="211">
        <v>40</v>
      </c>
      <c r="S58" s="211" t="s">
        <v>2</v>
      </c>
      <c r="T58" s="211">
        <f>IF(R58&gt;0,IF(RIGHT(Ruimtestaat[[#This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58" s="211">
        <f>IF(T58&gt;0,VLOOKUP($J58,Ruimtegroepen[],3,FALSE)*VLOOKUP($L58,Vloersoorten[],3,FALSE)*VLOOKUP($S58,Frequenties[],3,FALSE)*VLOOKUP($A58,Locaties[],3,FALSE),0)</f>
        <v>100</v>
      </c>
      <c r="V58" s="211">
        <f>Ruimtestaat[[#This Row],[Uitvoeringen werkdagen]]*Ruimtestaat[[#This Row],[Oppervlak (netto)]]</f>
        <v>3822</v>
      </c>
      <c r="W58" s="257">
        <f>IF(U58&gt;0,Ruimtestaat[[#This Row],[Prest. (m2 /jaar) werkdagen]]/Ruimtestaat[[#This Row],[Norm (m2/uur) werkdagen]],0)</f>
        <v>38.22</v>
      </c>
      <c r="X58" s="258">
        <f>Ruimtestaat[[#This Row],[uren / jaar werkdagen]]*Tariefsopbouw!$D$38</f>
        <v>955.5</v>
      </c>
      <c r="Y58" s="33"/>
      <c r="Z58" s="33">
        <f>IF(Ruimtestaat[[#This Row],[Frequentie weekend]]&gt;0,VALUE(LEFT(Y58,1))*R58,0)</f>
        <v>0</v>
      </c>
      <c r="AA58" s="33">
        <f>IF($Z58&gt;0,VLOOKUP($J58,Ruimtegroepen[],3,FALSE)*VLOOKUP($L58,Vloersoorten[],3,FALSE)*VLOOKUP($Y58,Frequenties[],3,FALSE)*VLOOKUP(#REF!,Locaties[],3,FALSE),0)</f>
        <v>0</v>
      </c>
      <c r="AB58" s="33"/>
      <c r="AC58" s="33"/>
      <c r="AD58" s="33">
        <f>Ruimtestaat[[#This Row],[uren / jaar weekend]]*Tariefsopbouw!$D$40</f>
        <v>0</v>
      </c>
      <c r="AE58" s="88">
        <f>Ruimtestaat[[#This Row],[Prest. (m2 /jaar) weekend]]+Ruimtestaat[[#This Row],[Prest. (m2 /jaar) werkdagen]]</f>
        <v>3822</v>
      </c>
      <c r="AF58" s="88">
        <f>Ruimtestaat[[#This Row],[uren / jaar weekend]]+Ruimtestaat[[#This Row],[uren / jaar werkdagen]]</f>
        <v>38.22</v>
      </c>
      <c r="AG58" s="89">
        <f>Ruimtestaat[[#This Row],[kosten / jaar weekend]]+Ruimtestaat[[#This Row],[kosten / jaar werkdagen]]</f>
        <v>955.5</v>
      </c>
      <c r="AH58" s="114"/>
      <c r="HL58" s="87"/>
    </row>
    <row r="59" spans="1:220" ht="15" customHeight="1">
      <c r="A59" s="129">
        <v>1</v>
      </c>
      <c r="B59" s="21" t="str">
        <f>VLOOKUP(Ruimtestaat[[#This Row],[Code]],Locaties[#All],2,FALSE)</f>
        <v>Groenlo</v>
      </c>
      <c r="C59" s="21" t="str">
        <f>VLOOKUP(Ruimtestaat[[#This Row],[Code]],Locaties[#All],4,FALSE)</f>
        <v>Deken Hooijmanssingel 1</v>
      </c>
      <c r="D59" s="21" t="str">
        <f>VLOOKUP(Ruimtestaat[[#This Row],[Code]],Locaties[#All],5,FALSE)</f>
        <v>7141 EA</v>
      </c>
      <c r="E59" s="195" t="str">
        <f>VLOOKUP(Ruimtestaat[[#This Row],[Code]],Locaties[#All],6,FALSE)</f>
        <v>Groenlo</v>
      </c>
      <c r="F59" s="195" t="s">
        <v>774</v>
      </c>
      <c r="G59" s="195" t="s">
        <v>776</v>
      </c>
      <c r="H59" s="195">
        <v>556</v>
      </c>
      <c r="I59" s="242" t="s">
        <v>449</v>
      </c>
      <c r="J59" s="195">
        <v>2</v>
      </c>
      <c r="K59" s="242" t="str">
        <f>VLOOKUP(Ruimtestaat[[#This Row],[Ruimte code]],Ruimtegroepen[#All],2,FALSE)</f>
        <v>Kantoren</v>
      </c>
      <c r="L59" s="211" t="s">
        <v>109</v>
      </c>
      <c r="M59" s="195" t="s">
        <v>38</v>
      </c>
      <c r="N59" s="197">
        <v>38.97</v>
      </c>
      <c r="O59" s="209"/>
      <c r="P59" s="241" t="str">
        <f>VLOOKUP(Ruimtestaat[[#This Row],[Ruimte code]],Ruimtegroepen[#All],4,FALSE)</f>
        <v>B  (Bureauruimte)</v>
      </c>
      <c r="Q59" s="210"/>
      <c r="R59" s="211">
        <v>40</v>
      </c>
      <c r="S59" s="211" t="s">
        <v>2</v>
      </c>
      <c r="T59" s="211">
        <f>IF(R59&gt;0,IF(RIGHT(Ruimtestaat[[#This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59" s="211">
        <f>IF(T59&gt;0,VLOOKUP($J59,Ruimtegroepen[],3,FALSE)*VLOOKUP($L59,Vloersoorten[],3,FALSE)*VLOOKUP($S59,Frequenties[],3,FALSE)*VLOOKUP($A59,Locaties[],3,FALSE),0)</f>
        <v>100</v>
      </c>
      <c r="V59" s="211">
        <f>Ruimtestaat[[#This Row],[Uitvoeringen werkdagen]]*Ruimtestaat[[#This Row],[Oppervlak (netto)]]</f>
        <v>7794</v>
      </c>
      <c r="W59" s="257">
        <f>IF(U59&gt;0,Ruimtestaat[[#This Row],[Prest. (m2 /jaar) werkdagen]]/Ruimtestaat[[#This Row],[Norm (m2/uur) werkdagen]],0)</f>
        <v>77.94</v>
      </c>
      <c r="X59" s="258">
        <f>Ruimtestaat[[#This Row],[uren / jaar werkdagen]]*Tariefsopbouw!$D$38</f>
        <v>1948.5</v>
      </c>
      <c r="Y59" s="33"/>
      <c r="Z59" s="33">
        <f>IF(Ruimtestaat[[#This Row],[Frequentie weekend]]&gt;0,VALUE(LEFT(Y59,1))*R59,0)</f>
        <v>0</v>
      </c>
      <c r="AA59" s="33">
        <f>IF($Z59&gt;0,VLOOKUP($J59,Ruimtegroepen[],3,FALSE)*VLOOKUP($L59,Vloersoorten[],3,FALSE)*VLOOKUP($Y59,Frequenties[],3,FALSE)*VLOOKUP(#REF!,Locaties[],3,FALSE),0)</f>
        <v>0</v>
      </c>
      <c r="AB59" s="33"/>
      <c r="AC59" s="33"/>
      <c r="AD59" s="33">
        <f>Ruimtestaat[[#This Row],[uren / jaar weekend]]*Tariefsopbouw!$D$40</f>
        <v>0</v>
      </c>
      <c r="AE59" s="88">
        <f>Ruimtestaat[[#This Row],[Prest. (m2 /jaar) weekend]]+Ruimtestaat[[#This Row],[Prest. (m2 /jaar) werkdagen]]</f>
        <v>7794</v>
      </c>
      <c r="AF59" s="88">
        <f>Ruimtestaat[[#This Row],[uren / jaar weekend]]+Ruimtestaat[[#This Row],[uren / jaar werkdagen]]</f>
        <v>77.94</v>
      </c>
      <c r="AG59" s="89">
        <f>Ruimtestaat[[#This Row],[kosten / jaar weekend]]+Ruimtestaat[[#This Row],[kosten / jaar werkdagen]]</f>
        <v>1948.5</v>
      </c>
      <c r="AH59" s="114"/>
      <c r="HL59" s="87"/>
    </row>
    <row r="60" spans="1:220" ht="15" customHeight="1">
      <c r="A60" s="129">
        <v>1</v>
      </c>
      <c r="B60" s="21" t="str">
        <f>VLOOKUP(Ruimtestaat[[#This Row],[Code]],Locaties[#All],2,FALSE)</f>
        <v>Groenlo</v>
      </c>
      <c r="C60" s="21" t="str">
        <f>VLOOKUP(Ruimtestaat[[#This Row],[Code]],Locaties[#All],4,FALSE)</f>
        <v>Deken Hooijmanssingel 1</v>
      </c>
      <c r="D60" s="21" t="str">
        <f>VLOOKUP(Ruimtestaat[[#This Row],[Code]],Locaties[#All],5,FALSE)</f>
        <v>7141 EA</v>
      </c>
      <c r="E60" s="195" t="str">
        <f>VLOOKUP(Ruimtestaat[[#This Row],[Code]],Locaties[#All],6,FALSE)</f>
        <v>Groenlo</v>
      </c>
      <c r="F60" s="195" t="s">
        <v>774</v>
      </c>
      <c r="G60" s="195" t="s">
        <v>776</v>
      </c>
      <c r="H60" s="195">
        <v>558</v>
      </c>
      <c r="I60" s="242" t="s">
        <v>382</v>
      </c>
      <c r="J60" s="195">
        <v>6</v>
      </c>
      <c r="K60" s="242" t="str">
        <f>VLOOKUP(Ruimtestaat[[#This Row],[Ruimte code]],Ruimtegroepen[#All],2,FALSE)</f>
        <v>Gangen/hallen</v>
      </c>
      <c r="L60" s="211" t="s">
        <v>109</v>
      </c>
      <c r="M60" s="195" t="s">
        <v>778</v>
      </c>
      <c r="N60" s="197">
        <v>37.86</v>
      </c>
      <c r="O60" s="209"/>
      <c r="P60" s="241" t="str">
        <f>VLOOKUP(Ruimtestaat[[#This Row],[Ruimte code]],Ruimtegroepen[#All],4,FALSE)</f>
        <v>V  (Verkeersruimte)</v>
      </c>
      <c r="Q60" s="210"/>
      <c r="R60" s="211">
        <v>40</v>
      </c>
      <c r="S60" s="211" t="s">
        <v>2</v>
      </c>
      <c r="T60" s="211">
        <f>IF(R60&gt;0,IF(RIGHT(Ruimtestaat[[#This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60" s="211">
        <f>IF(T60&gt;0,VLOOKUP($J60,Ruimtegroepen[],3,FALSE)*VLOOKUP($L60,Vloersoorten[],3,FALSE)*VLOOKUP($S60,Frequenties[],3,FALSE)*VLOOKUP($A60,Locaties[],3,FALSE),0)</f>
        <v>100</v>
      </c>
      <c r="V60" s="211">
        <f>Ruimtestaat[[#This Row],[Uitvoeringen werkdagen]]*Ruimtestaat[[#This Row],[Oppervlak (netto)]]</f>
        <v>7572</v>
      </c>
      <c r="W60" s="257">
        <f>IF(U60&gt;0,Ruimtestaat[[#This Row],[Prest. (m2 /jaar) werkdagen]]/Ruimtestaat[[#This Row],[Norm (m2/uur) werkdagen]],0)</f>
        <v>75.72</v>
      </c>
      <c r="X60" s="258">
        <f>Ruimtestaat[[#This Row],[uren / jaar werkdagen]]*Tariefsopbouw!$D$38</f>
        <v>1893</v>
      </c>
      <c r="Y60" s="33"/>
      <c r="Z60" s="33">
        <f>IF(Ruimtestaat[[#This Row],[Frequentie weekend]]&gt;0,VALUE(LEFT(Y60,1))*R60,0)</f>
        <v>0</v>
      </c>
      <c r="AA60" s="33">
        <f>IF($Z60&gt;0,VLOOKUP($J60,Ruimtegroepen[],3,FALSE)*VLOOKUP($L60,Vloersoorten[],3,FALSE)*VLOOKUP($Y60,Frequenties[],3,FALSE)*VLOOKUP(#REF!,Locaties[],3,FALSE),0)</f>
        <v>0</v>
      </c>
      <c r="AB60" s="33"/>
      <c r="AC60" s="33"/>
      <c r="AD60" s="33">
        <f>Ruimtestaat[[#This Row],[uren / jaar weekend]]*Tariefsopbouw!$D$40</f>
        <v>0</v>
      </c>
      <c r="AE60" s="88">
        <f>Ruimtestaat[[#This Row],[Prest. (m2 /jaar) weekend]]+Ruimtestaat[[#This Row],[Prest. (m2 /jaar) werkdagen]]</f>
        <v>7572</v>
      </c>
      <c r="AF60" s="88">
        <f>Ruimtestaat[[#This Row],[uren / jaar weekend]]+Ruimtestaat[[#This Row],[uren / jaar werkdagen]]</f>
        <v>75.72</v>
      </c>
      <c r="AG60" s="89">
        <f>Ruimtestaat[[#This Row],[kosten / jaar weekend]]+Ruimtestaat[[#This Row],[kosten / jaar werkdagen]]</f>
        <v>1893</v>
      </c>
      <c r="AH60" s="114"/>
      <c r="HL60" s="87"/>
    </row>
    <row r="61" spans="1:220" ht="15" customHeight="1">
      <c r="A61" s="129">
        <v>1</v>
      </c>
      <c r="B61" s="21" t="str">
        <f>VLOOKUP(Ruimtestaat[[#This Row],[Code]],Locaties[#All],2,FALSE)</f>
        <v>Groenlo</v>
      </c>
      <c r="C61" s="21" t="str">
        <f>VLOOKUP(Ruimtestaat[[#This Row],[Code]],Locaties[#All],4,FALSE)</f>
        <v>Deken Hooijmanssingel 1</v>
      </c>
      <c r="D61" s="21" t="str">
        <f>VLOOKUP(Ruimtestaat[[#This Row],[Code]],Locaties[#All],5,FALSE)</f>
        <v>7141 EA</v>
      </c>
      <c r="E61" s="195" t="str">
        <f>VLOOKUP(Ruimtestaat[[#This Row],[Code]],Locaties[#All],6,FALSE)</f>
        <v>Groenlo</v>
      </c>
      <c r="F61" s="195" t="s">
        <v>774</v>
      </c>
      <c r="G61" s="195" t="s">
        <v>776</v>
      </c>
      <c r="H61" s="195">
        <v>559</v>
      </c>
      <c r="I61" s="242" t="s">
        <v>823</v>
      </c>
      <c r="J61" s="195">
        <v>5</v>
      </c>
      <c r="K61" s="242" t="str">
        <f>VLOOKUP(Ruimtestaat[[#This Row],[Ruimte code]],Ruimtegroepen[#All],2,FALSE)</f>
        <v>Sanitair</v>
      </c>
      <c r="L61" s="211" t="s">
        <v>111</v>
      </c>
      <c r="M61" s="195" t="s">
        <v>777</v>
      </c>
      <c r="N61" s="197">
        <v>13.97</v>
      </c>
      <c r="O61" s="209"/>
      <c r="P61" s="241" t="str">
        <f>VLOOKUP(Ruimtestaat[[#This Row],[Ruimte code]],Ruimtegroepen[#All],4,FALSE)</f>
        <v>S  (Sanitair)</v>
      </c>
      <c r="Q61" s="210"/>
      <c r="R61" s="211">
        <v>40</v>
      </c>
      <c r="S61" s="211" t="s">
        <v>2</v>
      </c>
      <c r="T61" s="211">
        <f>IF(R61&gt;0,IF(RIGHT(Ruimtestaat[[#This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61" s="211">
        <f>IF(T61&gt;0,VLOOKUP($J61,Ruimtegroepen[],3,FALSE)*VLOOKUP($L61,Vloersoorten[],3,FALSE)*VLOOKUP($S61,Frequenties[],3,FALSE)*VLOOKUP($A61,Locaties[],3,FALSE),0)</f>
        <v>100</v>
      </c>
      <c r="V61" s="211">
        <f>Ruimtestaat[[#This Row],[Uitvoeringen werkdagen]]*Ruimtestaat[[#This Row],[Oppervlak (netto)]]</f>
        <v>2794</v>
      </c>
      <c r="W61" s="257">
        <f>IF(U61&gt;0,Ruimtestaat[[#This Row],[Prest. (m2 /jaar) werkdagen]]/Ruimtestaat[[#This Row],[Norm (m2/uur) werkdagen]],0)</f>
        <v>27.94</v>
      </c>
      <c r="X61" s="258">
        <f>Ruimtestaat[[#This Row],[uren / jaar werkdagen]]*Tariefsopbouw!$D$38</f>
        <v>698.5</v>
      </c>
      <c r="Y61" s="33"/>
      <c r="Z61" s="33">
        <f>IF(Ruimtestaat[[#This Row],[Frequentie weekend]]&gt;0,VALUE(LEFT(Y61,1))*R61,0)</f>
        <v>0</v>
      </c>
      <c r="AA61" s="33">
        <f>IF($Z61&gt;0,VLOOKUP($J61,Ruimtegroepen[],3,FALSE)*VLOOKUP($L61,Vloersoorten[],3,FALSE)*VLOOKUP($Y61,Frequenties[],3,FALSE)*VLOOKUP(#REF!,Locaties[],3,FALSE),0)</f>
        <v>0</v>
      </c>
      <c r="AB61" s="33"/>
      <c r="AC61" s="33"/>
      <c r="AD61" s="33">
        <f>Ruimtestaat[[#This Row],[uren / jaar weekend]]*Tariefsopbouw!$D$40</f>
        <v>0</v>
      </c>
      <c r="AE61" s="88">
        <f>Ruimtestaat[[#This Row],[Prest. (m2 /jaar) weekend]]+Ruimtestaat[[#This Row],[Prest. (m2 /jaar) werkdagen]]</f>
        <v>2794</v>
      </c>
      <c r="AF61" s="88">
        <f>Ruimtestaat[[#This Row],[uren / jaar weekend]]+Ruimtestaat[[#This Row],[uren / jaar werkdagen]]</f>
        <v>27.94</v>
      </c>
      <c r="AG61" s="89">
        <f>Ruimtestaat[[#This Row],[kosten / jaar weekend]]+Ruimtestaat[[#This Row],[kosten / jaar werkdagen]]</f>
        <v>698.5</v>
      </c>
      <c r="AH61" s="114"/>
      <c r="HL61" s="87"/>
    </row>
    <row r="62" spans="1:220" ht="15" customHeight="1">
      <c r="A62" s="129">
        <v>1</v>
      </c>
      <c r="B62" s="21" t="str">
        <f>VLOOKUP(Ruimtestaat[[#This Row],[Code]],Locaties[#All],2,FALSE)</f>
        <v>Groenlo</v>
      </c>
      <c r="C62" s="21" t="str">
        <f>VLOOKUP(Ruimtestaat[[#This Row],[Code]],Locaties[#All],4,FALSE)</f>
        <v>Deken Hooijmanssingel 1</v>
      </c>
      <c r="D62" s="21" t="str">
        <f>VLOOKUP(Ruimtestaat[[#This Row],[Code]],Locaties[#All],5,FALSE)</f>
        <v>7141 EA</v>
      </c>
      <c r="E62" s="195" t="str">
        <f>VLOOKUP(Ruimtestaat[[#This Row],[Code]],Locaties[#All],6,FALSE)</f>
        <v>Groenlo</v>
      </c>
      <c r="F62" s="195" t="s">
        <v>774</v>
      </c>
      <c r="G62" s="195" t="s">
        <v>776</v>
      </c>
      <c r="H62" s="195">
        <v>560</v>
      </c>
      <c r="I62" s="242" t="s">
        <v>822</v>
      </c>
      <c r="J62" s="195">
        <v>5</v>
      </c>
      <c r="K62" s="242" t="str">
        <f>VLOOKUP(Ruimtestaat[[#This Row],[Ruimte code]],Ruimtegroepen[#All],2,FALSE)</f>
        <v>Sanitair</v>
      </c>
      <c r="L62" s="211" t="s">
        <v>111</v>
      </c>
      <c r="M62" s="195" t="s">
        <v>777</v>
      </c>
      <c r="N62" s="197">
        <v>5.18</v>
      </c>
      <c r="O62" s="209"/>
      <c r="P62" s="241" t="str">
        <f>VLOOKUP(Ruimtestaat[[#This Row],[Ruimte code]],Ruimtegroepen[#All],4,FALSE)</f>
        <v>S  (Sanitair)</v>
      </c>
      <c r="Q62" s="210"/>
      <c r="R62" s="211">
        <v>40</v>
      </c>
      <c r="S62" s="211" t="s">
        <v>2</v>
      </c>
      <c r="T62" s="211">
        <f>IF(R62&gt;0,IF(RIGHT(Ruimtestaat[[#This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62" s="211">
        <f>IF(T62&gt;0,VLOOKUP($J62,Ruimtegroepen[],3,FALSE)*VLOOKUP($L62,Vloersoorten[],3,FALSE)*VLOOKUP($S62,Frequenties[],3,FALSE)*VLOOKUP($A62,Locaties[],3,FALSE),0)</f>
        <v>100</v>
      </c>
      <c r="V62" s="211">
        <f>Ruimtestaat[[#This Row],[Uitvoeringen werkdagen]]*Ruimtestaat[[#This Row],[Oppervlak (netto)]]</f>
        <v>1036</v>
      </c>
      <c r="W62" s="257">
        <f>IF(U62&gt;0,Ruimtestaat[[#This Row],[Prest. (m2 /jaar) werkdagen]]/Ruimtestaat[[#This Row],[Norm (m2/uur) werkdagen]],0)</f>
        <v>10.36</v>
      </c>
      <c r="X62" s="258">
        <f>Ruimtestaat[[#This Row],[uren / jaar werkdagen]]*Tariefsopbouw!$D$38</f>
        <v>259</v>
      </c>
      <c r="Y62" s="33"/>
      <c r="Z62" s="33">
        <f>IF(Ruimtestaat[[#This Row],[Frequentie weekend]]&gt;0,VALUE(LEFT(Y62,1))*R62,0)</f>
        <v>0</v>
      </c>
      <c r="AA62" s="33">
        <f>IF($Z62&gt;0,VLOOKUP($J62,Ruimtegroepen[],3,FALSE)*VLOOKUP($L62,Vloersoorten[],3,FALSE)*VLOOKUP($Y62,Frequenties[],3,FALSE)*VLOOKUP(#REF!,Locaties[],3,FALSE),0)</f>
        <v>0</v>
      </c>
      <c r="AB62" s="33"/>
      <c r="AC62" s="33"/>
      <c r="AD62" s="33">
        <f>Ruimtestaat[[#This Row],[uren / jaar weekend]]*Tariefsopbouw!$D$40</f>
        <v>0</v>
      </c>
      <c r="AE62" s="88">
        <f>Ruimtestaat[[#This Row],[Prest. (m2 /jaar) weekend]]+Ruimtestaat[[#This Row],[Prest. (m2 /jaar) werkdagen]]</f>
        <v>1036</v>
      </c>
      <c r="AF62" s="88">
        <f>Ruimtestaat[[#This Row],[uren / jaar weekend]]+Ruimtestaat[[#This Row],[uren / jaar werkdagen]]</f>
        <v>10.36</v>
      </c>
      <c r="AG62" s="89">
        <f>Ruimtestaat[[#This Row],[kosten / jaar weekend]]+Ruimtestaat[[#This Row],[kosten / jaar werkdagen]]</f>
        <v>259</v>
      </c>
      <c r="AH62" s="114"/>
      <c r="HL62" s="87"/>
    </row>
    <row r="63" spans="1:220" ht="15" customHeight="1">
      <c r="A63" s="129">
        <v>1</v>
      </c>
      <c r="B63" s="21" t="str">
        <f>VLOOKUP(Ruimtestaat[[#This Row],[Code]],Locaties[#All],2,FALSE)</f>
        <v>Groenlo</v>
      </c>
      <c r="C63" s="21" t="str">
        <f>VLOOKUP(Ruimtestaat[[#This Row],[Code]],Locaties[#All],4,FALSE)</f>
        <v>Deken Hooijmanssingel 1</v>
      </c>
      <c r="D63" s="21" t="str">
        <f>VLOOKUP(Ruimtestaat[[#This Row],[Code]],Locaties[#All],5,FALSE)</f>
        <v>7141 EA</v>
      </c>
      <c r="E63" s="195" t="str">
        <f>VLOOKUP(Ruimtestaat[[#This Row],[Code]],Locaties[#All],6,FALSE)</f>
        <v>Groenlo</v>
      </c>
      <c r="F63" s="195" t="s">
        <v>774</v>
      </c>
      <c r="G63" s="195" t="s">
        <v>776</v>
      </c>
      <c r="H63" s="195">
        <v>561</v>
      </c>
      <c r="I63" s="242" t="s">
        <v>382</v>
      </c>
      <c r="J63" s="195">
        <v>6</v>
      </c>
      <c r="K63" s="242" t="str">
        <f>VLOOKUP(Ruimtestaat[[#This Row],[Ruimte code]],Ruimtegroepen[#All],2,FALSE)</f>
        <v>Gangen/hallen</v>
      </c>
      <c r="L63" s="211" t="s">
        <v>111</v>
      </c>
      <c r="M63" s="195" t="s">
        <v>693</v>
      </c>
      <c r="N63" s="197">
        <v>91.63</v>
      </c>
      <c r="O63" s="209"/>
      <c r="P63" s="241" t="str">
        <f>VLOOKUP(Ruimtestaat[[#This Row],[Ruimte code]],Ruimtegroepen[#All],4,FALSE)</f>
        <v>V  (Verkeersruimte)</v>
      </c>
      <c r="Q63" s="210"/>
      <c r="R63" s="211">
        <v>40</v>
      </c>
      <c r="S63" s="211" t="s">
        <v>2</v>
      </c>
      <c r="T63" s="211">
        <f>IF(R63&gt;0,IF(RIGHT(Ruimtestaat[[#This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63" s="211">
        <f>IF(T63&gt;0,VLOOKUP($J63,Ruimtegroepen[],3,FALSE)*VLOOKUP($L63,Vloersoorten[],3,FALSE)*VLOOKUP($S63,Frequenties[],3,FALSE)*VLOOKUP($A63,Locaties[],3,FALSE),0)</f>
        <v>100</v>
      </c>
      <c r="V63" s="211">
        <f>Ruimtestaat[[#This Row],[Uitvoeringen werkdagen]]*Ruimtestaat[[#This Row],[Oppervlak (netto)]]</f>
        <v>18326</v>
      </c>
      <c r="W63" s="257">
        <f>IF(U63&gt;0,Ruimtestaat[[#This Row],[Prest. (m2 /jaar) werkdagen]]/Ruimtestaat[[#This Row],[Norm (m2/uur) werkdagen]],0)</f>
        <v>183.26</v>
      </c>
      <c r="X63" s="258">
        <f>Ruimtestaat[[#This Row],[uren / jaar werkdagen]]*Tariefsopbouw!$D$38</f>
        <v>4581.5</v>
      </c>
      <c r="Y63" s="33"/>
      <c r="Z63" s="33">
        <f>IF(Ruimtestaat[[#This Row],[Frequentie weekend]]&gt;0,VALUE(LEFT(Y63,1))*R63,0)</f>
        <v>0</v>
      </c>
      <c r="AA63" s="33">
        <f>IF($Z63&gt;0,VLOOKUP($J63,Ruimtegroepen[],3,FALSE)*VLOOKUP($L63,Vloersoorten[],3,FALSE)*VLOOKUP($Y63,Frequenties[],3,FALSE)*VLOOKUP(#REF!,Locaties[],3,FALSE),0)</f>
        <v>0</v>
      </c>
      <c r="AB63" s="33"/>
      <c r="AC63" s="33"/>
      <c r="AD63" s="33">
        <f>Ruimtestaat[[#This Row],[uren / jaar weekend]]*Tariefsopbouw!$D$40</f>
        <v>0</v>
      </c>
      <c r="AE63" s="88">
        <f>Ruimtestaat[[#This Row],[Prest. (m2 /jaar) weekend]]+Ruimtestaat[[#This Row],[Prest. (m2 /jaar) werkdagen]]</f>
        <v>18326</v>
      </c>
      <c r="AF63" s="88">
        <f>Ruimtestaat[[#This Row],[uren / jaar weekend]]+Ruimtestaat[[#This Row],[uren / jaar werkdagen]]</f>
        <v>183.26</v>
      </c>
      <c r="AG63" s="89">
        <f>Ruimtestaat[[#This Row],[kosten / jaar weekend]]+Ruimtestaat[[#This Row],[kosten / jaar werkdagen]]</f>
        <v>4581.5</v>
      </c>
      <c r="AH63" s="114"/>
      <c r="HL63" s="87"/>
    </row>
    <row r="64" spans="1:220" ht="15" customHeight="1">
      <c r="A64" s="129">
        <v>1</v>
      </c>
      <c r="B64" s="21" t="str">
        <f>VLOOKUP(Ruimtestaat[[#This Row],[Code]],Locaties[#All],2,FALSE)</f>
        <v>Groenlo</v>
      </c>
      <c r="C64" s="21" t="str">
        <f>VLOOKUP(Ruimtestaat[[#This Row],[Code]],Locaties[#All],4,FALSE)</f>
        <v>Deken Hooijmanssingel 1</v>
      </c>
      <c r="D64" s="21" t="str">
        <f>VLOOKUP(Ruimtestaat[[#This Row],[Code]],Locaties[#All],5,FALSE)</f>
        <v>7141 EA</v>
      </c>
      <c r="E64" s="195" t="str">
        <f>VLOOKUP(Ruimtestaat[[#This Row],[Code]],Locaties[#All],6,FALSE)</f>
        <v>Groenlo</v>
      </c>
      <c r="F64" s="195" t="s">
        <v>774</v>
      </c>
      <c r="G64" s="195" t="s">
        <v>776</v>
      </c>
      <c r="H64" s="195">
        <v>562</v>
      </c>
      <c r="I64" s="242" t="s">
        <v>823</v>
      </c>
      <c r="J64" s="195">
        <v>5</v>
      </c>
      <c r="K64" s="242" t="str">
        <f>VLOOKUP(Ruimtestaat[[#This Row],[Ruimte code]],Ruimtegroepen[#All],2,FALSE)</f>
        <v>Sanitair</v>
      </c>
      <c r="L64" s="211" t="s">
        <v>111</v>
      </c>
      <c r="M64" s="195" t="s">
        <v>777</v>
      </c>
      <c r="N64" s="197">
        <v>19.309999999999999</v>
      </c>
      <c r="O64" s="209"/>
      <c r="P64" s="241" t="str">
        <f>VLOOKUP(Ruimtestaat[[#This Row],[Ruimte code]],Ruimtegroepen[#All],4,FALSE)</f>
        <v>S  (Sanitair)</v>
      </c>
      <c r="Q64" s="210"/>
      <c r="R64" s="211">
        <v>40</v>
      </c>
      <c r="S64" s="211" t="s">
        <v>2</v>
      </c>
      <c r="T64" s="211">
        <f>IF(R64&gt;0,IF(RIGHT(Ruimtestaat[[#This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64" s="211">
        <f>IF(T64&gt;0,VLOOKUP($J64,Ruimtegroepen[],3,FALSE)*VLOOKUP($L64,Vloersoorten[],3,FALSE)*VLOOKUP($S64,Frequenties[],3,FALSE)*VLOOKUP($A64,Locaties[],3,FALSE),0)</f>
        <v>100</v>
      </c>
      <c r="V64" s="211">
        <f>Ruimtestaat[[#This Row],[Uitvoeringen werkdagen]]*Ruimtestaat[[#This Row],[Oppervlak (netto)]]</f>
        <v>3861.9999999999995</v>
      </c>
      <c r="W64" s="257">
        <f>IF(U64&gt;0,Ruimtestaat[[#This Row],[Prest. (m2 /jaar) werkdagen]]/Ruimtestaat[[#This Row],[Norm (m2/uur) werkdagen]],0)</f>
        <v>38.619999999999997</v>
      </c>
      <c r="X64" s="258">
        <f>Ruimtestaat[[#This Row],[uren / jaar werkdagen]]*Tariefsopbouw!$D$38</f>
        <v>965.49999999999989</v>
      </c>
      <c r="Y64" s="33"/>
      <c r="Z64" s="33">
        <f>IF(Ruimtestaat[[#This Row],[Frequentie weekend]]&gt;0,VALUE(LEFT(Y64,1))*R64,0)</f>
        <v>0</v>
      </c>
      <c r="AA64" s="33">
        <f>IF($Z64&gt;0,VLOOKUP($J64,Ruimtegroepen[],3,FALSE)*VLOOKUP($L64,Vloersoorten[],3,FALSE)*VLOOKUP($Y64,Frequenties[],3,FALSE)*VLOOKUP(#REF!,Locaties[],3,FALSE),0)</f>
        <v>0</v>
      </c>
      <c r="AB64" s="33"/>
      <c r="AC64" s="33"/>
      <c r="AD64" s="33">
        <f>Ruimtestaat[[#This Row],[uren / jaar weekend]]*Tariefsopbouw!$D$40</f>
        <v>0</v>
      </c>
      <c r="AE64" s="88">
        <f>Ruimtestaat[[#This Row],[Prest. (m2 /jaar) weekend]]+Ruimtestaat[[#This Row],[Prest. (m2 /jaar) werkdagen]]</f>
        <v>3861.9999999999995</v>
      </c>
      <c r="AF64" s="88">
        <f>Ruimtestaat[[#This Row],[uren / jaar weekend]]+Ruimtestaat[[#This Row],[uren / jaar werkdagen]]</f>
        <v>38.619999999999997</v>
      </c>
      <c r="AG64" s="89">
        <f>Ruimtestaat[[#This Row],[kosten / jaar weekend]]+Ruimtestaat[[#This Row],[kosten / jaar werkdagen]]</f>
        <v>965.49999999999989</v>
      </c>
      <c r="AH64" s="114"/>
      <c r="HL64" s="87"/>
    </row>
    <row r="65" spans="1:220" ht="15" customHeight="1">
      <c r="A65" s="129">
        <v>1</v>
      </c>
      <c r="B65" s="21" t="str">
        <f>VLOOKUP(Ruimtestaat[[#This Row],[Code]],Locaties[#All],2,FALSE)</f>
        <v>Groenlo</v>
      </c>
      <c r="C65" s="21" t="str">
        <f>VLOOKUP(Ruimtestaat[[#This Row],[Code]],Locaties[#All],4,FALSE)</f>
        <v>Deken Hooijmanssingel 1</v>
      </c>
      <c r="D65" s="21" t="str">
        <f>VLOOKUP(Ruimtestaat[[#This Row],[Code]],Locaties[#All],5,FALSE)</f>
        <v>7141 EA</v>
      </c>
      <c r="E65" s="195" t="str">
        <f>VLOOKUP(Ruimtestaat[[#This Row],[Code]],Locaties[#All],6,FALSE)</f>
        <v>Groenlo</v>
      </c>
      <c r="F65" s="195" t="s">
        <v>774</v>
      </c>
      <c r="G65" s="195" t="s">
        <v>776</v>
      </c>
      <c r="H65" s="195">
        <v>563</v>
      </c>
      <c r="I65" s="242" t="s">
        <v>395</v>
      </c>
      <c r="J65" s="195">
        <v>16</v>
      </c>
      <c r="K65" s="242" t="str">
        <f>VLOOKUP(Ruimtestaat[[#This Row],[Ruimte code]],Ruimtegroepen[#All],2,FALSE)</f>
        <v>Lokaal</v>
      </c>
      <c r="L65" s="211" t="s">
        <v>110</v>
      </c>
      <c r="M65" s="195" t="s">
        <v>133</v>
      </c>
      <c r="N65" s="197">
        <v>63.52</v>
      </c>
      <c r="O65" s="209"/>
      <c r="P65" s="241" t="str">
        <f>VLOOKUP(Ruimtestaat[[#This Row],[Ruimte code]],Ruimtegroepen[#All],4,FALSE)</f>
        <v>L  (Lesruimte)</v>
      </c>
      <c r="Q65" s="210"/>
      <c r="R65" s="211">
        <v>40</v>
      </c>
      <c r="S65" s="211" t="s">
        <v>2</v>
      </c>
      <c r="T65" s="211">
        <f>IF(R65&gt;0,IF(RIGHT(Ruimtestaat[[#This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65" s="211">
        <f>IF(T65&gt;0,VLOOKUP($J65,Ruimtegroepen[],3,FALSE)*VLOOKUP($L65,Vloersoorten[],3,FALSE)*VLOOKUP($S65,Frequenties[],3,FALSE)*VLOOKUP($A65,Locaties[],3,FALSE),0)</f>
        <v>100</v>
      </c>
      <c r="V65" s="211">
        <f>Ruimtestaat[[#This Row],[Uitvoeringen werkdagen]]*Ruimtestaat[[#This Row],[Oppervlak (netto)]]</f>
        <v>12704</v>
      </c>
      <c r="W65" s="257">
        <f>IF(U65&gt;0,Ruimtestaat[[#This Row],[Prest. (m2 /jaar) werkdagen]]/Ruimtestaat[[#This Row],[Norm (m2/uur) werkdagen]],0)</f>
        <v>127.04</v>
      </c>
      <c r="X65" s="258">
        <f>Ruimtestaat[[#This Row],[uren / jaar werkdagen]]*Tariefsopbouw!$D$38</f>
        <v>3176</v>
      </c>
      <c r="Y65" s="33"/>
      <c r="Z65" s="33">
        <f>IF(Ruimtestaat[[#This Row],[Frequentie weekend]]&gt;0,VALUE(LEFT(Y65,1))*R65,0)</f>
        <v>0</v>
      </c>
      <c r="AA65" s="33">
        <f>IF($Z65&gt;0,VLOOKUP($J65,Ruimtegroepen[],3,FALSE)*VLOOKUP($L65,Vloersoorten[],3,FALSE)*VLOOKUP($Y65,Frequenties[],3,FALSE)*VLOOKUP(#REF!,Locaties[],3,FALSE),0)</f>
        <v>0</v>
      </c>
      <c r="AB65" s="33"/>
      <c r="AC65" s="33"/>
      <c r="AD65" s="33">
        <f>Ruimtestaat[[#This Row],[uren / jaar weekend]]*Tariefsopbouw!$D$40</f>
        <v>0</v>
      </c>
      <c r="AE65" s="88">
        <f>Ruimtestaat[[#This Row],[Prest. (m2 /jaar) weekend]]+Ruimtestaat[[#This Row],[Prest. (m2 /jaar) werkdagen]]</f>
        <v>12704</v>
      </c>
      <c r="AF65" s="88">
        <f>Ruimtestaat[[#This Row],[uren / jaar weekend]]+Ruimtestaat[[#This Row],[uren / jaar werkdagen]]</f>
        <v>127.04</v>
      </c>
      <c r="AG65" s="89">
        <f>Ruimtestaat[[#This Row],[kosten / jaar weekend]]+Ruimtestaat[[#This Row],[kosten / jaar werkdagen]]</f>
        <v>3176</v>
      </c>
      <c r="AH65" s="114"/>
      <c r="HL65" s="87"/>
    </row>
    <row r="66" spans="1:220" ht="15" customHeight="1">
      <c r="A66" s="129">
        <v>1</v>
      </c>
      <c r="B66" s="21" t="str">
        <f>VLOOKUP(Ruimtestaat[[#This Row],[Code]],Locaties[#All],2,FALSE)</f>
        <v>Groenlo</v>
      </c>
      <c r="C66" s="21" t="str">
        <f>VLOOKUP(Ruimtestaat[[#This Row],[Code]],Locaties[#All],4,FALSE)</f>
        <v>Deken Hooijmanssingel 1</v>
      </c>
      <c r="D66" s="21" t="str">
        <f>VLOOKUP(Ruimtestaat[[#This Row],[Code]],Locaties[#All],5,FALSE)</f>
        <v>7141 EA</v>
      </c>
      <c r="E66" s="195" t="str">
        <f>VLOOKUP(Ruimtestaat[[#This Row],[Code]],Locaties[#All],6,FALSE)</f>
        <v>Groenlo</v>
      </c>
      <c r="F66" s="195" t="s">
        <v>774</v>
      </c>
      <c r="G66" s="195" t="s">
        <v>776</v>
      </c>
      <c r="H66" s="195">
        <v>564</v>
      </c>
      <c r="I66" s="242" t="s">
        <v>395</v>
      </c>
      <c r="J66" s="195">
        <v>16</v>
      </c>
      <c r="K66" s="242" t="str">
        <f>VLOOKUP(Ruimtestaat[[#This Row],[Ruimte code]],Ruimtegroepen[#All],2,FALSE)</f>
        <v>Lokaal</v>
      </c>
      <c r="L66" s="211" t="s">
        <v>110</v>
      </c>
      <c r="M66" s="195" t="s">
        <v>133</v>
      </c>
      <c r="N66" s="197">
        <v>68.790000000000006</v>
      </c>
      <c r="O66" s="209"/>
      <c r="P66" s="241" t="str">
        <f>VLOOKUP(Ruimtestaat[[#This Row],[Ruimte code]],Ruimtegroepen[#All],4,FALSE)</f>
        <v>L  (Lesruimte)</v>
      </c>
      <c r="Q66" s="210"/>
      <c r="R66" s="211">
        <v>40</v>
      </c>
      <c r="S66" s="211" t="s">
        <v>2</v>
      </c>
      <c r="T66" s="211">
        <f>IF(R66&gt;0,IF(RIGHT(Ruimtestaat[[#This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66" s="211">
        <f>IF(T66&gt;0,VLOOKUP($J66,Ruimtegroepen[],3,FALSE)*VLOOKUP($L66,Vloersoorten[],3,FALSE)*VLOOKUP($S66,Frequenties[],3,FALSE)*VLOOKUP($A66,Locaties[],3,FALSE),0)</f>
        <v>100</v>
      </c>
      <c r="V66" s="211">
        <f>Ruimtestaat[[#This Row],[Uitvoeringen werkdagen]]*Ruimtestaat[[#This Row],[Oppervlak (netto)]]</f>
        <v>13758.000000000002</v>
      </c>
      <c r="W66" s="257">
        <f>IF(U66&gt;0,Ruimtestaat[[#This Row],[Prest. (m2 /jaar) werkdagen]]/Ruimtestaat[[#This Row],[Norm (m2/uur) werkdagen]],0)</f>
        <v>137.58000000000001</v>
      </c>
      <c r="X66" s="258">
        <f>Ruimtestaat[[#This Row],[uren / jaar werkdagen]]*Tariefsopbouw!$D$38</f>
        <v>3439.5000000000005</v>
      </c>
      <c r="Y66" s="33"/>
      <c r="Z66" s="33">
        <f>IF(Ruimtestaat[[#This Row],[Frequentie weekend]]&gt;0,VALUE(LEFT(Y66,1))*R66,0)</f>
        <v>0</v>
      </c>
      <c r="AA66" s="33">
        <f>IF($Z66&gt;0,VLOOKUP($J66,Ruimtegroepen[],3,FALSE)*VLOOKUP($L66,Vloersoorten[],3,FALSE)*VLOOKUP($Y66,Frequenties[],3,FALSE)*VLOOKUP(#REF!,Locaties[],3,FALSE),0)</f>
        <v>0</v>
      </c>
      <c r="AB66" s="33"/>
      <c r="AC66" s="33"/>
      <c r="AD66" s="33">
        <f>Ruimtestaat[[#This Row],[uren / jaar weekend]]*Tariefsopbouw!$D$40</f>
        <v>0</v>
      </c>
      <c r="AE66" s="88">
        <f>Ruimtestaat[[#This Row],[Prest. (m2 /jaar) weekend]]+Ruimtestaat[[#This Row],[Prest. (m2 /jaar) werkdagen]]</f>
        <v>13758.000000000002</v>
      </c>
      <c r="AF66" s="88">
        <f>Ruimtestaat[[#This Row],[uren / jaar weekend]]+Ruimtestaat[[#This Row],[uren / jaar werkdagen]]</f>
        <v>137.58000000000001</v>
      </c>
      <c r="AG66" s="89">
        <f>Ruimtestaat[[#This Row],[kosten / jaar weekend]]+Ruimtestaat[[#This Row],[kosten / jaar werkdagen]]</f>
        <v>3439.5000000000005</v>
      </c>
      <c r="AH66" s="114"/>
      <c r="HL66" s="87"/>
    </row>
    <row r="67" spans="1:220" ht="15" customHeight="1">
      <c r="A67" s="129">
        <v>1</v>
      </c>
      <c r="B67" s="21" t="str">
        <f>VLOOKUP(Ruimtestaat[[#This Row],[Code]],Locaties[#All],2,FALSE)</f>
        <v>Groenlo</v>
      </c>
      <c r="C67" s="21" t="str">
        <f>VLOOKUP(Ruimtestaat[[#This Row],[Code]],Locaties[#All],4,FALSE)</f>
        <v>Deken Hooijmanssingel 1</v>
      </c>
      <c r="D67" s="21" t="str">
        <f>VLOOKUP(Ruimtestaat[[#This Row],[Code]],Locaties[#All],5,FALSE)</f>
        <v>7141 EA</v>
      </c>
      <c r="E67" s="195" t="str">
        <f>VLOOKUP(Ruimtestaat[[#This Row],[Code]],Locaties[#All],6,FALSE)</f>
        <v>Groenlo</v>
      </c>
      <c r="F67" s="195" t="s">
        <v>774</v>
      </c>
      <c r="G67" s="195" t="s">
        <v>776</v>
      </c>
      <c r="H67" s="195">
        <v>565</v>
      </c>
      <c r="I67" s="242" t="s">
        <v>395</v>
      </c>
      <c r="J67" s="195">
        <v>16</v>
      </c>
      <c r="K67" s="242" t="str">
        <f>VLOOKUP(Ruimtestaat[[#This Row],[Ruimte code]],Ruimtegroepen[#All],2,FALSE)</f>
        <v>Lokaal</v>
      </c>
      <c r="L67" s="211" t="s">
        <v>110</v>
      </c>
      <c r="M67" s="195" t="s">
        <v>133</v>
      </c>
      <c r="N67" s="197">
        <v>80.989999999999995</v>
      </c>
      <c r="O67" s="209"/>
      <c r="P67" s="241" t="str">
        <f>VLOOKUP(Ruimtestaat[[#This Row],[Ruimte code]],Ruimtegroepen[#All],4,FALSE)</f>
        <v>L  (Lesruimte)</v>
      </c>
      <c r="Q67" s="210"/>
      <c r="R67" s="211">
        <v>40</v>
      </c>
      <c r="S67" s="211" t="s">
        <v>2</v>
      </c>
      <c r="T67" s="211">
        <f>IF(R67&gt;0,IF(RIGHT(Ruimtestaat[[#This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67" s="211">
        <f>IF(T67&gt;0,VLOOKUP($J67,Ruimtegroepen[],3,FALSE)*VLOOKUP($L67,Vloersoorten[],3,FALSE)*VLOOKUP($S67,Frequenties[],3,FALSE)*VLOOKUP($A67,Locaties[],3,FALSE),0)</f>
        <v>100</v>
      </c>
      <c r="V67" s="211">
        <f>Ruimtestaat[[#This Row],[Uitvoeringen werkdagen]]*Ruimtestaat[[#This Row],[Oppervlak (netto)]]</f>
        <v>16197.999999999998</v>
      </c>
      <c r="W67" s="257">
        <f>IF(U67&gt;0,Ruimtestaat[[#This Row],[Prest. (m2 /jaar) werkdagen]]/Ruimtestaat[[#This Row],[Norm (m2/uur) werkdagen]],0)</f>
        <v>161.97999999999999</v>
      </c>
      <c r="X67" s="258">
        <f>Ruimtestaat[[#This Row],[uren / jaar werkdagen]]*Tariefsopbouw!$D$38</f>
        <v>4049.4999999999995</v>
      </c>
      <c r="Y67" s="33"/>
      <c r="Z67" s="33">
        <f>IF(Ruimtestaat[[#This Row],[Frequentie weekend]]&gt;0,VALUE(LEFT(Y67,1))*R67,0)</f>
        <v>0</v>
      </c>
      <c r="AA67" s="33">
        <f>IF($Z67&gt;0,VLOOKUP($J67,Ruimtegroepen[],3,FALSE)*VLOOKUP($L67,Vloersoorten[],3,FALSE)*VLOOKUP($Y67,Frequenties[],3,FALSE)*VLOOKUP(#REF!,Locaties[],3,FALSE),0)</f>
        <v>0</v>
      </c>
      <c r="AB67" s="33"/>
      <c r="AC67" s="33"/>
      <c r="AD67" s="33">
        <f>Ruimtestaat[[#This Row],[uren / jaar weekend]]*Tariefsopbouw!$D$40</f>
        <v>0</v>
      </c>
      <c r="AE67" s="88">
        <f>Ruimtestaat[[#This Row],[Prest. (m2 /jaar) weekend]]+Ruimtestaat[[#This Row],[Prest. (m2 /jaar) werkdagen]]</f>
        <v>16197.999999999998</v>
      </c>
      <c r="AF67" s="88">
        <f>Ruimtestaat[[#This Row],[uren / jaar weekend]]+Ruimtestaat[[#This Row],[uren / jaar werkdagen]]</f>
        <v>161.97999999999999</v>
      </c>
      <c r="AG67" s="89">
        <f>Ruimtestaat[[#This Row],[kosten / jaar weekend]]+Ruimtestaat[[#This Row],[kosten / jaar werkdagen]]</f>
        <v>4049.4999999999995</v>
      </c>
      <c r="AH67" s="114"/>
      <c r="HL67" s="87"/>
    </row>
    <row r="68" spans="1:220" ht="15" customHeight="1">
      <c r="A68" s="129">
        <v>1</v>
      </c>
      <c r="B68" s="21" t="str">
        <f>VLOOKUP(Ruimtestaat[[#This Row],[Code]],Locaties[#All],2,FALSE)</f>
        <v>Groenlo</v>
      </c>
      <c r="C68" s="21" t="str">
        <f>VLOOKUP(Ruimtestaat[[#This Row],[Code]],Locaties[#All],4,FALSE)</f>
        <v>Deken Hooijmanssingel 1</v>
      </c>
      <c r="D68" s="21" t="str">
        <f>VLOOKUP(Ruimtestaat[[#This Row],[Code]],Locaties[#All],5,FALSE)</f>
        <v>7141 EA</v>
      </c>
      <c r="E68" s="195" t="str">
        <f>VLOOKUP(Ruimtestaat[[#This Row],[Code]],Locaties[#All],6,FALSE)</f>
        <v>Groenlo</v>
      </c>
      <c r="F68" s="195" t="s">
        <v>774</v>
      </c>
      <c r="G68" s="195" t="s">
        <v>776</v>
      </c>
      <c r="H68" s="195">
        <v>566</v>
      </c>
      <c r="I68" s="242" t="s">
        <v>382</v>
      </c>
      <c r="J68" s="195">
        <v>6</v>
      </c>
      <c r="K68" s="242" t="str">
        <f>VLOOKUP(Ruimtestaat[[#This Row],[Ruimte code]],Ruimtegroepen[#All],2,FALSE)</f>
        <v>Gangen/hallen</v>
      </c>
      <c r="L68" s="211" t="s">
        <v>110</v>
      </c>
      <c r="M68" s="195" t="s">
        <v>133</v>
      </c>
      <c r="N68" s="197">
        <v>34.119999999999997</v>
      </c>
      <c r="O68" s="209"/>
      <c r="P68" s="241" t="str">
        <f>VLOOKUP(Ruimtestaat[[#This Row],[Ruimte code]],Ruimtegroepen[#All],4,FALSE)</f>
        <v>V  (Verkeersruimte)</v>
      </c>
      <c r="Q68" s="210"/>
      <c r="R68" s="211">
        <v>40</v>
      </c>
      <c r="S68" s="211" t="s">
        <v>2</v>
      </c>
      <c r="T68" s="211">
        <f>IF(R68&gt;0,IF(RIGHT(Ruimtestaat[[#This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68" s="211">
        <f>IF(T68&gt;0,VLOOKUP($J68,Ruimtegroepen[],3,FALSE)*VLOOKUP($L68,Vloersoorten[],3,FALSE)*VLOOKUP($S68,Frequenties[],3,FALSE)*VLOOKUP($A68,Locaties[],3,FALSE),0)</f>
        <v>100</v>
      </c>
      <c r="V68" s="211">
        <f>Ruimtestaat[[#This Row],[Uitvoeringen werkdagen]]*Ruimtestaat[[#This Row],[Oppervlak (netto)]]</f>
        <v>6823.9999999999991</v>
      </c>
      <c r="W68" s="257">
        <f>IF(U68&gt;0,Ruimtestaat[[#This Row],[Prest. (m2 /jaar) werkdagen]]/Ruimtestaat[[#This Row],[Norm (m2/uur) werkdagen]],0)</f>
        <v>68.239999999999995</v>
      </c>
      <c r="X68" s="258">
        <f>Ruimtestaat[[#This Row],[uren / jaar werkdagen]]*Tariefsopbouw!$D$38</f>
        <v>1705.9999999999998</v>
      </c>
      <c r="Y68" s="33"/>
      <c r="Z68" s="33">
        <f>IF(Ruimtestaat[[#This Row],[Frequentie weekend]]&gt;0,VALUE(LEFT(Y68,1))*R68,0)</f>
        <v>0</v>
      </c>
      <c r="AA68" s="33">
        <f>IF($Z68&gt;0,VLOOKUP($J68,Ruimtegroepen[],3,FALSE)*VLOOKUP($L68,Vloersoorten[],3,FALSE)*VLOOKUP($Y68,Frequenties[],3,FALSE)*VLOOKUP(#REF!,Locaties[],3,FALSE),0)</f>
        <v>0</v>
      </c>
      <c r="AB68" s="33"/>
      <c r="AC68" s="33"/>
      <c r="AD68" s="33">
        <f>Ruimtestaat[[#This Row],[uren / jaar weekend]]*Tariefsopbouw!$D$40</f>
        <v>0</v>
      </c>
      <c r="AE68" s="88">
        <f>Ruimtestaat[[#This Row],[Prest. (m2 /jaar) weekend]]+Ruimtestaat[[#This Row],[Prest. (m2 /jaar) werkdagen]]</f>
        <v>6823.9999999999991</v>
      </c>
      <c r="AF68" s="88">
        <f>Ruimtestaat[[#This Row],[uren / jaar weekend]]+Ruimtestaat[[#This Row],[uren / jaar werkdagen]]</f>
        <v>68.239999999999995</v>
      </c>
      <c r="AG68" s="89">
        <f>Ruimtestaat[[#This Row],[kosten / jaar weekend]]+Ruimtestaat[[#This Row],[kosten / jaar werkdagen]]</f>
        <v>1705.9999999999998</v>
      </c>
      <c r="AH68" s="114"/>
      <c r="HL68" s="87"/>
    </row>
    <row r="69" spans="1:220" ht="15" customHeight="1">
      <c r="A69" s="129">
        <v>1</v>
      </c>
      <c r="B69" s="21" t="str">
        <f>VLOOKUP(Ruimtestaat[[#This Row],[Code]],Locaties[#All],2,FALSE)</f>
        <v>Groenlo</v>
      </c>
      <c r="C69" s="21" t="str">
        <f>VLOOKUP(Ruimtestaat[[#This Row],[Code]],Locaties[#All],4,FALSE)</f>
        <v>Deken Hooijmanssingel 1</v>
      </c>
      <c r="D69" s="21" t="str">
        <f>VLOOKUP(Ruimtestaat[[#This Row],[Code]],Locaties[#All],5,FALSE)</f>
        <v>7141 EA</v>
      </c>
      <c r="E69" s="195" t="str">
        <f>VLOOKUP(Ruimtestaat[[#This Row],[Code]],Locaties[#All],6,FALSE)</f>
        <v>Groenlo</v>
      </c>
      <c r="F69" s="195" t="s">
        <v>774</v>
      </c>
      <c r="G69" s="195" t="s">
        <v>776</v>
      </c>
      <c r="H69" s="195">
        <v>567</v>
      </c>
      <c r="I69" s="242" t="s">
        <v>823</v>
      </c>
      <c r="J69" s="195">
        <v>5</v>
      </c>
      <c r="K69" s="242" t="str">
        <f>VLOOKUP(Ruimtestaat[[#This Row],[Ruimte code]],Ruimtegroepen[#All],2,FALSE)</f>
        <v>Sanitair</v>
      </c>
      <c r="L69" s="211" t="s">
        <v>111</v>
      </c>
      <c r="M69" s="195" t="s">
        <v>777</v>
      </c>
      <c r="N69" s="197">
        <v>5.94</v>
      </c>
      <c r="O69" s="209"/>
      <c r="P69" s="241" t="str">
        <f>VLOOKUP(Ruimtestaat[[#This Row],[Ruimte code]],Ruimtegroepen[#All],4,FALSE)</f>
        <v>S  (Sanitair)</v>
      </c>
      <c r="Q69" s="210"/>
      <c r="R69" s="211">
        <v>40</v>
      </c>
      <c r="S69" s="211" t="s">
        <v>2</v>
      </c>
      <c r="T69" s="211">
        <f>IF(R69&gt;0,IF(RIGHT(Ruimtestaat[[#This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69" s="211">
        <f>IF(T69&gt;0,VLOOKUP($J69,Ruimtegroepen[],3,FALSE)*VLOOKUP($L69,Vloersoorten[],3,FALSE)*VLOOKUP($S69,Frequenties[],3,FALSE)*VLOOKUP($A69,Locaties[],3,FALSE),0)</f>
        <v>100</v>
      </c>
      <c r="V69" s="211">
        <f>Ruimtestaat[[#This Row],[Uitvoeringen werkdagen]]*Ruimtestaat[[#This Row],[Oppervlak (netto)]]</f>
        <v>1188</v>
      </c>
      <c r="W69" s="257">
        <f>IF(U69&gt;0,Ruimtestaat[[#This Row],[Prest. (m2 /jaar) werkdagen]]/Ruimtestaat[[#This Row],[Norm (m2/uur) werkdagen]],0)</f>
        <v>11.88</v>
      </c>
      <c r="X69" s="258">
        <f>Ruimtestaat[[#This Row],[uren / jaar werkdagen]]*Tariefsopbouw!$D$38</f>
        <v>297</v>
      </c>
      <c r="Y69" s="33"/>
      <c r="Z69" s="33">
        <f>IF(Ruimtestaat[[#This Row],[Frequentie weekend]]&gt;0,VALUE(LEFT(Y69,1))*R69,0)</f>
        <v>0</v>
      </c>
      <c r="AA69" s="33">
        <f>IF($Z69&gt;0,VLOOKUP($J69,Ruimtegroepen[],3,FALSE)*VLOOKUP($L69,Vloersoorten[],3,FALSE)*VLOOKUP($Y69,Frequenties[],3,FALSE)*VLOOKUP(#REF!,Locaties[],3,FALSE),0)</f>
        <v>0</v>
      </c>
      <c r="AB69" s="33"/>
      <c r="AC69" s="33"/>
      <c r="AD69" s="33">
        <f>Ruimtestaat[[#This Row],[uren / jaar weekend]]*Tariefsopbouw!$D$40</f>
        <v>0</v>
      </c>
      <c r="AE69" s="88">
        <f>Ruimtestaat[[#This Row],[Prest. (m2 /jaar) weekend]]+Ruimtestaat[[#This Row],[Prest. (m2 /jaar) werkdagen]]</f>
        <v>1188</v>
      </c>
      <c r="AF69" s="88">
        <f>Ruimtestaat[[#This Row],[uren / jaar weekend]]+Ruimtestaat[[#This Row],[uren / jaar werkdagen]]</f>
        <v>11.88</v>
      </c>
      <c r="AG69" s="89">
        <f>Ruimtestaat[[#This Row],[kosten / jaar weekend]]+Ruimtestaat[[#This Row],[kosten / jaar werkdagen]]</f>
        <v>297</v>
      </c>
      <c r="AH69" s="114"/>
      <c r="HL69" s="87"/>
    </row>
    <row r="70" spans="1:220" ht="15" customHeight="1">
      <c r="A70" s="129">
        <v>1</v>
      </c>
      <c r="B70" s="21" t="str">
        <f>VLOOKUP(Ruimtestaat[[#This Row],[Code]],Locaties[#All],2,FALSE)</f>
        <v>Groenlo</v>
      </c>
      <c r="C70" s="21" t="str">
        <f>VLOOKUP(Ruimtestaat[[#This Row],[Code]],Locaties[#All],4,FALSE)</f>
        <v>Deken Hooijmanssingel 1</v>
      </c>
      <c r="D70" s="21" t="str">
        <f>VLOOKUP(Ruimtestaat[[#This Row],[Code]],Locaties[#All],5,FALSE)</f>
        <v>7141 EA</v>
      </c>
      <c r="E70" s="195" t="str">
        <f>VLOOKUP(Ruimtestaat[[#This Row],[Code]],Locaties[#All],6,FALSE)</f>
        <v>Groenlo</v>
      </c>
      <c r="F70" s="195" t="s">
        <v>774</v>
      </c>
      <c r="G70" s="195" t="s">
        <v>776</v>
      </c>
      <c r="H70" s="195">
        <v>568</v>
      </c>
      <c r="I70" s="242" t="s">
        <v>639</v>
      </c>
      <c r="J70" s="195">
        <v>10</v>
      </c>
      <c r="K70" s="242" t="str">
        <f>VLOOKUP(Ruimtestaat[[#This Row],[Ruimte code]],Ruimtegroepen[#All],2,FALSE)</f>
        <v>Trappenhuizen/lift</v>
      </c>
      <c r="L70" s="211" t="s">
        <v>110</v>
      </c>
      <c r="M70" s="195" t="s">
        <v>133</v>
      </c>
      <c r="N70" s="197">
        <v>6.89</v>
      </c>
      <c r="O70" s="209"/>
      <c r="P70" s="241" t="str">
        <f>VLOOKUP(Ruimtestaat[[#This Row],[Ruimte code]],Ruimtegroepen[#All],4,FALSE)</f>
        <v>V  (Verkeersruimte)</v>
      </c>
      <c r="Q70" s="210"/>
      <c r="R70" s="211">
        <v>40</v>
      </c>
      <c r="S70" s="211" t="s">
        <v>2</v>
      </c>
      <c r="T70" s="211">
        <f>IF(R70&gt;0,IF(RIGHT(Ruimtestaat[[#This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70" s="211">
        <f>IF(T70&gt;0,VLOOKUP($J70,Ruimtegroepen[],3,FALSE)*VLOOKUP($L70,Vloersoorten[],3,FALSE)*VLOOKUP($S70,Frequenties[],3,FALSE)*VLOOKUP($A70,Locaties[],3,FALSE),0)</f>
        <v>100</v>
      </c>
      <c r="V70" s="211">
        <f>Ruimtestaat[[#This Row],[Uitvoeringen werkdagen]]*Ruimtestaat[[#This Row],[Oppervlak (netto)]]</f>
        <v>1378</v>
      </c>
      <c r="W70" s="257">
        <f>IF(U70&gt;0,Ruimtestaat[[#This Row],[Prest. (m2 /jaar) werkdagen]]/Ruimtestaat[[#This Row],[Norm (m2/uur) werkdagen]],0)</f>
        <v>13.78</v>
      </c>
      <c r="X70" s="258">
        <f>Ruimtestaat[[#This Row],[uren / jaar werkdagen]]*Tariefsopbouw!$D$38</f>
        <v>344.5</v>
      </c>
      <c r="Y70" s="33"/>
      <c r="Z70" s="33">
        <f>IF(Ruimtestaat[[#This Row],[Frequentie weekend]]&gt;0,VALUE(LEFT(Y70,1))*R70,0)</f>
        <v>0</v>
      </c>
      <c r="AA70" s="33">
        <f>IF($Z70&gt;0,VLOOKUP($J70,Ruimtegroepen[],3,FALSE)*VLOOKUP($L70,Vloersoorten[],3,FALSE)*VLOOKUP($Y70,Frequenties[],3,FALSE)*VLOOKUP(#REF!,Locaties[],3,FALSE),0)</f>
        <v>0</v>
      </c>
      <c r="AB70" s="33"/>
      <c r="AC70" s="33"/>
      <c r="AD70" s="33">
        <f>Ruimtestaat[[#This Row],[uren / jaar weekend]]*Tariefsopbouw!$D$40</f>
        <v>0</v>
      </c>
      <c r="AE70" s="88">
        <f>Ruimtestaat[[#This Row],[Prest. (m2 /jaar) weekend]]+Ruimtestaat[[#This Row],[Prest. (m2 /jaar) werkdagen]]</f>
        <v>1378</v>
      </c>
      <c r="AF70" s="88">
        <f>Ruimtestaat[[#This Row],[uren / jaar weekend]]+Ruimtestaat[[#This Row],[uren / jaar werkdagen]]</f>
        <v>13.78</v>
      </c>
      <c r="AG70" s="89">
        <f>Ruimtestaat[[#This Row],[kosten / jaar weekend]]+Ruimtestaat[[#This Row],[kosten / jaar werkdagen]]</f>
        <v>344.5</v>
      </c>
      <c r="AH70" s="114"/>
      <c r="HL70" s="87"/>
    </row>
    <row r="71" spans="1:220" ht="15" customHeight="1">
      <c r="A71" s="129">
        <v>1</v>
      </c>
      <c r="B71" s="21" t="str">
        <f>VLOOKUP(Ruimtestaat[[#This Row],[Code]],Locaties[#All],2,FALSE)</f>
        <v>Groenlo</v>
      </c>
      <c r="C71" s="21" t="str">
        <f>VLOOKUP(Ruimtestaat[[#This Row],[Code]],Locaties[#All],4,FALSE)</f>
        <v>Deken Hooijmanssingel 1</v>
      </c>
      <c r="D71" s="21" t="str">
        <f>VLOOKUP(Ruimtestaat[[#This Row],[Code]],Locaties[#All],5,FALSE)</f>
        <v>7141 EA</v>
      </c>
      <c r="E71" s="195" t="str">
        <f>VLOOKUP(Ruimtestaat[[#This Row],[Code]],Locaties[#All],6,FALSE)</f>
        <v>Groenlo</v>
      </c>
      <c r="F71" s="195" t="s">
        <v>774</v>
      </c>
      <c r="G71" s="195" t="s">
        <v>776</v>
      </c>
      <c r="H71" s="195">
        <v>569</v>
      </c>
      <c r="I71" s="242" t="s">
        <v>441</v>
      </c>
      <c r="J71" s="195">
        <v>1</v>
      </c>
      <c r="K71" s="242" t="str">
        <f>VLOOKUP(Ruimtestaat[[#This Row],[Ruimte code]],Ruimtegroepen[#All],2,FALSE)</f>
        <v>Magazijnen/bergingen</v>
      </c>
      <c r="L71" s="211" t="s">
        <v>111</v>
      </c>
      <c r="M71" s="195" t="s">
        <v>777</v>
      </c>
      <c r="N71" s="197">
        <v>6.25</v>
      </c>
      <c r="O71" s="209"/>
      <c r="P71" s="241" t="str">
        <f>VLOOKUP(Ruimtestaat[[#This Row],[Ruimte code]],Ruimtegroepen[#All],4,FALSE)</f>
        <v>V  (Verkeersruimte)</v>
      </c>
      <c r="Q71" s="210"/>
      <c r="R71" s="211">
        <v>40</v>
      </c>
      <c r="S71" s="211" t="s">
        <v>16</v>
      </c>
      <c r="T71" s="211">
        <f>IF(R71&gt;0,IF(RIGHT(Ruimtestaat[[#This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U71" s="211">
        <f>IF(T71&gt;0,VLOOKUP($J71,Ruimtegroepen[],3,FALSE)*VLOOKUP($L71,Vloersoorten[],3,FALSE)*VLOOKUP($S71,Frequenties[],3,FALSE)*VLOOKUP($A71,Locaties[],3,FALSE),0)</f>
        <v>100</v>
      </c>
      <c r="V71" s="211">
        <f>Ruimtestaat[[#This Row],[Uitvoeringen werkdagen]]*Ruimtestaat[[#This Row],[Oppervlak (netto)]]</f>
        <v>75</v>
      </c>
      <c r="W71" s="257">
        <f>IF(U71&gt;0,Ruimtestaat[[#This Row],[Prest. (m2 /jaar) werkdagen]]/Ruimtestaat[[#This Row],[Norm (m2/uur) werkdagen]],0)</f>
        <v>0.75</v>
      </c>
      <c r="X71" s="258">
        <f>Ruimtestaat[[#This Row],[uren / jaar werkdagen]]*Tariefsopbouw!$D$38</f>
        <v>18.75</v>
      </c>
      <c r="Y71" s="33"/>
      <c r="Z71" s="33">
        <f>IF(Ruimtestaat[[#This Row],[Frequentie weekend]]&gt;0,VALUE(LEFT(Y71,1))*R71,0)</f>
        <v>0</v>
      </c>
      <c r="AA71" s="33">
        <f>IF($Z71&gt;0,VLOOKUP($J71,Ruimtegroepen[],3,FALSE)*VLOOKUP($L71,Vloersoorten[],3,FALSE)*VLOOKUP($Y71,Frequenties[],3,FALSE)*VLOOKUP(#REF!,Locaties[],3,FALSE),0)</f>
        <v>0</v>
      </c>
      <c r="AB71" s="33"/>
      <c r="AC71" s="33"/>
      <c r="AD71" s="33">
        <f>Ruimtestaat[[#This Row],[uren / jaar weekend]]*Tariefsopbouw!$D$40</f>
        <v>0</v>
      </c>
      <c r="AE71" s="88">
        <f>Ruimtestaat[[#This Row],[Prest. (m2 /jaar) weekend]]+Ruimtestaat[[#This Row],[Prest. (m2 /jaar) werkdagen]]</f>
        <v>75</v>
      </c>
      <c r="AF71" s="88">
        <f>Ruimtestaat[[#This Row],[uren / jaar weekend]]+Ruimtestaat[[#This Row],[uren / jaar werkdagen]]</f>
        <v>0.75</v>
      </c>
      <c r="AG71" s="89">
        <f>Ruimtestaat[[#This Row],[kosten / jaar weekend]]+Ruimtestaat[[#This Row],[kosten / jaar werkdagen]]</f>
        <v>18.75</v>
      </c>
      <c r="AH71" s="114"/>
      <c r="HL71" s="87"/>
    </row>
    <row r="72" spans="1:220" ht="15" customHeight="1">
      <c r="A72" s="129">
        <v>1</v>
      </c>
      <c r="B72" s="21" t="str">
        <f>VLOOKUP(Ruimtestaat[[#This Row],[Code]],Locaties[#All],2,FALSE)</f>
        <v>Groenlo</v>
      </c>
      <c r="C72" s="21" t="str">
        <f>VLOOKUP(Ruimtestaat[[#This Row],[Code]],Locaties[#All],4,FALSE)</f>
        <v>Deken Hooijmanssingel 1</v>
      </c>
      <c r="D72" s="21" t="str">
        <f>VLOOKUP(Ruimtestaat[[#This Row],[Code]],Locaties[#All],5,FALSE)</f>
        <v>7141 EA</v>
      </c>
      <c r="E72" s="195" t="str">
        <f>VLOOKUP(Ruimtestaat[[#This Row],[Code]],Locaties[#All],6,FALSE)</f>
        <v>Groenlo</v>
      </c>
      <c r="F72" s="195" t="s">
        <v>774</v>
      </c>
      <c r="G72" s="195" t="s">
        <v>776</v>
      </c>
      <c r="H72" s="195">
        <v>570</v>
      </c>
      <c r="I72" s="242" t="s">
        <v>395</v>
      </c>
      <c r="J72" s="195">
        <v>16</v>
      </c>
      <c r="K72" s="242" t="str">
        <f>VLOOKUP(Ruimtestaat[[#This Row],[Ruimte code]],Ruimtegroepen[#All],2,FALSE)</f>
        <v>Lokaal</v>
      </c>
      <c r="L72" s="211" t="s">
        <v>110</v>
      </c>
      <c r="M72" s="195" t="s">
        <v>133</v>
      </c>
      <c r="N72" s="197">
        <v>68.78</v>
      </c>
      <c r="O72" s="209"/>
      <c r="P72" s="241" t="str">
        <f>VLOOKUP(Ruimtestaat[[#This Row],[Ruimte code]],Ruimtegroepen[#All],4,FALSE)</f>
        <v>L  (Lesruimte)</v>
      </c>
      <c r="Q72" s="210"/>
      <c r="R72" s="211">
        <v>40</v>
      </c>
      <c r="S72" s="211" t="s">
        <v>2</v>
      </c>
      <c r="T72" s="211">
        <f>IF(R72&gt;0,IF(RIGHT(Ruimtestaat[[#This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72" s="211">
        <f>IF(T72&gt;0,VLOOKUP($J72,Ruimtegroepen[],3,FALSE)*VLOOKUP($L72,Vloersoorten[],3,FALSE)*VLOOKUP($S72,Frequenties[],3,FALSE)*VLOOKUP($A72,Locaties[],3,FALSE),0)</f>
        <v>100</v>
      </c>
      <c r="V72" s="211">
        <f>Ruimtestaat[[#This Row],[Uitvoeringen werkdagen]]*Ruimtestaat[[#This Row],[Oppervlak (netto)]]</f>
        <v>13756</v>
      </c>
      <c r="W72" s="257">
        <f>IF(U72&gt;0,Ruimtestaat[[#This Row],[Prest. (m2 /jaar) werkdagen]]/Ruimtestaat[[#This Row],[Norm (m2/uur) werkdagen]],0)</f>
        <v>137.56</v>
      </c>
      <c r="X72" s="258">
        <f>Ruimtestaat[[#This Row],[uren / jaar werkdagen]]*Tariefsopbouw!$D$38</f>
        <v>3439</v>
      </c>
      <c r="Y72" s="33"/>
      <c r="Z72" s="33">
        <f>IF(Ruimtestaat[[#This Row],[Frequentie weekend]]&gt;0,VALUE(LEFT(Y72,1))*R72,0)</f>
        <v>0</v>
      </c>
      <c r="AA72" s="33">
        <f>IF($Z72&gt;0,VLOOKUP($J72,Ruimtegroepen[],3,FALSE)*VLOOKUP($L72,Vloersoorten[],3,FALSE)*VLOOKUP($Y72,Frequenties[],3,FALSE)*VLOOKUP(#REF!,Locaties[],3,FALSE),0)</f>
        <v>0</v>
      </c>
      <c r="AB72" s="33"/>
      <c r="AC72" s="33"/>
      <c r="AD72" s="33">
        <f>Ruimtestaat[[#This Row],[uren / jaar weekend]]*Tariefsopbouw!$D$40</f>
        <v>0</v>
      </c>
      <c r="AE72" s="88">
        <f>Ruimtestaat[[#This Row],[Prest. (m2 /jaar) weekend]]+Ruimtestaat[[#This Row],[Prest. (m2 /jaar) werkdagen]]</f>
        <v>13756</v>
      </c>
      <c r="AF72" s="88">
        <f>Ruimtestaat[[#This Row],[uren / jaar weekend]]+Ruimtestaat[[#This Row],[uren / jaar werkdagen]]</f>
        <v>137.56</v>
      </c>
      <c r="AG72" s="89">
        <f>Ruimtestaat[[#This Row],[kosten / jaar weekend]]+Ruimtestaat[[#This Row],[kosten / jaar werkdagen]]</f>
        <v>3439</v>
      </c>
      <c r="AH72" s="114"/>
      <c r="HL72" s="87"/>
    </row>
    <row r="73" spans="1:220" ht="15" customHeight="1">
      <c r="A73" s="129">
        <v>1</v>
      </c>
      <c r="B73" s="21" t="str">
        <f>VLOOKUP(Ruimtestaat[[#This Row],[Code]],Locaties[#All],2,FALSE)</f>
        <v>Groenlo</v>
      </c>
      <c r="C73" s="21" t="str">
        <f>VLOOKUP(Ruimtestaat[[#This Row],[Code]],Locaties[#All],4,FALSE)</f>
        <v>Deken Hooijmanssingel 1</v>
      </c>
      <c r="D73" s="21" t="str">
        <f>VLOOKUP(Ruimtestaat[[#This Row],[Code]],Locaties[#All],5,FALSE)</f>
        <v>7141 EA</v>
      </c>
      <c r="E73" s="195" t="str">
        <f>VLOOKUP(Ruimtestaat[[#This Row],[Code]],Locaties[#All],6,FALSE)</f>
        <v>Groenlo</v>
      </c>
      <c r="F73" s="195" t="s">
        <v>774</v>
      </c>
      <c r="G73" s="195" t="s">
        <v>776</v>
      </c>
      <c r="H73" s="195">
        <v>571</v>
      </c>
      <c r="I73" s="242" t="s">
        <v>449</v>
      </c>
      <c r="J73" s="195">
        <v>2</v>
      </c>
      <c r="K73" s="242" t="str">
        <f>VLOOKUP(Ruimtestaat[[#This Row],[Ruimte code]],Ruimtegroepen[#All],2,FALSE)</f>
        <v>Kantoren</v>
      </c>
      <c r="L73" s="211" t="s">
        <v>110</v>
      </c>
      <c r="M73" s="195" t="s">
        <v>133</v>
      </c>
      <c r="N73" s="197">
        <v>24.19</v>
      </c>
      <c r="O73" s="209"/>
      <c r="P73" s="241" t="str">
        <f>VLOOKUP(Ruimtestaat[[#This Row],[Ruimte code]],Ruimtegroepen[#All],4,FALSE)</f>
        <v>B  (Bureauruimte)</v>
      </c>
      <c r="Q73" s="210"/>
      <c r="R73" s="211">
        <v>40</v>
      </c>
      <c r="S73" s="211" t="s">
        <v>2</v>
      </c>
      <c r="T73" s="211">
        <f>IF(R73&gt;0,IF(RIGHT(Ruimtestaat[[#This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73" s="211">
        <f>IF(T73&gt;0,VLOOKUP($J73,Ruimtegroepen[],3,FALSE)*VLOOKUP($L73,Vloersoorten[],3,FALSE)*VLOOKUP($S73,Frequenties[],3,FALSE)*VLOOKUP($A73,Locaties[],3,FALSE),0)</f>
        <v>100</v>
      </c>
      <c r="V73" s="211">
        <f>Ruimtestaat[[#This Row],[Uitvoeringen werkdagen]]*Ruimtestaat[[#This Row],[Oppervlak (netto)]]</f>
        <v>4838</v>
      </c>
      <c r="W73" s="257">
        <f>IF(U73&gt;0,Ruimtestaat[[#This Row],[Prest. (m2 /jaar) werkdagen]]/Ruimtestaat[[#This Row],[Norm (m2/uur) werkdagen]],0)</f>
        <v>48.38</v>
      </c>
      <c r="X73" s="258">
        <f>Ruimtestaat[[#This Row],[uren / jaar werkdagen]]*Tariefsopbouw!$D$38</f>
        <v>1209.5</v>
      </c>
      <c r="Y73" s="33"/>
      <c r="Z73" s="33">
        <f>IF(Ruimtestaat[[#This Row],[Frequentie weekend]]&gt;0,VALUE(LEFT(Y73,1))*R73,0)</f>
        <v>0</v>
      </c>
      <c r="AA73" s="33">
        <f>IF($Z73&gt;0,VLOOKUP($J73,Ruimtegroepen[],3,FALSE)*VLOOKUP($L73,Vloersoorten[],3,FALSE)*VLOOKUP($Y73,Frequenties[],3,FALSE)*VLOOKUP(#REF!,Locaties[],3,FALSE),0)</f>
        <v>0</v>
      </c>
      <c r="AB73" s="33"/>
      <c r="AC73" s="33"/>
      <c r="AD73" s="33">
        <f>Ruimtestaat[[#This Row],[uren / jaar weekend]]*Tariefsopbouw!$D$40</f>
        <v>0</v>
      </c>
      <c r="AE73" s="88">
        <f>Ruimtestaat[[#This Row],[Prest. (m2 /jaar) weekend]]+Ruimtestaat[[#This Row],[Prest. (m2 /jaar) werkdagen]]</f>
        <v>4838</v>
      </c>
      <c r="AF73" s="88">
        <f>Ruimtestaat[[#This Row],[uren / jaar weekend]]+Ruimtestaat[[#This Row],[uren / jaar werkdagen]]</f>
        <v>48.38</v>
      </c>
      <c r="AG73" s="89">
        <f>Ruimtestaat[[#This Row],[kosten / jaar weekend]]+Ruimtestaat[[#This Row],[kosten / jaar werkdagen]]</f>
        <v>1209.5</v>
      </c>
      <c r="AH73" s="114"/>
      <c r="HL73" s="87"/>
    </row>
    <row r="74" spans="1:220" ht="15" customHeight="1">
      <c r="A74" s="129">
        <v>1</v>
      </c>
      <c r="B74" s="21" t="str">
        <f>VLOOKUP(Ruimtestaat[[#This Row],[Code]],Locaties[#All],2,FALSE)</f>
        <v>Groenlo</v>
      </c>
      <c r="C74" s="21" t="str">
        <f>VLOOKUP(Ruimtestaat[[#This Row],[Code]],Locaties[#All],4,FALSE)</f>
        <v>Deken Hooijmanssingel 1</v>
      </c>
      <c r="D74" s="21" t="str">
        <f>VLOOKUP(Ruimtestaat[[#This Row],[Code]],Locaties[#All],5,FALSE)</f>
        <v>7141 EA</v>
      </c>
      <c r="E74" s="195" t="str">
        <f>VLOOKUP(Ruimtestaat[[#This Row],[Code]],Locaties[#All],6,FALSE)</f>
        <v>Groenlo</v>
      </c>
      <c r="F74" s="195" t="s">
        <v>774</v>
      </c>
      <c r="G74" s="195" t="s">
        <v>776</v>
      </c>
      <c r="H74" s="195">
        <v>572</v>
      </c>
      <c r="I74" s="242" t="s">
        <v>395</v>
      </c>
      <c r="J74" s="195">
        <v>16</v>
      </c>
      <c r="K74" s="242" t="str">
        <f>VLOOKUP(Ruimtestaat[[#This Row],[Ruimte code]],Ruimtegroepen[#All],2,FALSE)</f>
        <v>Lokaal</v>
      </c>
      <c r="L74" s="211" t="s">
        <v>110</v>
      </c>
      <c r="M74" s="195" t="s">
        <v>133</v>
      </c>
      <c r="N74" s="197">
        <v>65.819999999999993</v>
      </c>
      <c r="O74" s="209"/>
      <c r="P74" s="241" t="str">
        <f>VLOOKUP(Ruimtestaat[[#This Row],[Ruimte code]],Ruimtegroepen[#All],4,FALSE)</f>
        <v>L  (Lesruimte)</v>
      </c>
      <c r="Q74" s="210"/>
      <c r="R74" s="211">
        <v>40</v>
      </c>
      <c r="S74" s="211" t="s">
        <v>2</v>
      </c>
      <c r="T74" s="211">
        <f>IF(R74&gt;0,IF(RIGHT(Ruimtestaat[[#This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74" s="211">
        <f>IF(T74&gt;0,VLOOKUP($J74,Ruimtegroepen[],3,FALSE)*VLOOKUP($L74,Vloersoorten[],3,FALSE)*VLOOKUP($S74,Frequenties[],3,FALSE)*VLOOKUP($A74,Locaties[],3,FALSE),0)</f>
        <v>100</v>
      </c>
      <c r="V74" s="211">
        <f>Ruimtestaat[[#This Row],[Uitvoeringen werkdagen]]*Ruimtestaat[[#This Row],[Oppervlak (netto)]]</f>
        <v>13163.999999999998</v>
      </c>
      <c r="W74" s="257">
        <f>IF(U74&gt;0,Ruimtestaat[[#This Row],[Prest. (m2 /jaar) werkdagen]]/Ruimtestaat[[#This Row],[Norm (m2/uur) werkdagen]],0)</f>
        <v>131.63999999999999</v>
      </c>
      <c r="X74" s="258">
        <f>Ruimtestaat[[#This Row],[uren / jaar werkdagen]]*Tariefsopbouw!$D$38</f>
        <v>3290.9999999999995</v>
      </c>
      <c r="Y74" s="33"/>
      <c r="Z74" s="33">
        <f>IF(Ruimtestaat[[#This Row],[Frequentie weekend]]&gt;0,VALUE(LEFT(Y74,1))*R74,0)</f>
        <v>0</v>
      </c>
      <c r="AA74" s="33">
        <f>IF($Z74&gt;0,VLOOKUP($J74,Ruimtegroepen[],3,FALSE)*VLOOKUP($L74,Vloersoorten[],3,FALSE)*VLOOKUP($Y74,Frequenties[],3,FALSE)*VLOOKUP(#REF!,Locaties[],3,FALSE),0)</f>
        <v>0</v>
      </c>
      <c r="AB74" s="33"/>
      <c r="AC74" s="33"/>
      <c r="AD74" s="33">
        <f>Ruimtestaat[[#This Row],[uren / jaar weekend]]*Tariefsopbouw!$D$40</f>
        <v>0</v>
      </c>
      <c r="AE74" s="88">
        <f>Ruimtestaat[[#This Row],[Prest. (m2 /jaar) weekend]]+Ruimtestaat[[#This Row],[Prest. (m2 /jaar) werkdagen]]</f>
        <v>13163.999999999998</v>
      </c>
      <c r="AF74" s="88">
        <f>Ruimtestaat[[#This Row],[uren / jaar weekend]]+Ruimtestaat[[#This Row],[uren / jaar werkdagen]]</f>
        <v>131.63999999999999</v>
      </c>
      <c r="AG74" s="89">
        <f>Ruimtestaat[[#This Row],[kosten / jaar weekend]]+Ruimtestaat[[#This Row],[kosten / jaar werkdagen]]</f>
        <v>3290.9999999999995</v>
      </c>
      <c r="AH74" s="114"/>
      <c r="HL74" s="87"/>
    </row>
    <row r="75" spans="1:220" ht="15" customHeight="1">
      <c r="A75" s="129">
        <v>1</v>
      </c>
      <c r="B75" s="21" t="str">
        <f>VLOOKUP(Ruimtestaat[[#This Row],[Code]],Locaties[#All],2,FALSE)</f>
        <v>Groenlo</v>
      </c>
      <c r="C75" s="21" t="str">
        <f>VLOOKUP(Ruimtestaat[[#This Row],[Code]],Locaties[#All],4,FALSE)</f>
        <v>Deken Hooijmanssingel 1</v>
      </c>
      <c r="D75" s="21" t="str">
        <f>VLOOKUP(Ruimtestaat[[#This Row],[Code]],Locaties[#All],5,FALSE)</f>
        <v>7141 EA</v>
      </c>
      <c r="E75" s="195" t="str">
        <f>VLOOKUP(Ruimtestaat[[#This Row],[Code]],Locaties[#All],6,FALSE)</f>
        <v>Groenlo</v>
      </c>
      <c r="F75" s="195" t="s">
        <v>774</v>
      </c>
      <c r="G75" s="195" t="s">
        <v>776</v>
      </c>
      <c r="H75" s="195">
        <v>573</v>
      </c>
      <c r="I75" s="242" t="s">
        <v>382</v>
      </c>
      <c r="J75" s="195">
        <v>6</v>
      </c>
      <c r="K75" s="242" t="str">
        <f>VLOOKUP(Ruimtestaat[[#This Row],[Ruimte code]],Ruimtegroepen[#All],2,FALSE)</f>
        <v>Gangen/hallen</v>
      </c>
      <c r="L75" s="211" t="s">
        <v>111</v>
      </c>
      <c r="M75" s="195" t="s">
        <v>693</v>
      </c>
      <c r="N75" s="197">
        <v>13.74</v>
      </c>
      <c r="O75" s="209"/>
      <c r="P75" s="241" t="str">
        <f>VLOOKUP(Ruimtestaat[[#This Row],[Ruimte code]],Ruimtegroepen[#All],4,FALSE)</f>
        <v>V  (Verkeersruimte)</v>
      </c>
      <c r="Q75" s="210"/>
      <c r="R75" s="211">
        <v>40</v>
      </c>
      <c r="S75" s="211" t="s">
        <v>2</v>
      </c>
      <c r="T75" s="211">
        <f>IF(R75&gt;0,IF(RIGHT(Ruimtestaat[[#This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75" s="211">
        <f>IF(T75&gt;0,VLOOKUP($J75,Ruimtegroepen[],3,FALSE)*VLOOKUP($L75,Vloersoorten[],3,FALSE)*VLOOKUP($S75,Frequenties[],3,FALSE)*VLOOKUP($A75,Locaties[],3,FALSE),0)</f>
        <v>100</v>
      </c>
      <c r="V75" s="211">
        <f>Ruimtestaat[[#This Row],[Uitvoeringen werkdagen]]*Ruimtestaat[[#This Row],[Oppervlak (netto)]]</f>
        <v>2748</v>
      </c>
      <c r="W75" s="257">
        <f>IF(U75&gt;0,Ruimtestaat[[#This Row],[Prest. (m2 /jaar) werkdagen]]/Ruimtestaat[[#This Row],[Norm (m2/uur) werkdagen]],0)</f>
        <v>27.48</v>
      </c>
      <c r="X75" s="258">
        <f>Ruimtestaat[[#This Row],[uren / jaar werkdagen]]*Tariefsopbouw!$D$38</f>
        <v>687</v>
      </c>
      <c r="Y75" s="33"/>
      <c r="Z75" s="33">
        <f>IF(Ruimtestaat[[#This Row],[Frequentie weekend]]&gt;0,VALUE(LEFT(Y75,1))*R75,0)</f>
        <v>0</v>
      </c>
      <c r="AA75" s="33">
        <f>IF($Z75&gt;0,VLOOKUP($J75,Ruimtegroepen[],3,FALSE)*VLOOKUP($L75,Vloersoorten[],3,FALSE)*VLOOKUP($Y75,Frequenties[],3,FALSE)*VLOOKUP(#REF!,Locaties[],3,FALSE),0)</f>
        <v>0</v>
      </c>
      <c r="AB75" s="33"/>
      <c r="AC75" s="33"/>
      <c r="AD75" s="33">
        <f>Ruimtestaat[[#This Row],[uren / jaar weekend]]*Tariefsopbouw!$D$40</f>
        <v>0</v>
      </c>
      <c r="AE75" s="88">
        <f>Ruimtestaat[[#This Row],[Prest. (m2 /jaar) weekend]]+Ruimtestaat[[#This Row],[Prest. (m2 /jaar) werkdagen]]</f>
        <v>2748</v>
      </c>
      <c r="AF75" s="88">
        <f>Ruimtestaat[[#This Row],[uren / jaar weekend]]+Ruimtestaat[[#This Row],[uren / jaar werkdagen]]</f>
        <v>27.48</v>
      </c>
      <c r="AG75" s="89">
        <f>Ruimtestaat[[#This Row],[kosten / jaar weekend]]+Ruimtestaat[[#This Row],[kosten / jaar werkdagen]]</f>
        <v>687</v>
      </c>
      <c r="AH75" s="114"/>
      <c r="HL75" s="87"/>
    </row>
    <row r="76" spans="1:220" ht="15" customHeight="1">
      <c r="A76" s="129">
        <v>1</v>
      </c>
      <c r="B76" s="21" t="str">
        <f>VLOOKUP(Ruimtestaat[[#This Row],[Code]],Locaties[#All],2,FALSE)</f>
        <v>Groenlo</v>
      </c>
      <c r="C76" s="21" t="str">
        <f>VLOOKUP(Ruimtestaat[[#This Row],[Code]],Locaties[#All],4,FALSE)</f>
        <v>Deken Hooijmanssingel 1</v>
      </c>
      <c r="D76" s="21" t="str">
        <f>VLOOKUP(Ruimtestaat[[#This Row],[Code]],Locaties[#All],5,FALSE)</f>
        <v>7141 EA</v>
      </c>
      <c r="E76" s="195" t="str">
        <f>VLOOKUP(Ruimtestaat[[#This Row],[Code]],Locaties[#All],6,FALSE)</f>
        <v>Groenlo</v>
      </c>
      <c r="F76" s="195" t="s">
        <v>774</v>
      </c>
      <c r="G76" s="195" t="s">
        <v>776</v>
      </c>
      <c r="H76" s="195">
        <v>574</v>
      </c>
      <c r="I76" s="242" t="s">
        <v>445</v>
      </c>
      <c r="J76" s="195">
        <v>12</v>
      </c>
      <c r="K76" s="242" t="str">
        <f>VLOOKUP(Ruimtestaat[[#This Row],[Ruimte code]],Ruimtegroepen[#All],2,FALSE)</f>
        <v>Groepruimte / kantine</v>
      </c>
      <c r="L76" s="211" t="s">
        <v>109</v>
      </c>
      <c r="M76" s="195" t="s">
        <v>38</v>
      </c>
      <c r="N76" s="197">
        <v>55.65</v>
      </c>
      <c r="O76" s="209"/>
      <c r="P76" s="241" t="str">
        <f>VLOOKUP(Ruimtestaat[[#This Row],[Ruimte code]],Ruimtegroepen[#All],4,FALSE)</f>
        <v>V  (Verkeersruimte)</v>
      </c>
      <c r="Q76" s="210"/>
      <c r="R76" s="211">
        <v>40</v>
      </c>
      <c r="S76" s="211" t="s">
        <v>2</v>
      </c>
      <c r="T76" s="211">
        <f>IF(R76&gt;0,IF(RIGHT(Ruimtestaat[[#This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76" s="211">
        <f>IF(T76&gt;0,VLOOKUP($J76,Ruimtegroepen[],3,FALSE)*VLOOKUP($L76,Vloersoorten[],3,FALSE)*VLOOKUP($S76,Frequenties[],3,FALSE)*VLOOKUP($A76,Locaties[],3,FALSE),0)</f>
        <v>100</v>
      </c>
      <c r="V76" s="211">
        <f>Ruimtestaat[[#This Row],[Uitvoeringen werkdagen]]*Ruimtestaat[[#This Row],[Oppervlak (netto)]]</f>
        <v>11130</v>
      </c>
      <c r="W76" s="257">
        <f>IF(U76&gt;0,Ruimtestaat[[#This Row],[Prest. (m2 /jaar) werkdagen]]/Ruimtestaat[[#This Row],[Norm (m2/uur) werkdagen]],0)</f>
        <v>111.3</v>
      </c>
      <c r="X76" s="258">
        <f>Ruimtestaat[[#This Row],[uren / jaar werkdagen]]*Tariefsopbouw!$D$38</f>
        <v>2782.5</v>
      </c>
      <c r="Y76" s="33"/>
      <c r="Z76" s="33">
        <f>IF(Ruimtestaat[[#This Row],[Frequentie weekend]]&gt;0,VALUE(LEFT(Y76,1))*R76,0)</f>
        <v>0</v>
      </c>
      <c r="AA76" s="33">
        <f>IF($Z76&gt;0,VLOOKUP($J76,Ruimtegroepen[],3,FALSE)*VLOOKUP($L76,Vloersoorten[],3,FALSE)*VLOOKUP($Y76,Frequenties[],3,FALSE)*VLOOKUP(#REF!,Locaties[],3,FALSE),0)</f>
        <v>0</v>
      </c>
      <c r="AB76" s="33"/>
      <c r="AC76" s="33"/>
      <c r="AD76" s="33">
        <f>Ruimtestaat[[#This Row],[uren / jaar weekend]]*Tariefsopbouw!$D$40</f>
        <v>0</v>
      </c>
      <c r="AE76" s="88">
        <f>Ruimtestaat[[#This Row],[Prest. (m2 /jaar) weekend]]+Ruimtestaat[[#This Row],[Prest. (m2 /jaar) werkdagen]]</f>
        <v>11130</v>
      </c>
      <c r="AF76" s="88">
        <f>Ruimtestaat[[#This Row],[uren / jaar weekend]]+Ruimtestaat[[#This Row],[uren / jaar werkdagen]]</f>
        <v>111.3</v>
      </c>
      <c r="AG76" s="89">
        <f>Ruimtestaat[[#This Row],[kosten / jaar weekend]]+Ruimtestaat[[#This Row],[kosten / jaar werkdagen]]</f>
        <v>2782.5</v>
      </c>
      <c r="AH76" s="114"/>
      <c r="HL76" s="87"/>
    </row>
    <row r="77" spans="1:220" ht="15" customHeight="1">
      <c r="A77" s="129">
        <v>1</v>
      </c>
      <c r="B77" s="21" t="str">
        <f>VLOOKUP(Ruimtestaat[[#This Row],[Code]],Locaties[#All],2,FALSE)</f>
        <v>Groenlo</v>
      </c>
      <c r="C77" s="21" t="str">
        <f>VLOOKUP(Ruimtestaat[[#This Row],[Code]],Locaties[#All],4,FALSE)</f>
        <v>Deken Hooijmanssingel 1</v>
      </c>
      <c r="D77" s="21" t="str">
        <f>VLOOKUP(Ruimtestaat[[#This Row],[Code]],Locaties[#All],5,FALSE)</f>
        <v>7141 EA</v>
      </c>
      <c r="E77" s="195" t="str">
        <f>VLOOKUP(Ruimtestaat[[#This Row],[Code]],Locaties[#All],6,FALSE)</f>
        <v>Groenlo</v>
      </c>
      <c r="F77" s="195" t="s">
        <v>774</v>
      </c>
      <c r="G77" s="195" t="s">
        <v>776</v>
      </c>
      <c r="H77" s="195">
        <v>575</v>
      </c>
      <c r="I77" s="242" t="s">
        <v>444</v>
      </c>
      <c r="J77" s="195">
        <v>12</v>
      </c>
      <c r="K77" s="242" t="str">
        <f>VLOOKUP(Ruimtestaat[[#This Row],[Ruimte code]],Ruimtegroepen[#All],2,FALSE)</f>
        <v>Groepruimte / kantine</v>
      </c>
      <c r="L77" s="195" t="s">
        <v>112</v>
      </c>
      <c r="M77" s="195" t="s">
        <v>130</v>
      </c>
      <c r="N77" s="197">
        <v>141.69</v>
      </c>
      <c r="O77" s="209"/>
      <c r="P77" s="241" t="str">
        <f>VLOOKUP(Ruimtestaat[[#This Row],[Ruimte code]],Ruimtegroepen[#All],4,FALSE)</f>
        <v>V  (Verkeersruimte)</v>
      </c>
      <c r="Q77" s="210"/>
      <c r="R77" s="211">
        <v>40</v>
      </c>
      <c r="S77" s="211" t="s">
        <v>2</v>
      </c>
      <c r="T77" s="211">
        <f>IF(R77&gt;0,IF(RIGHT(Ruimtestaat[[#This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77" s="211">
        <f>IF(T77&gt;0,VLOOKUP($J77,Ruimtegroepen[],3,FALSE)*VLOOKUP($L77,Vloersoorten[],3,FALSE)*VLOOKUP($S77,Frequenties[],3,FALSE)*VLOOKUP($A77,Locaties[],3,FALSE),0)</f>
        <v>100</v>
      </c>
      <c r="V77" s="211">
        <f>Ruimtestaat[[#This Row],[Uitvoeringen werkdagen]]*Ruimtestaat[[#This Row],[Oppervlak (netto)]]</f>
        <v>28338</v>
      </c>
      <c r="W77" s="257">
        <f>IF(U77&gt;0,Ruimtestaat[[#This Row],[Prest. (m2 /jaar) werkdagen]]/Ruimtestaat[[#This Row],[Norm (m2/uur) werkdagen]],0)</f>
        <v>283.38</v>
      </c>
      <c r="X77" s="258">
        <f>Ruimtestaat[[#This Row],[uren / jaar werkdagen]]*Tariefsopbouw!$D$38</f>
        <v>7084.5</v>
      </c>
      <c r="Y77" s="33"/>
      <c r="Z77" s="33">
        <f>IF(Ruimtestaat[[#This Row],[Frequentie weekend]]&gt;0,VALUE(LEFT(Y77,1))*R77,0)</f>
        <v>0</v>
      </c>
      <c r="AA77" s="33">
        <f>IF($Z77&gt;0,VLOOKUP($J77,Ruimtegroepen[],3,FALSE)*VLOOKUP($L77,Vloersoorten[],3,FALSE)*VLOOKUP($Y77,Frequenties[],3,FALSE)*VLOOKUP(#REF!,Locaties[],3,FALSE),0)</f>
        <v>0</v>
      </c>
      <c r="AB77" s="33"/>
      <c r="AC77" s="33"/>
      <c r="AD77" s="33">
        <f>Ruimtestaat[[#This Row],[uren / jaar weekend]]*Tariefsopbouw!$D$40</f>
        <v>0</v>
      </c>
      <c r="AE77" s="88">
        <f>Ruimtestaat[[#This Row],[Prest. (m2 /jaar) weekend]]+Ruimtestaat[[#This Row],[Prest. (m2 /jaar) werkdagen]]</f>
        <v>28338</v>
      </c>
      <c r="AF77" s="88">
        <f>Ruimtestaat[[#This Row],[uren / jaar weekend]]+Ruimtestaat[[#This Row],[uren / jaar werkdagen]]</f>
        <v>283.38</v>
      </c>
      <c r="AG77" s="89">
        <f>Ruimtestaat[[#This Row],[kosten / jaar weekend]]+Ruimtestaat[[#This Row],[kosten / jaar werkdagen]]</f>
        <v>7084.5</v>
      </c>
      <c r="AH77" s="114"/>
      <c r="HL77" s="87"/>
    </row>
    <row r="78" spans="1:220" ht="15" customHeight="1">
      <c r="A78" s="129">
        <v>1</v>
      </c>
      <c r="B78" s="21" t="str">
        <f>VLOOKUP(Ruimtestaat[[#This Row],[Code]],Locaties[#All],2,FALSE)</f>
        <v>Groenlo</v>
      </c>
      <c r="C78" s="21" t="str">
        <f>VLOOKUP(Ruimtestaat[[#This Row],[Code]],Locaties[#All],4,FALSE)</f>
        <v>Deken Hooijmanssingel 1</v>
      </c>
      <c r="D78" s="21" t="str">
        <f>VLOOKUP(Ruimtestaat[[#This Row],[Code]],Locaties[#All],5,FALSE)</f>
        <v>7141 EA</v>
      </c>
      <c r="E78" s="195" t="str">
        <f>VLOOKUP(Ruimtestaat[[#This Row],[Code]],Locaties[#All],6,FALSE)</f>
        <v>Groenlo</v>
      </c>
      <c r="F78" s="195" t="s">
        <v>450</v>
      </c>
      <c r="G78" s="195" t="s">
        <v>776</v>
      </c>
      <c r="H78" s="195">
        <v>576</v>
      </c>
      <c r="I78" s="242" t="s">
        <v>382</v>
      </c>
      <c r="J78" s="211">
        <v>7</v>
      </c>
      <c r="K78" s="242" t="str">
        <f>VLOOKUP(Ruimtestaat[[#This Row],[Ruimte code]],Ruimtegroepen[#All],2,FALSE)</f>
        <v>Entree</v>
      </c>
      <c r="L78" s="211" t="s">
        <v>109</v>
      </c>
      <c r="M78" s="195" t="s">
        <v>778</v>
      </c>
      <c r="N78" s="197">
        <v>5.18</v>
      </c>
      <c r="O78" s="209"/>
      <c r="P78" s="241" t="str">
        <f>VLOOKUP(Ruimtestaat[[#This Row],[Ruimte code]],Ruimtegroepen[#All],4,FALSE)</f>
        <v>V  (Verkeersruimte)</v>
      </c>
      <c r="Q78" s="210"/>
      <c r="R78" s="211">
        <v>40</v>
      </c>
      <c r="S78" s="211" t="s">
        <v>2</v>
      </c>
      <c r="T78" s="211">
        <f>IF(R78&gt;0,IF(RIGHT(Ruimtestaat[[#This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78" s="211">
        <f>IF(T78&gt;0,VLOOKUP($J78,Ruimtegroepen[],3,FALSE)*VLOOKUP($L78,Vloersoorten[],3,FALSE)*VLOOKUP($S78,Frequenties[],3,FALSE)*VLOOKUP($A78,Locaties[],3,FALSE),0)</f>
        <v>100</v>
      </c>
      <c r="V78" s="211">
        <f>Ruimtestaat[[#This Row],[Uitvoeringen werkdagen]]*Ruimtestaat[[#This Row],[Oppervlak (netto)]]</f>
        <v>1036</v>
      </c>
      <c r="W78" s="257">
        <f>IF(U78&gt;0,Ruimtestaat[[#This Row],[Prest. (m2 /jaar) werkdagen]]/Ruimtestaat[[#This Row],[Norm (m2/uur) werkdagen]],0)</f>
        <v>10.36</v>
      </c>
      <c r="X78" s="258">
        <f>Ruimtestaat[[#This Row],[uren / jaar werkdagen]]*Tariefsopbouw!$D$38</f>
        <v>259</v>
      </c>
      <c r="Y78" s="33"/>
      <c r="Z78" s="33">
        <f>IF(Ruimtestaat[[#This Row],[Frequentie weekend]]&gt;0,VALUE(LEFT(Y78,1))*R78,0)</f>
        <v>0</v>
      </c>
      <c r="AA78" s="33">
        <f>IF($Z78&gt;0,VLOOKUP($J78,Ruimtegroepen[],3,FALSE)*VLOOKUP($L78,Vloersoorten[],3,FALSE)*VLOOKUP($Y78,Frequenties[],3,FALSE)*VLOOKUP(#REF!,Locaties[],3,FALSE),0)</f>
        <v>0</v>
      </c>
      <c r="AB78" s="33"/>
      <c r="AC78" s="33"/>
      <c r="AD78" s="33">
        <f>Ruimtestaat[[#This Row],[uren / jaar weekend]]*Tariefsopbouw!$D$40</f>
        <v>0</v>
      </c>
      <c r="AE78" s="88">
        <f>Ruimtestaat[[#This Row],[Prest. (m2 /jaar) weekend]]+Ruimtestaat[[#This Row],[Prest. (m2 /jaar) werkdagen]]</f>
        <v>1036</v>
      </c>
      <c r="AF78" s="88">
        <f>Ruimtestaat[[#This Row],[uren / jaar weekend]]+Ruimtestaat[[#This Row],[uren / jaar werkdagen]]</f>
        <v>10.36</v>
      </c>
      <c r="AG78" s="89">
        <f>Ruimtestaat[[#This Row],[kosten / jaar weekend]]+Ruimtestaat[[#This Row],[kosten / jaar werkdagen]]</f>
        <v>259</v>
      </c>
      <c r="AH78" s="114"/>
      <c r="HL78" s="87"/>
    </row>
    <row r="79" spans="1:220" ht="15" customHeight="1">
      <c r="A79" s="129">
        <v>1</v>
      </c>
      <c r="B79" s="21" t="str">
        <f>VLOOKUP(Ruimtestaat[[#This Row],[Code]],Locaties[#All],2,FALSE)</f>
        <v>Groenlo</v>
      </c>
      <c r="C79" s="21" t="str">
        <f>VLOOKUP(Ruimtestaat[[#This Row],[Code]],Locaties[#All],4,FALSE)</f>
        <v>Deken Hooijmanssingel 1</v>
      </c>
      <c r="D79" s="21" t="str">
        <f>VLOOKUP(Ruimtestaat[[#This Row],[Code]],Locaties[#All],5,FALSE)</f>
        <v>7141 EA</v>
      </c>
      <c r="E79" s="195" t="str">
        <f>VLOOKUP(Ruimtestaat[[#This Row],[Code]],Locaties[#All],6,FALSE)</f>
        <v>Groenlo</v>
      </c>
      <c r="F79" s="195" t="s">
        <v>450</v>
      </c>
      <c r="G79" s="195" t="s">
        <v>776</v>
      </c>
      <c r="H79" s="195">
        <v>577</v>
      </c>
      <c r="I79" s="242" t="s">
        <v>820</v>
      </c>
      <c r="J79" s="195">
        <v>2</v>
      </c>
      <c r="K79" s="242" t="str">
        <f>VLOOKUP(Ruimtestaat[[#This Row],[Ruimte code]],Ruimtegroepen[#All],2,FALSE)</f>
        <v>Kantoren</v>
      </c>
      <c r="L79" s="211" t="s">
        <v>109</v>
      </c>
      <c r="M79" s="195" t="s">
        <v>38</v>
      </c>
      <c r="N79" s="197">
        <v>34.5</v>
      </c>
      <c r="O79" s="209"/>
      <c r="P79" s="241" t="str">
        <f>VLOOKUP(Ruimtestaat[[#This Row],[Ruimte code]],Ruimtegroepen[#All],4,FALSE)</f>
        <v>B  (Bureauruimte)</v>
      </c>
      <c r="Q79" s="210"/>
      <c r="R79" s="211">
        <v>40</v>
      </c>
      <c r="S79" s="211" t="s">
        <v>2</v>
      </c>
      <c r="T79" s="211">
        <f>IF(R79&gt;0,IF(RIGHT(Ruimtestaat[[#This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79" s="211">
        <f>IF(T79&gt;0,VLOOKUP($J79,Ruimtegroepen[],3,FALSE)*VLOOKUP($L79,Vloersoorten[],3,FALSE)*VLOOKUP($S79,Frequenties[],3,FALSE)*VLOOKUP($A79,Locaties[],3,FALSE),0)</f>
        <v>100</v>
      </c>
      <c r="V79" s="211">
        <f>Ruimtestaat[[#This Row],[Uitvoeringen werkdagen]]*Ruimtestaat[[#This Row],[Oppervlak (netto)]]</f>
        <v>6900</v>
      </c>
      <c r="W79" s="257">
        <f>IF(U79&gt;0,Ruimtestaat[[#This Row],[Prest. (m2 /jaar) werkdagen]]/Ruimtestaat[[#This Row],[Norm (m2/uur) werkdagen]],0)</f>
        <v>69</v>
      </c>
      <c r="X79" s="258">
        <f>Ruimtestaat[[#This Row],[uren / jaar werkdagen]]*Tariefsopbouw!$D$38</f>
        <v>1725</v>
      </c>
      <c r="Y79" s="33"/>
      <c r="Z79" s="33">
        <f>IF(Ruimtestaat[[#This Row],[Frequentie weekend]]&gt;0,VALUE(LEFT(Y79,1))*R79,0)</f>
        <v>0</v>
      </c>
      <c r="AA79" s="33">
        <f>IF($Z79&gt;0,VLOOKUP($J79,Ruimtegroepen[],3,FALSE)*VLOOKUP($L79,Vloersoorten[],3,FALSE)*VLOOKUP($Y79,Frequenties[],3,FALSE)*VLOOKUP(#REF!,Locaties[],3,FALSE),0)</f>
        <v>0</v>
      </c>
      <c r="AB79" s="33"/>
      <c r="AC79" s="33"/>
      <c r="AD79" s="33">
        <f>Ruimtestaat[[#This Row],[uren / jaar weekend]]*Tariefsopbouw!$D$40</f>
        <v>0</v>
      </c>
      <c r="AE79" s="88">
        <f>Ruimtestaat[[#This Row],[Prest. (m2 /jaar) weekend]]+Ruimtestaat[[#This Row],[Prest. (m2 /jaar) werkdagen]]</f>
        <v>6900</v>
      </c>
      <c r="AF79" s="88">
        <f>Ruimtestaat[[#This Row],[uren / jaar weekend]]+Ruimtestaat[[#This Row],[uren / jaar werkdagen]]</f>
        <v>69</v>
      </c>
      <c r="AG79" s="89">
        <f>Ruimtestaat[[#This Row],[kosten / jaar weekend]]+Ruimtestaat[[#This Row],[kosten / jaar werkdagen]]</f>
        <v>1725</v>
      </c>
      <c r="AH79" s="114"/>
      <c r="HL79" s="87"/>
    </row>
    <row r="80" spans="1:220" ht="15" customHeight="1">
      <c r="A80" s="129">
        <v>1</v>
      </c>
      <c r="B80" s="21" t="str">
        <f>VLOOKUP(Ruimtestaat[[#This Row],[Code]],Locaties[#All],2,FALSE)</f>
        <v>Groenlo</v>
      </c>
      <c r="C80" s="21" t="str">
        <f>VLOOKUP(Ruimtestaat[[#This Row],[Code]],Locaties[#All],4,FALSE)</f>
        <v>Deken Hooijmanssingel 1</v>
      </c>
      <c r="D80" s="21" t="str">
        <f>VLOOKUP(Ruimtestaat[[#This Row],[Code]],Locaties[#All],5,FALSE)</f>
        <v>7141 EA</v>
      </c>
      <c r="E80" s="195" t="str">
        <f>VLOOKUP(Ruimtestaat[[#This Row],[Code]],Locaties[#All],6,FALSE)</f>
        <v>Groenlo</v>
      </c>
      <c r="F80" s="195" t="s">
        <v>450</v>
      </c>
      <c r="G80" s="195" t="s">
        <v>776</v>
      </c>
      <c r="H80" s="195">
        <v>578</v>
      </c>
      <c r="I80" s="242" t="s">
        <v>272</v>
      </c>
      <c r="J80" s="195">
        <v>10</v>
      </c>
      <c r="K80" s="242" t="str">
        <f>VLOOKUP(Ruimtestaat[[#This Row],[Ruimte code]],Ruimtegroepen[#All],2,FALSE)</f>
        <v>Trappenhuizen/lift</v>
      </c>
      <c r="L80" s="195" t="s">
        <v>110</v>
      </c>
      <c r="M80" s="195" t="s">
        <v>133</v>
      </c>
      <c r="N80" s="197">
        <v>3.27</v>
      </c>
      <c r="O80" s="209"/>
      <c r="P80" s="241" t="str">
        <f>VLOOKUP(Ruimtestaat[[#This Row],[Ruimte code]],Ruimtegroepen[#All],4,FALSE)</f>
        <v>V  (Verkeersruimte)</v>
      </c>
      <c r="Q80" s="210"/>
      <c r="R80" s="211">
        <v>40</v>
      </c>
      <c r="S80" s="211" t="s">
        <v>18</v>
      </c>
      <c r="T80" s="211">
        <f>IF(R80&gt;0,IF(RIGHT(Ruimtestaat[[#This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U80" s="211">
        <f>IF(T80&gt;0,VLOOKUP($J80,Ruimtegroepen[],3,FALSE)*VLOOKUP($L80,Vloersoorten[],3,FALSE)*VLOOKUP($S80,Frequenties[],3,FALSE)*VLOOKUP($A80,Locaties[],3,FALSE),0)</f>
        <v>100</v>
      </c>
      <c r="V80" s="211">
        <f>Ruimtestaat[[#This Row],[Uitvoeringen werkdagen]]*Ruimtestaat[[#This Row],[Oppervlak (netto)]]</f>
        <v>392.4</v>
      </c>
      <c r="W80" s="257">
        <f>IF(U80&gt;0,Ruimtestaat[[#This Row],[Prest. (m2 /jaar) werkdagen]]/Ruimtestaat[[#This Row],[Norm (m2/uur) werkdagen]],0)</f>
        <v>3.9239999999999999</v>
      </c>
      <c r="X80" s="258">
        <f>Ruimtestaat[[#This Row],[uren / jaar werkdagen]]*Tariefsopbouw!$D$38</f>
        <v>98.1</v>
      </c>
      <c r="Y80" s="33"/>
      <c r="Z80" s="33">
        <f>IF(Ruimtestaat[[#This Row],[Frequentie weekend]]&gt;0,VALUE(LEFT(Y80,1))*R80,0)</f>
        <v>0</v>
      </c>
      <c r="AA80" s="33">
        <f>IF($Z80&gt;0,VLOOKUP($J80,Ruimtegroepen[],3,FALSE)*VLOOKUP($L80,Vloersoorten[],3,FALSE)*VLOOKUP($Y80,Frequenties[],3,FALSE)*VLOOKUP(#REF!,Locaties[],3,FALSE),0)</f>
        <v>0</v>
      </c>
      <c r="AB80" s="33"/>
      <c r="AC80" s="33"/>
      <c r="AD80" s="33">
        <f>Ruimtestaat[[#This Row],[uren / jaar weekend]]*Tariefsopbouw!$D$40</f>
        <v>0</v>
      </c>
      <c r="AE80" s="88">
        <f>Ruimtestaat[[#This Row],[Prest. (m2 /jaar) weekend]]+Ruimtestaat[[#This Row],[Prest. (m2 /jaar) werkdagen]]</f>
        <v>392.4</v>
      </c>
      <c r="AF80" s="88">
        <f>Ruimtestaat[[#This Row],[uren / jaar weekend]]+Ruimtestaat[[#This Row],[uren / jaar werkdagen]]</f>
        <v>3.9239999999999999</v>
      </c>
      <c r="AG80" s="89">
        <f>Ruimtestaat[[#This Row],[kosten / jaar weekend]]+Ruimtestaat[[#This Row],[kosten / jaar werkdagen]]</f>
        <v>98.1</v>
      </c>
      <c r="AH80" s="114"/>
      <c r="HL80" s="87"/>
    </row>
    <row r="81" spans="1:220" ht="15" customHeight="1">
      <c r="A81" s="129">
        <v>1</v>
      </c>
      <c r="B81" s="21" t="str">
        <f>VLOOKUP(Ruimtestaat[[#This Row],[Code]],Locaties[#All],2,FALSE)</f>
        <v>Groenlo</v>
      </c>
      <c r="C81" s="21" t="str">
        <f>VLOOKUP(Ruimtestaat[[#This Row],[Code]],Locaties[#All],4,FALSE)</f>
        <v>Deken Hooijmanssingel 1</v>
      </c>
      <c r="D81" s="21" t="str">
        <f>VLOOKUP(Ruimtestaat[[#This Row],[Code]],Locaties[#All],5,FALSE)</f>
        <v>7141 EA</v>
      </c>
      <c r="E81" s="195" t="str">
        <f>VLOOKUP(Ruimtestaat[[#This Row],[Code]],Locaties[#All],6,FALSE)</f>
        <v>Groenlo</v>
      </c>
      <c r="F81" s="195" t="s">
        <v>450</v>
      </c>
      <c r="G81" s="195" t="s">
        <v>776</v>
      </c>
      <c r="H81" s="195">
        <v>579</v>
      </c>
      <c r="I81" s="242" t="s">
        <v>450</v>
      </c>
      <c r="J81" s="195">
        <v>8</v>
      </c>
      <c r="K81" s="242" t="str">
        <f>VLOOKUP(Ruimtestaat[[#This Row],[Ruimte code]],Ruimtegroepen[#All],2,FALSE)</f>
        <v>Multifunctionele ruimte</v>
      </c>
      <c r="L81" s="195" t="s">
        <v>112</v>
      </c>
      <c r="M81" s="195" t="s">
        <v>130</v>
      </c>
      <c r="N81" s="197">
        <v>309.31</v>
      </c>
      <c r="O81" s="209"/>
      <c r="P81" s="241" t="str">
        <f>VLOOKUP(Ruimtestaat[[#This Row],[Ruimte code]],Ruimtegroepen[#All],4,FALSE)</f>
        <v>L  (Lesruimte)</v>
      </c>
      <c r="Q81" s="210"/>
      <c r="R81" s="211">
        <v>40</v>
      </c>
      <c r="S81" s="211" t="s">
        <v>2</v>
      </c>
      <c r="T81" s="211">
        <f>IF(R81&gt;0,IF(RIGHT(Ruimtestaat[[#This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81" s="211">
        <f>IF(T81&gt;0,VLOOKUP($J81,Ruimtegroepen[],3,FALSE)*VLOOKUP($L81,Vloersoorten[],3,FALSE)*VLOOKUP($S81,Frequenties[],3,FALSE)*VLOOKUP($A81,Locaties[],3,FALSE),0)</f>
        <v>100</v>
      </c>
      <c r="V81" s="211">
        <f>Ruimtestaat[[#This Row],[Uitvoeringen werkdagen]]*Ruimtestaat[[#This Row],[Oppervlak (netto)]]</f>
        <v>61862</v>
      </c>
      <c r="W81" s="257">
        <f>IF(U81&gt;0,Ruimtestaat[[#This Row],[Prest. (m2 /jaar) werkdagen]]/Ruimtestaat[[#This Row],[Norm (m2/uur) werkdagen]],0)</f>
        <v>618.62</v>
      </c>
      <c r="X81" s="258">
        <f>Ruimtestaat[[#This Row],[uren / jaar werkdagen]]*Tariefsopbouw!$D$38</f>
        <v>15465.5</v>
      </c>
      <c r="Y81" s="33"/>
      <c r="Z81" s="33">
        <f>IF(Ruimtestaat[[#This Row],[Frequentie weekend]]&gt;0,VALUE(LEFT(Y81,1))*R81,0)</f>
        <v>0</v>
      </c>
      <c r="AA81" s="33">
        <f>IF($Z81&gt;0,VLOOKUP($J81,Ruimtegroepen[],3,FALSE)*VLOOKUP($L81,Vloersoorten[],3,FALSE)*VLOOKUP($Y81,Frequenties[],3,FALSE)*VLOOKUP(#REF!,Locaties[],3,FALSE),0)</f>
        <v>0</v>
      </c>
      <c r="AB81" s="33"/>
      <c r="AC81" s="33"/>
      <c r="AD81" s="33">
        <f>Ruimtestaat[[#This Row],[uren / jaar weekend]]*Tariefsopbouw!$D$40</f>
        <v>0</v>
      </c>
      <c r="AE81" s="88">
        <f>Ruimtestaat[[#This Row],[Prest. (m2 /jaar) weekend]]+Ruimtestaat[[#This Row],[Prest. (m2 /jaar) werkdagen]]</f>
        <v>61862</v>
      </c>
      <c r="AF81" s="88">
        <f>Ruimtestaat[[#This Row],[uren / jaar weekend]]+Ruimtestaat[[#This Row],[uren / jaar werkdagen]]</f>
        <v>618.62</v>
      </c>
      <c r="AG81" s="89">
        <f>Ruimtestaat[[#This Row],[kosten / jaar weekend]]+Ruimtestaat[[#This Row],[kosten / jaar werkdagen]]</f>
        <v>15465.5</v>
      </c>
      <c r="HL81" s="87"/>
    </row>
    <row r="82" spans="1:220" ht="15" customHeight="1">
      <c r="A82" s="129">
        <v>1</v>
      </c>
      <c r="B82" s="21" t="str">
        <f>VLOOKUP(Ruimtestaat[[#This Row],[Code]],Locaties[#All],2,FALSE)</f>
        <v>Groenlo</v>
      </c>
      <c r="C82" s="21" t="str">
        <f>VLOOKUP(Ruimtestaat[[#This Row],[Code]],Locaties[#All],4,FALSE)</f>
        <v>Deken Hooijmanssingel 1</v>
      </c>
      <c r="D82" s="21" t="str">
        <f>VLOOKUP(Ruimtestaat[[#This Row],[Code]],Locaties[#All],5,FALSE)</f>
        <v>7141 EA</v>
      </c>
      <c r="E82" s="195" t="str">
        <f>VLOOKUP(Ruimtestaat[[#This Row],[Code]],Locaties[#All],6,FALSE)</f>
        <v>Groenlo</v>
      </c>
      <c r="F82" s="195" t="s">
        <v>450</v>
      </c>
      <c r="G82" s="195" t="s">
        <v>776</v>
      </c>
      <c r="H82" s="195">
        <v>580</v>
      </c>
      <c r="I82" s="242" t="s">
        <v>22</v>
      </c>
      <c r="J82" s="195">
        <v>5</v>
      </c>
      <c r="K82" s="242" t="str">
        <f>VLOOKUP(Ruimtestaat[[#This Row],[Ruimte code]],Ruimtegroepen[#All],2,FALSE)</f>
        <v>Sanitair</v>
      </c>
      <c r="L82" s="211" t="s">
        <v>110</v>
      </c>
      <c r="M82" s="195" t="s">
        <v>133</v>
      </c>
      <c r="N82" s="197">
        <v>3.4</v>
      </c>
      <c r="O82" s="209"/>
      <c r="P82" s="241" t="str">
        <f>VLOOKUP(Ruimtestaat[[#This Row],[Ruimte code]],Ruimtegroepen[#All],4,FALSE)</f>
        <v>S  (Sanitair)</v>
      </c>
      <c r="Q82" s="210"/>
      <c r="R82" s="211">
        <v>40</v>
      </c>
      <c r="S82" s="211" t="s">
        <v>2</v>
      </c>
      <c r="T82" s="211">
        <f>IF(R82&gt;0,IF(RIGHT(Ruimtestaat[[#This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82" s="211">
        <f>IF(T82&gt;0,VLOOKUP($J82,Ruimtegroepen[],3,FALSE)*VLOOKUP($L82,Vloersoorten[],3,FALSE)*VLOOKUP($S82,Frequenties[],3,FALSE)*VLOOKUP($A82,Locaties[],3,FALSE),0)</f>
        <v>100</v>
      </c>
      <c r="V82" s="211">
        <f>Ruimtestaat[[#This Row],[Uitvoeringen werkdagen]]*Ruimtestaat[[#This Row],[Oppervlak (netto)]]</f>
        <v>680</v>
      </c>
      <c r="W82" s="257">
        <f>IF(U82&gt;0,Ruimtestaat[[#This Row],[Prest. (m2 /jaar) werkdagen]]/Ruimtestaat[[#This Row],[Norm (m2/uur) werkdagen]],0)</f>
        <v>6.8</v>
      </c>
      <c r="X82" s="258">
        <f>Ruimtestaat[[#This Row],[uren / jaar werkdagen]]*Tariefsopbouw!$D$38</f>
        <v>170</v>
      </c>
      <c r="Y82" s="33"/>
      <c r="Z82" s="33">
        <f>IF(Ruimtestaat[[#This Row],[Frequentie weekend]]&gt;0,VALUE(LEFT(Y82,1))*R82,0)</f>
        <v>0</v>
      </c>
      <c r="AA82" s="33">
        <f>IF($Z82&gt;0,VLOOKUP($J82,Ruimtegroepen[],3,FALSE)*VLOOKUP($L82,Vloersoorten[],3,FALSE)*VLOOKUP($Y82,Frequenties[],3,FALSE)*VLOOKUP(#REF!,Locaties[],3,FALSE),0)</f>
        <v>0</v>
      </c>
      <c r="AB82" s="33"/>
      <c r="AC82" s="33"/>
      <c r="AD82" s="33">
        <f>Ruimtestaat[[#This Row],[uren / jaar weekend]]*Tariefsopbouw!$D$40</f>
        <v>0</v>
      </c>
      <c r="AE82" s="88">
        <f>Ruimtestaat[[#This Row],[Prest. (m2 /jaar) weekend]]+Ruimtestaat[[#This Row],[Prest. (m2 /jaar) werkdagen]]</f>
        <v>680</v>
      </c>
      <c r="AF82" s="88">
        <f>Ruimtestaat[[#This Row],[uren / jaar weekend]]+Ruimtestaat[[#This Row],[uren / jaar werkdagen]]</f>
        <v>6.8</v>
      </c>
      <c r="AG82" s="89">
        <f>Ruimtestaat[[#This Row],[kosten / jaar weekend]]+Ruimtestaat[[#This Row],[kosten / jaar werkdagen]]</f>
        <v>170</v>
      </c>
      <c r="HL82" s="87"/>
    </row>
    <row r="83" spans="1:220" ht="15" customHeight="1">
      <c r="A83" s="129">
        <v>1</v>
      </c>
      <c r="B83" s="21" t="str">
        <f>VLOOKUP(Ruimtestaat[[#This Row],[Code]],Locaties[#All],2,FALSE)</f>
        <v>Groenlo</v>
      </c>
      <c r="C83" s="21" t="str">
        <f>VLOOKUP(Ruimtestaat[[#This Row],[Code]],Locaties[#All],4,FALSE)</f>
        <v>Deken Hooijmanssingel 1</v>
      </c>
      <c r="D83" s="21" t="str">
        <f>VLOOKUP(Ruimtestaat[[#This Row],[Code]],Locaties[#All],5,FALSE)</f>
        <v>7141 EA</v>
      </c>
      <c r="E83" s="195" t="str">
        <f>VLOOKUP(Ruimtestaat[[#This Row],[Code]],Locaties[#All],6,FALSE)</f>
        <v>Groenlo</v>
      </c>
      <c r="F83" s="195" t="s">
        <v>450</v>
      </c>
      <c r="G83" s="195" t="s">
        <v>776</v>
      </c>
      <c r="H83" s="195">
        <v>581</v>
      </c>
      <c r="I83" s="242" t="s">
        <v>22</v>
      </c>
      <c r="J83" s="195">
        <v>5</v>
      </c>
      <c r="K83" s="242" t="str">
        <f>VLOOKUP(Ruimtestaat[[#This Row],[Ruimte code]],Ruimtegroepen[#All],2,FALSE)</f>
        <v>Sanitair</v>
      </c>
      <c r="L83" s="211" t="s">
        <v>111</v>
      </c>
      <c r="M83" s="195" t="s">
        <v>777</v>
      </c>
      <c r="N83" s="197">
        <v>1.4</v>
      </c>
      <c r="O83" s="209"/>
      <c r="P83" s="241" t="str">
        <f>VLOOKUP(Ruimtestaat[[#This Row],[Ruimte code]],Ruimtegroepen[#All],4,FALSE)</f>
        <v>S  (Sanitair)</v>
      </c>
      <c r="Q83" s="210"/>
      <c r="R83" s="211">
        <v>40</v>
      </c>
      <c r="S83" s="211" t="s">
        <v>2</v>
      </c>
      <c r="T83" s="211">
        <f>IF(R83&gt;0,IF(RIGHT(Ruimtestaat[[#This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83" s="211">
        <f>IF(T83&gt;0,VLOOKUP($J83,Ruimtegroepen[],3,FALSE)*VLOOKUP($L83,Vloersoorten[],3,FALSE)*VLOOKUP($S83,Frequenties[],3,FALSE)*VLOOKUP($A83,Locaties[],3,FALSE),0)</f>
        <v>100</v>
      </c>
      <c r="V83" s="211">
        <f>Ruimtestaat[[#This Row],[Uitvoeringen werkdagen]]*Ruimtestaat[[#This Row],[Oppervlak (netto)]]</f>
        <v>280</v>
      </c>
      <c r="W83" s="257">
        <f>IF(U83&gt;0,Ruimtestaat[[#This Row],[Prest. (m2 /jaar) werkdagen]]/Ruimtestaat[[#This Row],[Norm (m2/uur) werkdagen]],0)</f>
        <v>2.8</v>
      </c>
      <c r="X83" s="258">
        <f>Ruimtestaat[[#This Row],[uren / jaar werkdagen]]*Tariefsopbouw!$D$38</f>
        <v>70</v>
      </c>
      <c r="Y83" s="33"/>
      <c r="Z83" s="33">
        <f>IF(Ruimtestaat[[#This Row],[Frequentie weekend]]&gt;0,VALUE(LEFT(Y83,1))*R83,0)</f>
        <v>0</v>
      </c>
      <c r="AA83" s="33">
        <f>IF($Z83&gt;0,VLOOKUP($J83,Ruimtegroepen[],3,FALSE)*VLOOKUP($L83,Vloersoorten[],3,FALSE)*VLOOKUP($Y83,Frequenties[],3,FALSE)*VLOOKUP(#REF!,Locaties[],3,FALSE),0)</f>
        <v>0</v>
      </c>
      <c r="AB83" s="33"/>
      <c r="AC83" s="33"/>
      <c r="AD83" s="33">
        <f>Ruimtestaat[[#This Row],[uren / jaar weekend]]*Tariefsopbouw!$D$40</f>
        <v>0</v>
      </c>
      <c r="AE83" s="88">
        <f>Ruimtestaat[[#This Row],[Prest. (m2 /jaar) weekend]]+Ruimtestaat[[#This Row],[Prest. (m2 /jaar) werkdagen]]</f>
        <v>280</v>
      </c>
      <c r="AF83" s="88">
        <f>Ruimtestaat[[#This Row],[uren / jaar weekend]]+Ruimtestaat[[#This Row],[uren / jaar werkdagen]]</f>
        <v>2.8</v>
      </c>
      <c r="AG83" s="89">
        <f>Ruimtestaat[[#This Row],[kosten / jaar weekend]]+Ruimtestaat[[#This Row],[kosten / jaar werkdagen]]</f>
        <v>70</v>
      </c>
      <c r="HL83" s="87"/>
    </row>
    <row r="84" spans="1:220" ht="15" customHeight="1">
      <c r="A84" s="129">
        <v>1</v>
      </c>
      <c r="B84" s="21" t="str">
        <f>VLOOKUP(Ruimtestaat[[#This Row],[Code]],Locaties[#All],2,FALSE)</f>
        <v>Groenlo</v>
      </c>
      <c r="C84" s="21" t="str">
        <f>VLOOKUP(Ruimtestaat[[#This Row],[Code]],Locaties[#All],4,FALSE)</f>
        <v>Deken Hooijmanssingel 1</v>
      </c>
      <c r="D84" s="21" t="str">
        <f>VLOOKUP(Ruimtestaat[[#This Row],[Code]],Locaties[#All],5,FALSE)</f>
        <v>7141 EA</v>
      </c>
      <c r="E84" s="195" t="str">
        <f>VLOOKUP(Ruimtestaat[[#This Row],[Code]],Locaties[#All],6,FALSE)</f>
        <v>Groenlo</v>
      </c>
      <c r="F84" s="195" t="s">
        <v>450</v>
      </c>
      <c r="G84" s="195" t="s">
        <v>776</v>
      </c>
      <c r="H84" s="195">
        <v>582</v>
      </c>
      <c r="I84" s="242" t="s">
        <v>441</v>
      </c>
      <c r="J84" s="195">
        <v>1</v>
      </c>
      <c r="K84" s="242" t="str">
        <f>VLOOKUP(Ruimtestaat[[#This Row],[Ruimte code]],Ruimtegroepen[#All],2,FALSE)</f>
        <v>Magazijnen/bergingen</v>
      </c>
      <c r="L84" s="211" t="s">
        <v>110</v>
      </c>
      <c r="M84" s="195" t="s">
        <v>133</v>
      </c>
      <c r="N84" s="197">
        <v>2.29</v>
      </c>
      <c r="O84" s="209"/>
      <c r="P84" s="241" t="str">
        <f>VLOOKUP(Ruimtestaat[[#This Row],[Ruimte code]],Ruimtegroepen[#All],4,FALSE)</f>
        <v>V  (Verkeersruimte)</v>
      </c>
      <c r="Q84" s="210"/>
      <c r="R84" s="211">
        <v>40</v>
      </c>
      <c r="S84" s="211" t="s">
        <v>16</v>
      </c>
      <c r="T84" s="211">
        <f>IF(R84&gt;0,IF(RIGHT(Ruimtestaat[[#This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U84" s="211">
        <f>IF(T84&gt;0,VLOOKUP($J84,Ruimtegroepen[],3,FALSE)*VLOOKUP($L84,Vloersoorten[],3,FALSE)*VLOOKUP($S84,Frequenties[],3,FALSE)*VLOOKUP($A84,Locaties[],3,FALSE),0)</f>
        <v>100</v>
      </c>
      <c r="V84" s="211">
        <f>Ruimtestaat[[#This Row],[Uitvoeringen werkdagen]]*Ruimtestaat[[#This Row],[Oppervlak (netto)]]</f>
        <v>27.48</v>
      </c>
      <c r="W84" s="257">
        <f>IF(U84&gt;0,Ruimtestaat[[#This Row],[Prest. (m2 /jaar) werkdagen]]/Ruimtestaat[[#This Row],[Norm (m2/uur) werkdagen]],0)</f>
        <v>0.27479999999999999</v>
      </c>
      <c r="X84" s="258">
        <f>Ruimtestaat[[#This Row],[uren / jaar werkdagen]]*Tariefsopbouw!$D$38</f>
        <v>6.87</v>
      </c>
      <c r="Y84" s="33"/>
      <c r="Z84" s="33">
        <f>IF(Ruimtestaat[[#This Row],[Frequentie weekend]]&gt;0,VALUE(LEFT(Y84,1))*R84,0)</f>
        <v>0</v>
      </c>
      <c r="AA84" s="33">
        <f>IF($Z84&gt;0,VLOOKUP($J84,Ruimtegroepen[],3,FALSE)*VLOOKUP($L84,Vloersoorten[],3,FALSE)*VLOOKUP($Y84,Frequenties[],3,FALSE)*VLOOKUP(#REF!,Locaties[],3,FALSE),0)</f>
        <v>0</v>
      </c>
      <c r="AB84" s="33"/>
      <c r="AC84" s="33"/>
      <c r="AD84" s="33">
        <f>Ruimtestaat[[#This Row],[uren / jaar weekend]]*Tariefsopbouw!$D$40</f>
        <v>0</v>
      </c>
      <c r="AE84" s="88">
        <f>Ruimtestaat[[#This Row],[Prest. (m2 /jaar) weekend]]+Ruimtestaat[[#This Row],[Prest. (m2 /jaar) werkdagen]]</f>
        <v>27.48</v>
      </c>
      <c r="AF84" s="88">
        <f>Ruimtestaat[[#This Row],[uren / jaar weekend]]+Ruimtestaat[[#This Row],[uren / jaar werkdagen]]</f>
        <v>0.27479999999999999</v>
      </c>
      <c r="AG84" s="89">
        <f>Ruimtestaat[[#This Row],[kosten / jaar weekend]]+Ruimtestaat[[#This Row],[kosten / jaar werkdagen]]</f>
        <v>6.87</v>
      </c>
      <c r="HL84" s="87"/>
    </row>
    <row r="85" spans="1:220" ht="15" customHeight="1">
      <c r="A85" s="129">
        <v>1</v>
      </c>
      <c r="B85" s="21" t="str">
        <f>VLOOKUP(Ruimtestaat[[#This Row],[Code]],Locaties[#All],2,FALSE)</f>
        <v>Groenlo</v>
      </c>
      <c r="C85" s="21" t="str">
        <f>VLOOKUP(Ruimtestaat[[#This Row],[Code]],Locaties[#All],4,FALSE)</f>
        <v>Deken Hooijmanssingel 1</v>
      </c>
      <c r="D85" s="21" t="str">
        <f>VLOOKUP(Ruimtestaat[[#This Row],[Code]],Locaties[#All],5,FALSE)</f>
        <v>7141 EA</v>
      </c>
      <c r="E85" s="195" t="str">
        <f>VLOOKUP(Ruimtestaat[[#This Row],[Code]],Locaties[#All],6,FALSE)</f>
        <v>Groenlo</v>
      </c>
      <c r="F85" s="195" t="s">
        <v>774</v>
      </c>
      <c r="G85" s="195" t="s">
        <v>549</v>
      </c>
      <c r="H85" s="195" t="s">
        <v>550</v>
      </c>
      <c r="I85" s="242" t="s">
        <v>382</v>
      </c>
      <c r="J85" s="195">
        <v>10</v>
      </c>
      <c r="K85" s="242" t="str">
        <f>VLOOKUP(Ruimtestaat[[#This Row],[Ruimte code]],Ruimtegroepen[#All],2,FALSE)</f>
        <v>Trappenhuizen/lift</v>
      </c>
      <c r="L85" s="211" t="s">
        <v>111</v>
      </c>
      <c r="M85" s="195" t="s">
        <v>693</v>
      </c>
      <c r="N85" s="197">
        <v>14.98</v>
      </c>
      <c r="O85" s="209"/>
      <c r="P85" s="241" t="str">
        <f>VLOOKUP(Ruimtestaat[[#This Row],[Ruimte code]],Ruimtegroepen[#All],4,FALSE)</f>
        <v>V  (Verkeersruimte)</v>
      </c>
      <c r="Q85" s="210"/>
      <c r="R85" s="211">
        <v>40</v>
      </c>
      <c r="S85" s="211" t="s">
        <v>2</v>
      </c>
      <c r="T85" s="211">
        <f>IF(R85&gt;0,IF(RIGHT(Ruimtestaat[[#This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85" s="211">
        <f>IF(T85&gt;0,VLOOKUP($J85,Ruimtegroepen[],3,FALSE)*VLOOKUP($L85,Vloersoorten[],3,FALSE)*VLOOKUP($S85,Frequenties[],3,FALSE)*VLOOKUP($A85,Locaties[],3,FALSE),0)</f>
        <v>100</v>
      </c>
      <c r="V85" s="211">
        <f>Ruimtestaat[[#This Row],[Uitvoeringen werkdagen]]*Ruimtestaat[[#This Row],[Oppervlak (netto)]]</f>
        <v>2996</v>
      </c>
      <c r="W85" s="257">
        <f>IF(U85&gt;0,Ruimtestaat[[#This Row],[Prest. (m2 /jaar) werkdagen]]/Ruimtestaat[[#This Row],[Norm (m2/uur) werkdagen]],0)</f>
        <v>29.96</v>
      </c>
      <c r="X85" s="258">
        <f>Ruimtestaat[[#This Row],[uren / jaar werkdagen]]*Tariefsopbouw!$D$38</f>
        <v>749</v>
      </c>
      <c r="Y85" s="33"/>
      <c r="Z85" s="33">
        <f>IF(Ruimtestaat[[#This Row],[Frequentie weekend]]&gt;0,VALUE(LEFT(Y85,1))*R85,0)</f>
        <v>0</v>
      </c>
      <c r="AA85" s="33">
        <f>IF($Z85&gt;0,VLOOKUP($J85,Ruimtegroepen[],3,FALSE)*VLOOKUP($L85,Vloersoorten[],3,FALSE)*VLOOKUP($Y85,Frequenties[],3,FALSE)*VLOOKUP(#REF!,Locaties[],3,FALSE),0)</f>
        <v>0</v>
      </c>
      <c r="AB85" s="33"/>
      <c r="AC85" s="33"/>
      <c r="AD85" s="33">
        <f>Ruimtestaat[[#This Row],[uren / jaar weekend]]*Tariefsopbouw!$D$40</f>
        <v>0</v>
      </c>
      <c r="AE85" s="88">
        <f>Ruimtestaat[[#This Row],[Prest. (m2 /jaar) weekend]]+Ruimtestaat[[#This Row],[Prest. (m2 /jaar) werkdagen]]</f>
        <v>2996</v>
      </c>
      <c r="AF85" s="88">
        <f>Ruimtestaat[[#This Row],[uren / jaar weekend]]+Ruimtestaat[[#This Row],[uren / jaar werkdagen]]</f>
        <v>29.96</v>
      </c>
      <c r="AG85" s="89">
        <f>Ruimtestaat[[#This Row],[kosten / jaar weekend]]+Ruimtestaat[[#This Row],[kosten / jaar werkdagen]]</f>
        <v>749</v>
      </c>
      <c r="HL85" s="87"/>
    </row>
    <row r="86" spans="1:220" ht="15" customHeight="1">
      <c r="A86" s="129">
        <v>1</v>
      </c>
      <c r="B86" s="21" t="str">
        <f>VLOOKUP(Ruimtestaat[[#This Row],[Code]],Locaties[#All],2,FALSE)</f>
        <v>Groenlo</v>
      </c>
      <c r="C86" s="21" t="str">
        <f>VLOOKUP(Ruimtestaat[[#This Row],[Code]],Locaties[#All],4,FALSE)</f>
        <v>Deken Hooijmanssingel 1</v>
      </c>
      <c r="D86" s="21" t="str">
        <f>VLOOKUP(Ruimtestaat[[#This Row],[Code]],Locaties[#All],5,FALSE)</f>
        <v>7141 EA</v>
      </c>
      <c r="E86" s="195" t="str">
        <f>VLOOKUP(Ruimtestaat[[#This Row],[Code]],Locaties[#All],6,FALSE)</f>
        <v>Groenlo</v>
      </c>
      <c r="F86" s="195" t="s">
        <v>774</v>
      </c>
      <c r="G86" s="195" t="s">
        <v>549</v>
      </c>
      <c r="H86" s="195" t="s">
        <v>551</v>
      </c>
      <c r="I86" s="242" t="s">
        <v>382</v>
      </c>
      <c r="J86" s="195">
        <v>10</v>
      </c>
      <c r="K86" s="242" t="str">
        <f>VLOOKUP(Ruimtestaat[[#This Row],[Ruimte code]],Ruimtegroepen[#All],2,FALSE)</f>
        <v>Trappenhuizen/lift</v>
      </c>
      <c r="L86" s="211" t="s">
        <v>111</v>
      </c>
      <c r="M86" s="195" t="s">
        <v>693</v>
      </c>
      <c r="N86" s="197">
        <v>9.01</v>
      </c>
      <c r="O86" s="209"/>
      <c r="P86" s="241" t="str">
        <f>VLOOKUP(Ruimtestaat[[#This Row],[Ruimte code]],Ruimtegroepen[#All],4,FALSE)</f>
        <v>V  (Verkeersruimte)</v>
      </c>
      <c r="Q86" s="210"/>
      <c r="R86" s="211">
        <v>40</v>
      </c>
      <c r="S86" s="211" t="s">
        <v>2</v>
      </c>
      <c r="T86" s="211">
        <f>IF(R86&gt;0,IF(RIGHT(Ruimtestaat[[#This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86" s="211">
        <f>IF(T86&gt;0,VLOOKUP($J86,Ruimtegroepen[],3,FALSE)*VLOOKUP($L86,Vloersoorten[],3,FALSE)*VLOOKUP($S86,Frequenties[],3,FALSE)*VLOOKUP($A86,Locaties[],3,FALSE),0)</f>
        <v>100</v>
      </c>
      <c r="V86" s="211">
        <f>Ruimtestaat[[#This Row],[Uitvoeringen werkdagen]]*Ruimtestaat[[#This Row],[Oppervlak (netto)]]</f>
        <v>1802</v>
      </c>
      <c r="W86" s="257">
        <f>IF(U86&gt;0,Ruimtestaat[[#This Row],[Prest. (m2 /jaar) werkdagen]]/Ruimtestaat[[#This Row],[Norm (m2/uur) werkdagen]],0)</f>
        <v>18.02</v>
      </c>
      <c r="X86" s="258">
        <f>Ruimtestaat[[#This Row],[uren / jaar werkdagen]]*Tariefsopbouw!$D$38</f>
        <v>450.5</v>
      </c>
      <c r="Y86" s="33"/>
      <c r="Z86" s="33">
        <f>IF(Ruimtestaat[[#This Row],[Frequentie weekend]]&gt;0,VALUE(LEFT(Y86,1))*R86,0)</f>
        <v>0</v>
      </c>
      <c r="AA86" s="33">
        <f>IF($Z86&gt;0,VLOOKUP($J86,Ruimtegroepen[],3,FALSE)*VLOOKUP($L86,Vloersoorten[],3,FALSE)*VLOOKUP($Y86,Frequenties[],3,FALSE)*VLOOKUP(#REF!,Locaties[],3,FALSE),0)</f>
        <v>0</v>
      </c>
      <c r="AB86" s="33"/>
      <c r="AC86" s="33"/>
      <c r="AD86" s="33">
        <f>Ruimtestaat[[#This Row],[uren / jaar weekend]]*Tariefsopbouw!$D$40</f>
        <v>0</v>
      </c>
      <c r="AE86" s="88">
        <f>Ruimtestaat[[#This Row],[Prest. (m2 /jaar) weekend]]+Ruimtestaat[[#This Row],[Prest. (m2 /jaar) werkdagen]]</f>
        <v>1802</v>
      </c>
      <c r="AF86" s="88">
        <f>Ruimtestaat[[#This Row],[uren / jaar weekend]]+Ruimtestaat[[#This Row],[uren / jaar werkdagen]]</f>
        <v>18.02</v>
      </c>
      <c r="AG86" s="89">
        <f>Ruimtestaat[[#This Row],[kosten / jaar weekend]]+Ruimtestaat[[#This Row],[kosten / jaar werkdagen]]</f>
        <v>450.5</v>
      </c>
      <c r="HL86" s="87"/>
    </row>
    <row r="87" spans="1:220" ht="15" customHeight="1">
      <c r="A87" s="129">
        <v>1</v>
      </c>
      <c r="B87" s="21" t="str">
        <f>VLOOKUP(Ruimtestaat[[#This Row],[Code]],Locaties[#All],2,FALSE)</f>
        <v>Groenlo</v>
      </c>
      <c r="C87" s="21" t="str">
        <f>VLOOKUP(Ruimtestaat[[#This Row],[Code]],Locaties[#All],4,FALSE)</f>
        <v>Deken Hooijmanssingel 1</v>
      </c>
      <c r="D87" s="21" t="str">
        <f>VLOOKUP(Ruimtestaat[[#This Row],[Code]],Locaties[#All],5,FALSE)</f>
        <v>7141 EA</v>
      </c>
      <c r="E87" s="195" t="str">
        <f>VLOOKUP(Ruimtestaat[[#This Row],[Code]],Locaties[#All],6,FALSE)</f>
        <v>Groenlo</v>
      </c>
      <c r="F87" s="195" t="s">
        <v>774</v>
      </c>
      <c r="G87" s="195" t="s">
        <v>549</v>
      </c>
      <c r="H87" s="195" t="s">
        <v>553</v>
      </c>
      <c r="I87" s="242" t="s">
        <v>457</v>
      </c>
      <c r="J87" s="195">
        <v>21</v>
      </c>
      <c r="K87" s="242" t="str">
        <f>VLOOKUP(Ruimtestaat[[#This Row],[Ruimte code]],Ruimtegroepen[#All],2,FALSE)</f>
        <v>Niet in onderhoud</v>
      </c>
      <c r="L87" s="211" t="s">
        <v>111</v>
      </c>
      <c r="M87" s="195" t="s">
        <v>693</v>
      </c>
      <c r="N87" s="197"/>
      <c r="O87" s="209">
        <v>9.68</v>
      </c>
      <c r="P87" s="241" t="str">
        <f>VLOOKUP(Ruimtestaat[[#This Row],[Ruimte code]],Ruimtegroepen[#All],4,FALSE)</f>
        <v>Niet in onderhoud</v>
      </c>
      <c r="Q87" s="210"/>
      <c r="R87" s="211"/>
      <c r="S87" s="211"/>
      <c r="T87" s="211">
        <f>IF(R87&gt;0,IF(RIGHT(Ruimtestaat[[#This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87" s="211">
        <f>IF(T87&gt;0,VLOOKUP($J87,Ruimtegroepen[],3,FALSE)*VLOOKUP($L87,Vloersoorten[],3,FALSE)*VLOOKUP($S87,Frequenties[],3,FALSE)*VLOOKUP($A87,Locaties[],3,FALSE),0)</f>
        <v>0</v>
      </c>
      <c r="V87" s="211">
        <f>Ruimtestaat[[#This Row],[Uitvoeringen werkdagen]]*Ruimtestaat[[#This Row],[Oppervlak (netto)]]</f>
        <v>0</v>
      </c>
      <c r="W87" s="257">
        <f>IF(U87&gt;0,Ruimtestaat[[#This Row],[Prest. (m2 /jaar) werkdagen]]/Ruimtestaat[[#This Row],[Norm (m2/uur) werkdagen]],0)</f>
        <v>0</v>
      </c>
      <c r="X87" s="258">
        <f>Ruimtestaat[[#This Row],[uren / jaar werkdagen]]*Tariefsopbouw!$D$38</f>
        <v>0</v>
      </c>
      <c r="Y87" s="33"/>
      <c r="Z87" s="33">
        <f>IF(Ruimtestaat[[#This Row],[Frequentie weekend]]&gt;0,VALUE(LEFT(Y87,1))*R87,0)</f>
        <v>0</v>
      </c>
      <c r="AA87" s="33">
        <f>IF($Z87&gt;0,VLOOKUP($J87,Ruimtegroepen[],3,FALSE)*VLOOKUP($L87,Vloersoorten[],3,FALSE)*VLOOKUP($Y87,Frequenties[],3,FALSE)*VLOOKUP(#REF!,Locaties[],3,FALSE),0)</f>
        <v>0</v>
      </c>
      <c r="AB87" s="33"/>
      <c r="AC87" s="33"/>
      <c r="AD87" s="33">
        <f>Ruimtestaat[[#This Row],[uren / jaar weekend]]*Tariefsopbouw!$D$40</f>
        <v>0</v>
      </c>
      <c r="AE87" s="88">
        <f>Ruimtestaat[[#This Row],[Prest. (m2 /jaar) weekend]]+Ruimtestaat[[#This Row],[Prest. (m2 /jaar) werkdagen]]</f>
        <v>0</v>
      </c>
      <c r="AF87" s="88">
        <f>Ruimtestaat[[#This Row],[uren / jaar weekend]]+Ruimtestaat[[#This Row],[uren / jaar werkdagen]]</f>
        <v>0</v>
      </c>
      <c r="AG87" s="89">
        <f>Ruimtestaat[[#This Row],[kosten / jaar weekend]]+Ruimtestaat[[#This Row],[kosten / jaar werkdagen]]</f>
        <v>0</v>
      </c>
      <c r="HL87" s="87"/>
    </row>
    <row r="88" spans="1:220" ht="15" customHeight="1">
      <c r="A88" s="129">
        <v>1</v>
      </c>
      <c r="B88" s="21" t="str">
        <f>VLOOKUP(Ruimtestaat[[#This Row],[Code]],Locaties[#All],2,FALSE)</f>
        <v>Groenlo</v>
      </c>
      <c r="C88" s="21" t="str">
        <f>VLOOKUP(Ruimtestaat[[#This Row],[Code]],Locaties[#All],4,FALSE)</f>
        <v>Deken Hooijmanssingel 1</v>
      </c>
      <c r="D88" s="21" t="str">
        <f>VLOOKUP(Ruimtestaat[[#This Row],[Code]],Locaties[#All],5,FALSE)</f>
        <v>7141 EA</v>
      </c>
      <c r="E88" s="195" t="str">
        <f>VLOOKUP(Ruimtestaat[[#This Row],[Code]],Locaties[#All],6,FALSE)</f>
        <v>Groenlo</v>
      </c>
      <c r="F88" s="195" t="s">
        <v>774</v>
      </c>
      <c r="G88" s="195" t="s">
        <v>549</v>
      </c>
      <c r="H88" s="195" t="s">
        <v>554</v>
      </c>
      <c r="I88" s="242" t="s">
        <v>441</v>
      </c>
      <c r="J88" s="195">
        <v>21</v>
      </c>
      <c r="K88" s="242" t="str">
        <f>VLOOKUP(Ruimtestaat[[#This Row],[Ruimte code]],Ruimtegroepen[#All],2,FALSE)</f>
        <v>Niet in onderhoud</v>
      </c>
      <c r="L88" s="211" t="s">
        <v>111</v>
      </c>
      <c r="M88" s="195" t="s">
        <v>693</v>
      </c>
      <c r="N88" s="197"/>
      <c r="O88" s="209">
        <v>303.82</v>
      </c>
      <c r="P88" s="241" t="str">
        <f>VLOOKUP(Ruimtestaat[[#This Row],[Ruimte code]],Ruimtegroepen[#All],4,FALSE)</f>
        <v>Niet in onderhoud</v>
      </c>
      <c r="Q88" s="210"/>
      <c r="R88" s="211"/>
      <c r="S88" s="211"/>
      <c r="T88" s="211">
        <f>IF(R88&gt;0,IF(RIGHT(Ruimtestaat[[#This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88" s="211">
        <f>IF(T88&gt;0,VLOOKUP($J88,Ruimtegroepen[],3,FALSE)*VLOOKUP($L88,Vloersoorten[],3,FALSE)*VLOOKUP($S88,Frequenties[],3,FALSE)*VLOOKUP($A88,Locaties[],3,FALSE),0)</f>
        <v>0</v>
      </c>
      <c r="V88" s="211">
        <f>Ruimtestaat[[#This Row],[Uitvoeringen werkdagen]]*Ruimtestaat[[#This Row],[Oppervlak (netto)]]</f>
        <v>0</v>
      </c>
      <c r="W88" s="257">
        <f>IF(U88&gt;0,Ruimtestaat[[#This Row],[Prest. (m2 /jaar) werkdagen]]/Ruimtestaat[[#This Row],[Norm (m2/uur) werkdagen]],0)</f>
        <v>0</v>
      </c>
      <c r="X88" s="258">
        <f>Ruimtestaat[[#This Row],[uren / jaar werkdagen]]*Tariefsopbouw!$D$38</f>
        <v>0</v>
      </c>
      <c r="Y88" s="33"/>
      <c r="Z88" s="33">
        <f>IF(Ruimtestaat[[#This Row],[Frequentie weekend]]&gt;0,VALUE(LEFT(Y88,1))*R88,0)</f>
        <v>0</v>
      </c>
      <c r="AA88" s="33">
        <f>IF($Z88&gt;0,VLOOKUP($J88,Ruimtegroepen[],3,FALSE)*VLOOKUP($L88,Vloersoorten[],3,FALSE)*VLOOKUP($Y88,Frequenties[],3,FALSE)*VLOOKUP(#REF!,Locaties[],3,FALSE),0)</f>
        <v>0</v>
      </c>
      <c r="AB88" s="33"/>
      <c r="AC88" s="33"/>
      <c r="AD88" s="33">
        <f>Ruimtestaat[[#This Row],[uren / jaar weekend]]*Tariefsopbouw!$D$40</f>
        <v>0</v>
      </c>
      <c r="AE88" s="88">
        <f>Ruimtestaat[[#This Row],[Prest. (m2 /jaar) weekend]]+Ruimtestaat[[#This Row],[Prest. (m2 /jaar) werkdagen]]</f>
        <v>0</v>
      </c>
      <c r="AF88" s="88">
        <f>Ruimtestaat[[#This Row],[uren / jaar weekend]]+Ruimtestaat[[#This Row],[uren / jaar werkdagen]]</f>
        <v>0</v>
      </c>
      <c r="AG88" s="89">
        <f>Ruimtestaat[[#This Row],[kosten / jaar weekend]]+Ruimtestaat[[#This Row],[kosten / jaar werkdagen]]</f>
        <v>0</v>
      </c>
      <c r="HL88" s="87"/>
    </row>
    <row r="89" spans="1:220" ht="15" customHeight="1">
      <c r="A89" s="129">
        <v>1</v>
      </c>
      <c r="B89" s="21" t="str">
        <f>VLOOKUP(Ruimtestaat[[#This Row],[Code]],Locaties[#All],2,FALSE)</f>
        <v>Groenlo</v>
      </c>
      <c r="C89" s="21" t="str">
        <f>VLOOKUP(Ruimtestaat[[#This Row],[Code]],Locaties[#All],4,FALSE)</f>
        <v>Deken Hooijmanssingel 1</v>
      </c>
      <c r="D89" s="21" t="str">
        <f>VLOOKUP(Ruimtestaat[[#This Row],[Code]],Locaties[#All],5,FALSE)</f>
        <v>7141 EA</v>
      </c>
      <c r="E89" s="195" t="str">
        <f>VLOOKUP(Ruimtestaat[[#This Row],[Code]],Locaties[#All],6,FALSE)</f>
        <v>Groenlo</v>
      </c>
      <c r="F89" s="195" t="s">
        <v>774</v>
      </c>
      <c r="G89" s="195" t="s">
        <v>549</v>
      </c>
      <c r="H89" s="195" t="s">
        <v>555</v>
      </c>
      <c r="I89" s="242" t="s">
        <v>457</v>
      </c>
      <c r="J89" s="195">
        <v>21</v>
      </c>
      <c r="K89" s="242" t="str">
        <f>VLOOKUP(Ruimtestaat[[#This Row],[Ruimte code]],Ruimtegroepen[#All],2,FALSE)</f>
        <v>Niet in onderhoud</v>
      </c>
      <c r="L89" s="211" t="s">
        <v>111</v>
      </c>
      <c r="M89" s="195" t="s">
        <v>693</v>
      </c>
      <c r="N89" s="197"/>
      <c r="O89" s="209">
        <v>0.54</v>
      </c>
      <c r="P89" s="241" t="str">
        <f>VLOOKUP(Ruimtestaat[[#This Row],[Ruimte code]],Ruimtegroepen[#All],4,FALSE)</f>
        <v>Niet in onderhoud</v>
      </c>
      <c r="Q89" s="210"/>
      <c r="R89" s="211"/>
      <c r="S89" s="211"/>
      <c r="T89" s="211">
        <f>IF(R89&gt;0,IF(RIGHT(Ruimtestaat[[#This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89" s="211">
        <f>IF(T89&gt;0,VLOOKUP($J89,Ruimtegroepen[],3,FALSE)*VLOOKUP($L89,Vloersoorten[],3,FALSE)*VLOOKUP($S89,Frequenties[],3,FALSE)*VLOOKUP($A89,Locaties[],3,FALSE),0)</f>
        <v>0</v>
      </c>
      <c r="V89" s="211">
        <f>Ruimtestaat[[#This Row],[Uitvoeringen werkdagen]]*Ruimtestaat[[#This Row],[Oppervlak (netto)]]</f>
        <v>0</v>
      </c>
      <c r="W89" s="257">
        <f>IF(U89&gt;0,Ruimtestaat[[#This Row],[Prest. (m2 /jaar) werkdagen]]/Ruimtestaat[[#This Row],[Norm (m2/uur) werkdagen]],0)</f>
        <v>0</v>
      </c>
      <c r="X89" s="258">
        <f>Ruimtestaat[[#This Row],[uren / jaar werkdagen]]*Tariefsopbouw!$D$38</f>
        <v>0</v>
      </c>
      <c r="Y89" s="33"/>
      <c r="Z89" s="33">
        <f>IF(Ruimtestaat[[#This Row],[Frequentie weekend]]&gt;0,VALUE(LEFT(Y89,1))*R89,0)</f>
        <v>0</v>
      </c>
      <c r="AA89" s="33">
        <f>IF($Z89&gt;0,VLOOKUP($J89,Ruimtegroepen[],3,FALSE)*VLOOKUP($L89,Vloersoorten[],3,FALSE)*VLOOKUP($Y89,Frequenties[],3,FALSE)*VLOOKUP(#REF!,Locaties[],3,FALSE),0)</f>
        <v>0</v>
      </c>
      <c r="AB89" s="33"/>
      <c r="AC89" s="33"/>
      <c r="AD89" s="33">
        <f>Ruimtestaat[[#This Row],[uren / jaar weekend]]*Tariefsopbouw!$D$40</f>
        <v>0</v>
      </c>
      <c r="AE89" s="88">
        <f>Ruimtestaat[[#This Row],[Prest. (m2 /jaar) weekend]]+Ruimtestaat[[#This Row],[Prest. (m2 /jaar) werkdagen]]</f>
        <v>0</v>
      </c>
      <c r="AF89" s="88">
        <f>Ruimtestaat[[#This Row],[uren / jaar weekend]]+Ruimtestaat[[#This Row],[uren / jaar werkdagen]]</f>
        <v>0</v>
      </c>
      <c r="AG89" s="89">
        <f>Ruimtestaat[[#This Row],[kosten / jaar weekend]]+Ruimtestaat[[#This Row],[kosten / jaar werkdagen]]</f>
        <v>0</v>
      </c>
      <c r="HL89" s="87"/>
    </row>
    <row r="90" spans="1:220" ht="15" customHeight="1">
      <c r="A90" s="129">
        <v>1</v>
      </c>
      <c r="B90" s="21" t="str">
        <f>VLOOKUP(Ruimtestaat[[#This Row],[Code]],Locaties[#All],2,FALSE)</f>
        <v>Groenlo</v>
      </c>
      <c r="C90" s="21" t="str">
        <f>VLOOKUP(Ruimtestaat[[#This Row],[Code]],Locaties[#All],4,FALSE)</f>
        <v>Deken Hooijmanssingel 1</v>
      </c>
      <c r="D90" s="21" t="str">
        <f>VLOOKUP(Ruimtestaat[[#This Row],[Code]],Locaties[#All],5,FALSE)</f>
        <v>7141 EA</v>
      </c>
      <c r="E90" s="195" t="str">
        <f>VLOOKUP(Ruimtestaat[[#This Row],[Code]],Locaties[#All],6,FALSE)</f>
        <v>Groenlo</v>
      </c>
      <c r="F90" s="195" t="s">
        <v>774</v>
      </c>
      <c r="G90" s="195" t="s">
        <v>549</v>
      </c>
      <c r="H90" s="195" t="s">
        <v>556</v>
      </c>
      <c r="I90" s="242" t="s">
        <v>441</v>
      </c>
      <c r="J90" s="195">
        <v>21</v>
      </c>
      <c r="K90" s="242" t="str">
        <f>VLOOKUP(Ruimtestaat[[#This Row],[Ruimte code]],Ruimtegroepen[#All],2,FALSE)</f>
        <v>Niet in onderhoud</v>
      </c>
      <c r="L90" s="195" t="s">
        <v>112</v>
      </c>
      <c r="M90" s="195" t="s">
        <v>775</v>
      </c>
      <c r="N90" s="197"/>
      <c r="O90" s="209">
        <v>25.61</v>
      </c>
      <c r="P90" s="241" t="str">
        <f>VLOOKUP(Ruimtestaat[[#This Row],[Ruimte code]],Ruimtegroepen[#All],4,FALSE)</f>
        <v>Niet in onderhoud</v>
      </c>
      <c r="Q90" s="210"/>
      <c r="R90" s="211"/>
      <c r="S90" s="211"/>
      <c r="T90" s="211">
        <f>IF(R90&gt;0,IF(RIGHT(Ruimtestaat[[#This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90" s="211">
        <f>IF(T90&gt;0,VLOOKUP($J90,Ruimtegroepen[],3,FALSE)*VLOOKUP($L90,Vloersoorten[],3,FALSE)*VLOOKUP($S90,Frequenties[],3,FALSE)*VLOOKUP($A90,Locaties[],3,FALSE),0)</f>
        <v>0</v>
      </c>
      <c r="V90" s="211">
        <f>Ruimtestaat[[#This Row],[Uitvoeringen werkdagen]]*Ruimtestaat[[#This Row],[Oppervlak (netto)]]</f>
        <v>0</v>
      </c>
      <c r="W90" s="257">
        <f>IF(U90&gt;0,Ruimtestaat[[#This Row],[Prest. (m2 /jaar) werkdagen]]/Ruimtestaat[[#This Row],[Norm (m2/uur) werkdagen]],0)</f>
        <v>0</v>
      </c>
      <c r="X90" s="258">
        <f>Ruimtestaat[[#This Row],[uren / jaar werkdagen]]*Tariefsopbouw!$D$38</f>
        <v>0</v>
      </c>
      <c r="Y90" s="33"/>
      <c r="Z90" s="33">
        <f>IF(Ruimtestaat[[#This Row],[Frequentie weekend]]&gt;0,VALUE(LEFT(Y90,1))*R90,0)</f>
        <v>0</v>
      </c>
      <c r="AA90" s="33">
        <f>IF($Z90&gt;0,VLOOKUP($J90,Ruimtegroepen[],3,FALSE)*VLOOKUP($L90,Vloersoorten[],3,FALSE)*VLOOKUP($Y90,Frequenties[],3,FALSE)*VLOOKUP(#REF!,Locaties[],3,FALSE),0)</f>
        <v>0</v>
      </c>
      <c r="AB90" s="33"/>
      <c r="AC90" s="33"/>
      <c r="AD90" s="33">
        <f>Ruimtestaat[[#This Row],[uren / jaar weekend]]*Tariefsopbouw!$D$40</f>
        <v>0</v>
      </c>
      <c r="AE90" s="88">
        <f>Ruimtestaat[[#This Row],[Prest. (m2 /jaar) weekend]]+Ruimtestaat[[#This Row],[Prest. (m2 /jaar) werkdagen]]</f>
        <v>0</v>
      </c>
      <c r="AF90" s="88">
        <f>Ruimtestaat[[#This Row],[uren / jaar weekend]]+Ruimtestaat[[#This Row],[uren / jaar werkdagen]]</f>
        <v>0</v>
      </c>
      <c r="AG90" s="89">
        <f>Ruimtestaat[[#This Row],[kosten / jaar weekend]]+Ruimtestaat[[#This Row],[kosten / jaar werkdagen]]</f>
        <v>0</v>
      </c>
      <c r="HL90" s="87"/>
    </row>
    <row r="91" spans="1:220" ht="15" customHeight="1">
      <c r="A91" s="129">
        <v>1</v>
      </c>
      <c r="B91" s="21" t="str">
        <f>VLOOKUP(Ruimtestaat[[#This Row],[Code]],Locaties[#All],2,FALSE)</f>
        <v>Groenlo</v>
      </c>
      <c r="C91" s="21" t="str">
        <f>VLOOKUP(Ruimtestaat[[#This Row],[Code]],Locaties[#All],4,FALSE)</f>
        <v>Deken Hooijmanssingel 1</v>
      </c>
      <c r="D91" s="21" t="str">
        <f>VLOOKUP(Ruimtestaat[[#This Row],[Code]],Locaties[#All],5,FALSE)</f>
        <v>7141 EA</v>
      </c>
      <c r="E91" s="195" t="str">
        <f>VLOOKUP(Ruimtestaat[[#This Row],[Code]],Locaties[#All],6,FALSE)</f>
        <v>Groenlo</v>
      </c>
      <c r="F91" s="195" t="s">
        <v>774</v>
      </c>
      <c r="G91" s="195" t="s">
        <v>549</v>
      </c>
      <c r="H91" s="195" t="s">
        <v>557</v>
      </c>
      <c r="I91" s="242" t="s">
        <v>441</v>
      </c>
      <c r="J91" s="195">
        <v>21</v>
      </c>
      <c r="K91" s="242" t="str">
        <f>VLOOKUP(Ruimtestaat[[#This Row],[Ruimte code]],Ruimtegroepen[#All],2,FALSE)</f>
        <v>Niet in onderhoud</v>
      </c>
      <c r="L91" s="211" t="s">
        <v>112</v>
      </c>
      <c r="M91" s="195" t="s">
        <v>775</v>
      </c>
      <c r="N91" s="197"/>
      <c r="O91" s="209">
        <v>53.02</v>
      </c>
      <c r="P91" s="241" t="str">
        <f>VLOOKUP(Ruimtestaat[[#This Row],[Ruimte code]],Ruimtegroepen[#All],4,FALSE)</f>
        <v>Niet in onderhoud</v>
      </c>
      <c r="Q91" s="210"/>
      <c r="R91" s="211"/>
      <c r="S91" s="211"/>
      <c r="T91" s="211">
        <f>IF(R91&gt;0,IF(RIGHT(Ruimtestaat[[#This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91" s="211">
        <f>IF(T91&gt;0,VLOOKUP($J91,Ruimtegroepen[],3,FALSE)*VLOOKUP($L91,Vloersoorten[],3,FALSE)*VLOOKUP($S91,Frequenties[],3,FALSE)*VLOOKUP($A91,Locaties[],3,FALSE),0)</f>
        <v>0</v>
      </c>
      <c r="V91" s="211">
        <f>Ruimtestaat[[#This Row],[Uitvoeringen werkdagen]]*Ruimtestaat[[#This Row],[Oppervlak (netto)]]</f>
        <v>0</v>
      </c>
      <c r="W91" s="257">
        <f>IF(U91&gt;0,Ruimtestaat[[#This Row],[Prest. (m2 /jaar) werkdagen]]/Ruimtestaat[[#This Row],[Norm (m2/uur) werkdagen]],0)</f>
        <v>0</v>
      </c>
      <c r="X91" s="258">
        <f>Ruimtestaat[[#This Row],[uren / jaar werkdagen]]*Tariefsopbouw!$D$38</f>
        <v>0</v>
      </c>
      <c r="Y91" s="33"/>
      <c r="Z91" s="33">
        <f>IF(Ruimtestaat[[#This Row],[Frequentie weekend]]&gt;0,VALUE(LEFT(Y91,1))*R91,0)</f>
        <v>0</v>
      </c>
      <c r="AA91" s="33">
        <f>IF($Z91&gt;0,VLOOKUP($J91,Ruimtegroepen[],3,FALSE)*VLOOKUP($L91,Vloersoorten[],3,FALSE)*VLOOKUP($Y91,Frequenties[],3,FALSE)*VLOOKUP(#REF!,Locaties[],3,FALSE),0)</f>
        <v>0</v>
      </c>
      <c r="AB91" s="33"/>
      <c r="AC91" s="33"/>
      <c r="AD91" s="33">
        <f>Ruimtestaat[[#This Row],[uren / jaar weekend]]*Tariefsopbouw!$D$40</f>
        <v>0</v>
      </c>
      <c r="AE91" s="88">
        <f>Ruimtestaat[[#This Row],[Prest. (m2 /jaar) weekend]]+Ruimtestaat[[#This Row],[Prest. (m2 /jaar) werkdagen]]</f>
        <v>0</v>
      </c>
      <c r="AF91" s="88">
        <f>Ruimtestaat[[#This Row],[uren / jaar weekend]]+Ruimtestaat[[#This Row],[uren / jaar werkdagen]]</f>
        <v>0</v>
      </c>
      <c r="AG91" s="89">
        <f>Ruimtestaat[[#This Row],[kosten / jaar weekend]]+Ruimtestaat[[#This Row],[kosten / jaar werkdagen]]</f>
        <v>0</v>
      </c>
      <c r="HL91" s="87"/>
    </row>
    <row r="92" spans="1:220" ht="15" customHeight="1">
      <c r="A92" s="129">
        <v>1</v>
      </c>
      <c r="B92" s="21" t="str">
        <f>VLOOKUP(Ruimtestaat[[#This Row],[Code]],Locaties[#All],2,FALSE)</f>
        <v>Groenlo</v>
      </c>
      <c r="C92" s="21" t="str">
        <f>VLOOKUP(Ruimtestaat[[#This Row],[Code]],Locaties[#All],4,FALSE)</f>
        <v>Deken Hooijmanssingel 1</v>
      </c>
      <c r="D92" s="21" t="str">
        <f>VLOOKUP(Ruimtestaat[[#This Row],[Code]],Locaties[#All],5,FALSE)</f>
        <v>7141 EA</v>
      </c>
      <c r="E92" s="195" t="str">
        <f>VLOOKUP(Ruimtestaat[[#This Row],[Code]],Locaties[#All],6,FALSE)</f>
        <v>Groenlo</v>
      </c>
      <c r="F92" s="195" t="s">
        <v>774</v>
      </c>
      <c r="G92" s="195" t="s">
        <v>549</v>
      </c>
      <c r="H92" s="259" t="s">
        <v>558</v>
      </c>
      <c r="I92" s="242" t="s">
        <v>601</v>
      </c>
      <c r="J92" s="195">
        <v>21</v>
      </c>
      <c r="K92" s="242" t="str">
        <f>VLOOKUP(Ruimtestaat[[#This Row],[Ruimte code]],Ruimtegroepen[#All],2,FALSE)</f>
        <v>Niet in onderhoud</v>
      </c>
      <c r="L92" s="211" t="s">
        <v>111</v>
      </c>
      <c r="M92" s="195" t="s">
        <v>693</v>
      </c>
      <c r="N92" s="197"/>
      <c r="O92" s="209">
        <v>2.2000000000000002</v>
      </c>
      <c r="P92" s="241" t="str">
        <f>VLOOKUP(Ruimtestaat[[#This Row],[Ruimte code]],Ruimtegroepen[#All],4,FALSE)</f>
        <v>Niet in onderhoud</v>
      </c>
      <c r="Q92" s="210"/>
      <c r="R92" s="211"/>
      <c r="S92" s="211"/>
      <c r="T92" s="211">
        <f>IF(R92&gt;0,IF(RIGHT(Ruimtestaat[[#This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92" s="211">
        <f>IF(T92&gt;0,VLOOKUP($J92,Ruimtegroepen[],3,FALSE)*VLOOKUP($L92,Vloersoorten[],3,FALSE)*VLOOKUP($S92,Frequenties[],3,FALSE)*VLOOKUP($A92,Locaties[],3,FALSE),0)</f>
        <v>0</v>
      </c>
      <c r="V92" s="211">
        <f>Ruimtestaat[[#This Row],[Uitvoeringen werkdagen]]*Ruimtestaat[[#This Row],[Oppervlak (netto)]]</f>
        <v>0</v>
      </c>
      <c r="W92" s="257">
        <f>IF(U92&gt;0,Ruimtestaat[[#This Row],[Prest. (m2 /jaar) werkdagen]]/Ruimtestaat[[#This Row],[Norm (m2/uur) werkdagen]],0)</f>
        <v>0</v>
      </c>
      <c r="X92" s="258">
        <f>Ruimtestaat[[#This Row],[uren / jaar werkdagen]]*Tariefsopbouw!$D$38</f>
        <v>0</v>
      </c>
      <c r="Y92" s="33"/>
      <c r="Z92" s="33">
        <f>IF(Ruimtestaat[[#This Row],[Frequentie weekend]]&gt;0,VALUE(LEFT(Y92,1))*R92,0)</f>
        <v>0</v>
      </c>
      <c r="AA92" s="33">
        <f>IF($Z92&gt;0,VLOOKUP($J92,Ruimtegroepen[],3,FALSE)*VLOOKUP($L92,Vloersoorten[],3,FALSE)*VLOOKUP($Y92,Frequenties[],3,FALSE)*VLOOKUP(#REF!,Locaties[],3,FALSE),0)</f>
        <v>0</v>
      </c>
      <c r="AB92" s="33"/>
      <c r="AC92" s="33"/>
      <c r="AD92" s="33">
        <f>Ruimtestaat[[#This Row],[uren / jaar weekend]]*Tariefsopbouw!$D$40</f>
        <v>0</v>
      </c>
      <c r="AE92" s="88">
        <f>Ruimtestaat[[#This Row],[Prest. (m2 /jaar) weekend]]+Ruimtestaat[[#This Row],[Prest. (m2 /jaar) werkdagen]]</f>
        <v>0</v>
      </c>
      <c r="AF92" s="88">
        <f>Ruimtestaat[[#This Row],[uren / jaar weekend]]+Ruimtestaat[[#This Row],[uren / jaar werkdagen]]</f>
        <v>0</v>
      </c>
      <c r="AG92" s="89">
        <f>Ruimtestaat[[#This Row],[kosten / jaar weekend]]+Ruimtestaat[[#This Row],[kosten / jaar werkdagen]]</f>
        <v>0</v>
      </c>
      <c r="HL92" s="87"/>
    </row>
    <row r="93" spans="1:220" ht="15" customHeight="1">
      <c r="A93" s="129">
        <v>1</v>
      </c>
      <c r="B93" s="21" t="str">
        <f>VLOOKUP(Ruimtestaat[[#This Row],[Code]],Locaties[#All],2,FALSE)</f>
        <v>Groenlo</v>
      </c>
      <c r="C93" s="21" t="str">
        <f>VLOOKUP(Ruimtestaat[[#This Row],[Code]],Locaties[#All],4,FALSE)</f>
        <v>Deken Hooijmanssingel 1</v>
      </c>
      <c r="D93" s="21" t="str">
        <f>VLOOKUP(Ruimtestaat[[#This Row],[Code]],Locaties[#All],5,FALSE)</f>
        <v>7141 EA</v>
      </c>
      <c r="E93" s="195" t="str">
        <f>VLOOKUP(Ruimtestaat[[#This Row],[Code]],Locaties[#All],6,FALSE)</f>
        <v>Groenlo</v>
      </c>
      <c r="F93" s="195" t="s">
        <v>774</v>
      </c>
      <c r="G93" s="195" t="s">
        <v>549</v>
      </c>
      <c r="H93" s="195" t="s">
        <v>559</v>
      </c>
      <c r="I93" s="242" t="s">
        <v>382</v>
      </c>
      <c r="J93" s="195">
        <v>21</v>
      </c>
      <c r="K93" s="242" t="str">
        <f>VLOOKUP(Ruimtestaat[[#This Row],[Ruimte code]],Ruimtegroepen[#All],2,FALSE)</f>
        <v>Niet in onderhoud</v>
      </c>
      <c r="L93" s="211" t="s">
        <v>111</v>
      </c>
      <c r="M93" s="195" t="s">
        <v>693</v>
      </c>
      <c r="N93" s="197"/>
      <c r="O93" s="209">
        <v>131.08000000000001</v>
      </c>
      <c r="P93" s="241" t="str">
        <f>VLOOKUP(Ruimtestaat[[#This Row],[Ruimte code]],Ruimtegroepen[#All],4,FALSE)</f>
        <v>Niet in onderhoud</v>
      </c>
      <c r="Q93" s="210"/>
      <c r="R93" s="211"/>
      <c r="S93" s="211"/>
      <c r="T93" s="211">
        <f>IF(R93&gt;0,IF(RIGHT(Ruimtestaat[[#This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93" s="211">
        <f>IF(T93&gt;0,VLOOKUP($J93,Ruimtegroepen[],3,FALSE)*VLOOKUP($L93,Vloersoorten[],3,FALSE)*VLOOKUP($S93,Frequenties[],3,FALSE)*VLOOKUP($A93,Locaties[],3,FALSE),0)</f>
        <v>0</v>
      </c>
      <c r="V93" s="211">
        <f>Ruimtestaat[[#This Row],[Uitvoeringen werkdagen]]*Ruimtestaat[[#This Row],[Oppervlak (netto)]]</f>
        <v>0</v>
      </c>
      <c r="W93" s="257">
        <f>IF(U93&gt;0,Ruimtestaat[[#This Row],[Prest. (m2 /jaar) werkdagen]]/Ruimtestaat[[#This Row],[Norm (m2/uur) werkdagen]],0)</f>
        <v>0</v>
      </c>
      <c r="X93" s="258">
        <f>Ruimtestaat[[#This Row],[uren / jaar werkdagen]]*Tariefsopbouw!$D$38</f>
        <v>0</v>
      </c>
      <c r="Y93" s="33"/>
      <c r="Z93" s="33">
        <f>IF(Ruimtestaat[[#This Row],[Frequentie weekend]]&gt;0,VALUE(LEFT(Y93,1))*R93,0)</f>
        <v>0</v>
      </c>
      <c r="AA93" s="33">
        <f>IF($Z93&gt;0,VLOOKUP($J93,Ruimtegroepen[],3,FALSE)*VLOOKUP($L93,Vloersoorten[],3,FALSE)*VLOOKUP($Y93,Frequenties[],3,FALSE)*VLOOKUP(#REF!,Locaties[],3,FALSE),0)</f>
        <v>0</v>
      </c>
      <c r="AB93" s="33"/>
      <c r="AC93" s="33"/>
      <c r="AD93" s="33">
        <f>Ruimtestaat[[#This Row],[uren / jaar weekend]]*Tariefsopbouw!$D$40</f>
        <v>0</v>
      </c>
      <c r="AE93" s="88">
        <f>Ruimtestaat[[#This Row],[Prest. (m2 /jaar) weekend]]+Ruimtestaat[[#This Row],[Prest. (m2 /jaar) werkdagen]]</f>
        <v>0</v>
      </c>
      <c r="AF93" s="88">
        <f>Ruimtestaat[[#This Row],[uren / jaar weekend]]+Ruimtestaat[[#This Row],[uren / jaar werkdagen]]</f>
        <v>0</v>
      </c>
      <c r="AG93" s="89">
        <f>Ruimtestaat[[#This Row],[kosten / jaar weekend]]+Ruimtestaat[[#This Row],[kosten / jaar werkdagen]]</f>
        <v>0</v>
      </c>
      <c r="HL93" s="87"/>
    </row>
    <row r="94" spans="1:220" ht="15" customHeight="1">
      <c r="A94" s="129">
        <v>1</v>
      </c>
      <c r="B94" s="21" t="str">
        <f>VLOOKUP(Ruimtestaat[[#This Row],[Code]],Locaties[#All],2,FALSE)</f>
        <v>Groenlo</v>
      </c>
      <c r="C94" s="21" t="str">
        <f>VLOOKUP(Ruimtestaat[[#This Row],[Code]],Locaties[#All],4,FALSE)</f>
        <v>Deken Hooijmanssingel 1</v>
      </c>
      <c r="D94" s="21" t="str">
        <f>VLOOKUP(Ruimtestaat[[#This Row],[Code]],Locaties[#All],5,FALSE)</f>
        <v>7141 EA</v>
      </c>
      <c r="E94" s="195" t="str">
        <f>VLOOKUP(Ruimtestaat[[#This Row],[Code]],Locaties[#All],6,FALSE)</f>
        <v>Groenlo</v>
      </c>
      <c r="F94" s="195" t="s">
        <v>774</v>
      </c>
      <c r="G94" s="195" t="s">
        <v>549</v>
      </c>
      <c r="H94" s="195" t="s">
        <v>560</v>
      </c>
      <c r="I94" s="242" t="s">
        <v>441</v>
      </c>
      <c r="J94" s="195">
        <v>21</v>
      </c>
      <c r="K94" s="242" t="str">
        <f>VLOOKUP(Ruimtestaat[[#This Row],[Ruimte code]],Ruimtegroepen[#All],2,FALSE)</f>
        <v>Niet in onderhoud</v>
      </c>
      <c r="L94" s="211" t="s">
        <v>111</v>
      </c>
      <c r="M94" s="195" t="s">
        <v>693</v>
      </c>
      <c r="N94" s="197"/>
      <c r="O94" s="209">
        <v>53.3</v>
      </c>
      <c r="P94" s="241" t="str">
        <f>VLOOKUP(Ruimtestaat[[#This Row],[Ruimte code]],Ruimtegroepen[#All],4,FALSE)</f>
        <v>Niet in onderhoud</v>
      </c>
      <c r="Q94" s="210"/>
      <c r="R94" s="211"/>
      <c r="S94" s="211"/>
      <c r="T94" s="211">
        <f>IF(R94&gt;0,IF(RIGHT(Ruimtestaat[[#This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94" s="211">
        <f>IF(T94&gt;0,VLOOKUP($J94,Ruimtegroepen[],3,FALSE)*VLOOKUP($L94,Vloersoorten[],3,FALSE)*VLOOKUP($S94,Frequenties[],3,FALSE)*VLOOKUP($A94,Locaties[],3,FALSE),0)</f>
        <v>0</v>
      </c>
      <c r="V94" s="211">
        <f>Ruimtestaat[[#This Row],[Uitvoeringen werkdagen]]*Ruimtestaat[[#This Row],[Oppervlak (netto)]]</f>
        <v>0</v>
      </c>
      <c r="W94" s="257">
        <f>IF(U94&gt;0,Ruimtestaat[[#This Row],[Prest. (m2 /jaar) werkdagen]]/Ruimtestaat[[#This Row],[Norm (m2/uur) werkdagen]],0)</f>
        <v>0</v>
      </c>
      <c r="X94" s="258">
        <f>Ruimtestaat[[#This Row],[uren / jaar werkdagen]]*Tariefsopbouw!$D$38</f>
        <v>0</v>
      </c>
      <c r="Y94" s="33"/>
      <c r="Z94" s="33">
        <f>IF(Ruimtestaat[[#This Row],[Frequentie weekend]]&gt;0,VALUE(LEFT(Y94,1))*R94,0)</f>
        <v>0</v>
      </c>
      <c r="AA94" s="33">
        <f>IF($Z94&gt;0,VLOOKUP($J94,Ruimtegroepen[],3,FALSE)*VLOOKUP($L94,Vloersoorten[],3,FALSE)*VLOOKUP($Y94,Frequenties[],3,FALSE)*VLOOKUP(#REF!,Locaties[],3,FALSE),0)</f>
        <v>0</v>
      </c>
      <c r="AB94" s="33"/>
      <c r="AC94" s="33"/>
      <c r="AD94" s="33">
        <f>Ruimtestaat[[#This Row],[uren / jaar weekend]]*Tariefsopbouw!$D$40</f>
        <v>0</v>
      </c>
      <c r="AE94" s="88">
        <f>Ruimtestaat[[#This Row],[Prest. (m2 /jaar) weekend]]+Ruimtestaat[[#This Row],[Prest. (m2 /jaar) werkdagen]]</f>
        <v>0</v>
      </c>
      <c r="AF94" s="88">
        <f>Ruimtestaat[[#This Row],[uren / jaar weekend]]+Ruimtestaat[[#This Row],[uren / jaar werkdagen]]</f>
        <v>0</v>
      </c>
      <c r="AG94" s="89">
        <f>Ruimtestaat[[#This Row],[kosten / jaar weekend]]+Ruimtestaat[[#This Row],[kosten / jaar werkdagen]]</f>
        <v>0</v>
      </c>
      <c r="HL94" s="87"/>
    </row>
    <row r="95" spans="1:220" ht="15" customHeight="1">
      <c r="A95" s="129">
        <v>1</v>
      </c>
      <c r="B95" s="21" t="str">
        <f>VLOOKUP(Ruimtestaat[[#This Row],[Code]],Locaties[#All],2,FALSE)</f>
        <v>Groenlo</v>
      </c>
      <c r="C95" s="21" t="str">
        <f>VLOOKUP(Ruimtestaat[[#This Row],[Code]],Locaties[#All],4,FALSE)</f>
        <v>Deken Hooijmanssingel 1</v>
      </c>
      <c r="D95" s="21" t="str">
        <f>VLOOKUP(Ruimtestaat[[#This Row],[Code]],Locaties[#All],5,FALSE)</f>
        <v>7141 EA</v>
      </c>
      <c r="E95" s="195" t="str">
        <f>VLOOKUP(Ruimtestaat[[#This Row],[Code]],Locaties[#All],6,FALSE)</f>
        <v>Groenlo</v>
      </c>
      <c r="F95" s="195" t="s">
        <v>774</v>
      </c>
      <c r="G95" s="195" t="s">
        <v>549</v>
      </c>
      <c r="H95" s="195" t="s">
        <v>561</v>
      </c>
      <c r="I95" s="242" t="s">
        <v>382</v>
      </c>
      <c r="J95" s="195">
        <v>21</v>
      </c>
      <c r="K95" s="242" t="str">
        <f>VLOOKUP(Ruimtestaat[[#This Row],[Ruimte code]],Ruimtegroepen[#All],2,FALSE)</f>
        <v>Niet in onderhoud</v>
      </c>
      <c r="L95" s="211" t="s">
        <v>111</v>
      </c>
      <c r="M95" s="195" t="s">
        <v>693</v>
      </c>
      <c r="N95" s="197"/>
      <c r="O95" s="209">
        <v>6.18</v>
      </c>
      <c r="P95" s="241" t="str">
        <f>VLOOKUP(Ruimtestaat[[#This Row],[Ruimte code]],Ruimtegroepen[#All],4,FALSE)</f>
        <v>Niet in onderhoud</v>
      </c>
      <c r="Q95" s="210"/>
      <c r="R95" s="211"/>
      <c r="S95" s="211"/>
      <c r="T95" s="211">
        <f>IF(R95&gt;0,IF(RIGHT(Ruimtestaat[[#This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95" s="211">
        <f>IF(T95&gt;0,VLOOKUP($J95,Ruimtegroepen[],3,FALSE)*VLOOKUP($L95,Vloersoorten[],3,FALSE)*VLOOKUP($S95,Frequenties[],3,FALSE)*VLOOKUP($A95,Locaties[],3,FALSE),0)</f>
        <v>0</v>
      </c>
      <c r="V95" s="211">
        <f>Ruimtestaat[[#This Row],[Uitvoeringen werkdagen]]*Ruimtestaat[[#This Row],[Oppervlak (netto)]]</f>
        <v>0</v>
      </c>
      <c r="W95" s="257">
        <f>IF(U95&gt;0,Ruimtestaat[[#This Row],[Prest. (m2 /jaar) werkdagen]]/Ruimtestaat[[#This Row],[Norm (m2/uur) werkdagen]],0)</f>
        <v>0</v>
      </c>
      <c r="X95" s="258">
        <f>Ruimtestaat[[#This Row],[uren / jaar werkdagen]]*Tariefsopbouw!$D$38</f>
        <v>0</v>
      </c>
      <c r="Y95" s="33"/>
      <c r="Z95" s="33">
        <f>IF(Ruimtestaat[[#This Row],[Frequentie weekend]]&gt;0,VALUE(LEFT(Y95,1))*R95,0)</f>
        <v>0</v>
      </c>
      <c r="AA95" s="33">
        <f>IF($Z95&gt;0,VLOOKUP($J95,Ruimtegroepen[],3,FALSE)*VLOOKUP($L95,Vloersoorten[],3,FALSE)*VLOOKUP($Y95,Frequenties[],3,FALSE)*VLOOKUP(#REF!,Locaties[],3,FALSE),0)</f>
        <v>0</v>
      </c>
      <c r="AB95" s="33"/>
      <c r="AC95" s="33"/>
      <c r="AD95" s="33">
        <f>Ruimtestaat[[#This Row],[uren / jaar weekend]]*Tariefsopbouw!$D$40</f>
        <v>0</v>
      </c>
      <c r="AE95" s="88">
        <f>Ruimtestaat[[#This Row],[Prest. (m2 /jaar) weekend]]+Ruimtestaat[[#This Row],[Prest. (m2 /jaar) werkdagen]]</f>
        <v>0</v>
      </c>
      <c r="AF95" s="88">
        <f>Ruimtestaat[[#This Row],[uren / jaar weekend]]+Ruimtestaat[[#This Row],[uren / jaar werkdagen]]</f>
        <v>0</v>
      </c>
      <c r="AG95" s="89">
        <f>Ruimtestaat[[#This Row],[kosten / jaar weekend]]+Ruimtestaat[[#This Row],[kosten / jaar werkdagen]]</f>
        <v>0</v>
      </c>
      <c r="HL95" s="87"/>
    </row>
    <row r="96" spans="1:220" ht="15" customHeight="1">
      <c r="A96" s="129">
        <v>1</v>
      </c>
      <c r="B96" s="21" t="str">
        <f>VLOOKUP(Ruimtestaat[[#This Row],[Code]],Locaties[#All],2,FALSE)</f>
        <v>Groenlo</v>
      </c>
      <c r="C96" s="21" t="str">
        <f>VLOOKUP(Ruimtestaat[[#This Row],[Code]],Locaties[#All],4,FALSE)</f>
        <v>Deken Hooijmanssingel 1</v>
      </c>
      <c r="D96" s="21" t="str">
        <f>VLOOKUP(Ruimtestaat[[#This Row],[Code]],Locaties[#All],5,FALSE)</f>
        <v>7141 EA</v>
      </c>
      <c r="E96" s="195" t="str">
        <f>VLOOKUP(Ruimtestaat[[#This Row],[Code]],Locaties[#All],6,FALSE)</f>
        <v>Groenlo</v>
      </c>
      <c r="F96" s="195" t="s">
        <v>774</v>
      </c>
      <c r="G96" s="195" t="s">
        <v>549</v>
      </c>
      <c r="H96" s="195" t="s">
        <v>562</v>
      </c>
      <c r="I96" s="242" t="s">
        <v>601</v>
      </c>
      <c r="J96" s="195">
        <v>21</v>
      </c>
      <c r="K96" s="242" t="str">
        <f>VLOOKUP(Ruimtestaat[[#This Row],[Ruimte code]],Ruimtegroepen[#All],2,FALSE)</f>
        <v>Niet in onderhoud</v>
      </c>
      <c r="L96" s="211" t="s">
        <v>111</v>
      </c>
      <c r="M96" s="195" t="s">
        <v>693</v>
      </c>
      <c r="N96" s="197"/>
      <c r="O96" s="198">
        <v>45.71</v>
      </c>
      <c r="P96" s="241" t="str">
        <f>VLOOKUP(Ruimtestaat[[#This Row],[Ruimte code]],Ruimtegroepen[#All],4,FALSE)</f>
        <v>Niet in onderhoud</v>
      </c>
      <c r="Q96" s="210"/>
      <c r="R96" s="211"/>
      <c r="S96" s="211"/>
      <c r="T96" s="211">
        <f>IF(R96&gt;0,IF(RIGHT(Ruimtestaat[[#This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96" s="211">
        <f>IF(T96&gt;0,VLOOKUP($J96,Ruimtegroepen[],3,FALSE)*VLOOKUP($L96,Vloersoorten[],3,FALSE)*VLOOKUP($S96,Frequenties[],3,FALSE)*VLOOKUP($A96,Locaties[],3,FALSE),0)</f>
        <v>0</v>
      </c>
      <c r="V96" s="211">
        <f>Ruimtestaat[[#This Row],[Uitvoeringen werkdagen]]*Ruimtestaat[[#This Row],[Oppervlak (netto)]]</f>
        <v>0</v>
      </c>
      <c r="W96" s="257">
        <f>IF(U96&gt;0,Ruimtestaat[[#This Row],[Prest. (m2 /jaar) werkdagen]]/Ruimtestaat[[#This Row],[Norm (m2/uur) werkdagen]],0)</f>
        <v>0</v>
      </c>
      <c r="X96" s="258">
        <f>Ruimtestaat[[#This Row],[uren / jaar werkdagen]]*Tariefsopbouw!$D$38</f>
        <v>0</v>
      </c>
      <c r="Y96" s="33"/>
      <c r="Z96" s="33">
        <f>IF(Ruimtestaat[[#This Row],[Frequentie weekend]]&gt;0,VALUE(LEFT(Y96,1))*R96,0)</f>
        <v>0</v>
      </c>
      <c r="AA96" s="33">
        <f>IF($Z96&gt;0,VLOOKUP($J96,Ruimtegroepen[],3,FALSE)*VLOOKUP($L96,Vloersoorten[],3,FALSE)*VLOOKUP($Y96,Frequenties[],3,FALSE)*VLOOKUP(#REF!,Locaties[],3,FALSE),0)</f>
        <v>0</v>
      </c>
      <c r="AB96" s="33"/>
      <c r="AC96" s="33"/>
      <c r="AD96" s="33">
        <f>Ruimtestaat[[#This Row],[uren / jaar weekend]]*Tariefsopbouw!$D$40</f>
        <v>0</v>
      </c>
      <c r="AE96" s="88">
        <f>Ruimtestaat[[#This Row],[Prest. (m2 /jaar) weekend]]+Ruimtestaat[[#This Row],[Prest. (m2 /jaar) werkdagen]]</f>
        <v>0</v>
      </c>
      <c r="AF96" s="88">
        <f>Ruimtestaat[[#This Row],[uren / jaar weekend]]+Ruimtestaat[[#This Row],[uren / jaar werkdagen]]</f>
        <v>0</v>
      </c>
      <c r="AG96" s="89">
        <f>Ruimtestaat[[#This Row],[kosten / jaar weekend]]+Ruimtestaat[[#This Row],[kosten / jaar werkdagen]]</f>
        <v>0</v>
      </c>
      <c r="HL96" s="87"/>
    </row>
    <row r="97" spans="1:220" ht="15" customHeight="1">
      <c r="A97" s="129">
        <v>1</v>
      </c>
      <c r="B97" s="21" t="str">
        <f>VLOOKUP(Ruimtestaat[[#This Row],[Code]],Locaties[#All],2,FALSE)</f>
        <v>Groenlo</v>
      </c>
      <c r="C97" s="21" t="str">
        <f>VLOOKUP(Ruimtestaat[[#This Row],[Code]],Locaties[#All],4,FALSE)</f>
        <v>Deken Hooijmanssingel 1</v>
      </c>
      <c r="D97" s="21" t="str">
        <f>VLOOKUP(Ruimtestaat[[#This Row],[Code]],Locaties[#All],5,FALSE)</f>
        <v>7141 EA</v>
      </c>
      <c r="E97" s="195" t="str">
        <f>VLOOKUP(Ruimtestaat[[#This Row],[Code]],Locaties[#All],6,FALSE)</f>
        <v>Groenlo</v>
      </c>
      <c r="F97" s="195" t="s">
        <v>774</v>
      </c>
      <c r="G97" s="195" t="s">
        <v>549</v>
      </c>
      <c r="H97" s="195" t="s">
        <v>563</v>
      </c>
      <c r="I97" s="242" t="s">
        <v>601</v>
      </c>
      <c r="J97" s="195">
        <v>21</v>
      </c>
      <c r="K97" s="242" t="str">
        <f>VLOOKUP(Ruimtestaat[[#This Row],[Ruimte code]],Ruimtegroepen[#All],2,FALSE)</f>
        <v>Niet in onderhoud</v>
      </c>
      <c r="L97" s="211" t="s">
        <v>111</v>
      </c>
      <c r="M97" s="195" t="s">
        <v>693</v>
      </c>
      <c r="N97" s="197"/>
      <c r="O97" s="198">
        <v>47.09</v>
      </c>
      <c r="P97" s="241" t="str">
        <f>VLOOKUP(Ruimtestaat[[#This Row],[Ruimte code]],Ruimtegroepen[#All],4,FALSE)</f>
        <v>Niet in onderhoud</v>
      </c>
      <c r="Q97" s="210"/>
      <c r="R97" s="211"/>
      <c r="S97" s="211"/>
      <c r="T97" s="211">
        <f>IF(R97&gt;0,IF(RIGHT(Ruimtestaat[[#This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97" s="211">
        <f>IF(T97&gt;0,VLOOKUP($J97,Ruimtegroepen[],3,FALSE)*VLOOKUP($L97,Vloersoorten[],3,FALSE)*VLOOKUP($S97,Frequenties[],3,FALSE)*VLOOKUP($A97,Locaties[],3,FALSE),0)</f>
        <v>0</v>
      </c>
      <c r="V97" s="211">
        <f>Ruimtestaat[[#This Row],[Uitvoeringen werkdagen]]*Ruimtestaat[[#This Row],[Oppervlak (netto)]]</f>
        <v>0</v>
      </c>
      <c r="W97" s="257">
        <f>IF(U97&gt;0,Ruimtestaat[[#This Row],[Prest. (m2 /jaar) werkdagen]]/Ruimtestaat[[#This Row],[Norm (m2/uur) werkdagen]],0)</f>
        <v>0</v>
      </c>
      <c r="X97" s="258">
        <f>Ruimtestaat[[#This Row],[uren / jaar werkdagen]]*Tariefsopbouw!$D$38</f>
        <v>0</v>
      </c>
      <c r="Y97" s="33"/>
      <c r="Z97" s="33">
        <f>IF(Ruimtestaat[[#This Row],[Frequentie weekend]]&gt;0,VALUE(LEFT(Y97,1))*R97,0)</f>
        <v>0</v>
      </c>
      <c r="AA97" s="33">
        <f>IF($Z97&gt;0,VLOOKUP($J97,Ruimtegroepen[],3,FALSE)*VLOOKUP($L97,Vloersoorten[],3,FALSE)*VLOOKUP($Y97,Frequenties[],3,FALSE)*VLOOKUP(#REF!,Locaties[],3,FALSE),0)</f>
        <v>0</v>
      </c>
      <c r="AB97" s="33"/>
      <c r="AC97" s="33"/>
      <c r="AD97" s="33">
        <f>Ruimtestaat[[#This Row],[uren / jaar weekend]]*Tariefsopbouw!$D$40</f>
        <v>0</v>
      </c>
      <c r="AE97" s="88">
        <f>Ruimtestaat[[#This Row],[Prest. (m2 /jaar) weekend]]+Ruimtestaat[[#This Row],[Prest. (m2 /jaar) werkdagen]]</f>
        <v>0</v>
      </c>
      <c r="AF97" s="88">
        <f>Ruimtestaat[[#This Row],[uren / jaar weekend]]+Ruimtestaat[[#This Row],[uren / jaar werkdagen]]</f>
        <v>0</v>
      </c>
      <c r="AG97" s="89">
        <f>Ruimtestaat[[#This Row],[kosten / jaar weekend]]+Ruimtestaat[[#This Row],[kosten / jaar werkdagen]]</f>
        <v>0</v>
      </c>
      <c r="HL97" s="87"/>
    </row>
    <row r="98" spans="1:220" ht="15" customHeight="1">
      <c r="A98" s="129">
        <v>1</v>
      </c>
      <c r="B98" s="21" t="str">
        <f>VLOOKUP(Ruimtestaat[[#This Row],[Code]],Locaties[#All],2,FALSE)</f>
        <v>Groenlo</v>
      </c>
      <c r="C98" s="21" t="str">
        <f>VLOOKUP(Ruimtestaat[[#This Row],[Code]],Locaties[#All],4,FALSE)</f>
        <v>Deken Hooijmanssingel 1</v>
      </c>
      <c r="D98" s="21" t="str">
        <f>VLOOKUP(Ruimtestaat[[#This Row],[Code]],Locaties[#All],5,FALSE)</f>
        <v>7141 EA</v>
      </c>
      <c r="E98" s="195" t="str">
        <f>VLOOKUP(Ruimtestaat[[#This Row],[Code]],Locaties[#All],6,FALSE)</f>
        <v>Groenlo</v>
      </c>
      <c r="F98" s="195" t="s">
        <v>774</v>
      </c>
      <c r="G98" s="195" t="s">
        <v>549</v>
      </c>
      <c r="H98" s="195" t="s">
        <v>564</v>
      </c>
      <c r="I98" s="242" t="s">
        <v>601</v>
      </c>
      <c r="J98" s="195">
        <v>21</v>
      </c>
      <c r="K98" s="242" t="str">
        <f>VLOOKUP(Ruimtestaat[[#This Row],[Ruimte code]],Ruimtegroepen[#All],2,FALSE)</f>
        <v>Niet in onderhoud</v>
      </c>
      <c r="L98" s="211" t="s">
        <v>111</v>
      </c>
      <c r="M98" s="195" t="s">
        <v>693</v>
      </c>
      <c r="N98" s="197"/>
      <c r="O98" s="209">
        <v>48.85</v>
      </c>
      <c r="P98" s="241" t="str">
        <f>VLOOKUP(Ruimtestaat[[#This Row],[Ruimte code]],Ruimtegroepen[#All],4,FALSE)</f>
        <v>Niet in onderhoud</v>
      </c>
      <c r="Q98" s="210"/>
      <c r="R98" s="211"/>
      <c r="S98" s="211"/>
      <c r="T98" s="211">
        <f>IF(R98&gt;0,IF(RIGHT(Ruimtestaat[[#This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98" s="211">
        <f>IF(T98&gt;0,VLOOKUP($J98,Ruimtegroepen[],3,FALSE)*VLOOKUP($L98,Vloersoorten[],3,FALSE)*VLOOKUP($S98,Frequenties[],3,FALSE)*VLOOKUP($A98,Locaties[],3,FALSE),0)</f>
        <v>0</v>
      </c>
      <c r="V98" s="211">
        <f>Ruimtestaat[[#This Row],[Uitvoeringen werkdagen]]*Ruimtestaat[[#This Row],[Oppervlak (netto)]]</f>
        <v>0</v>
      </c>
      <c r="W98" s="257">
        <f>IF(U98&gt;0,Ruimtestaat[[#This Row],[Prest. (m2 /jaar) werkdagen]]/Ruimtestaat[[#This Row],[Norm (m2/uur) werkdagen]],0)</f>
        <v>0</v>
      </c>
      <c r="X98" s="258">
        <f>Ruimtestaat[[#This Row],[uren / jaar werkdagen]]*Tariefsopbouw!$D$38</f>
        <v>0</v>
      </c>
      <c r="Y98" s="33"/>
      <c r="Z98" s="33">
        <f>IF(Ruimtestaat[[#This Row],[Frequentie weekend]]&gt;0,VALUE(LEFT(Y98,1))*R98,0)</f>
        <v>0</v>
      </c>
      <c r="AA98" s="33">
        <f>IF($Z98&gt;0,VLOOKUP($J98,Ruimtegroepen[],3,FALSE)*VLOOKUP($L98,Vloersoorten[],3,FALSE)*VLOOKUP($Y98,Frequenties[],3,FALSE)*VLOOKUP(#REF!,Locaties[],3,FALSE),0)</f>
        <v>0</v>
      </c>
      <c r="AB98" s="33"/>
      <c r="AC98" s="33"/>
      <c r="AD98" s="33">
        <f>Ruimtestaat[[#This Row],[uren / jaar weekend]]*Tariefsopbouw!$D$40</f>
        <v>0</v>
      </c>
      <c r="AE98" s="88">
        <f>Ruimtestaat[[#This Row],[Prest. (m2 /jaar) weekend]]+Ruimtestaat[[#This Row],[Prest. (m2 /jaar) werkdagen]]</f>
        <v>0</v>
      </c>
      <c r="AF98" s="88">
        <f>Ruimtestaat[[#This Row],[uren / jaar weekend]]+Ruimtestaat[[#This Row],[uren / jaar werkdagen]]</f>
        <v>0</v>
      </c>
      <c r="AG98" s="89">
        <f>Ruimtestaat[[#This Row],[kosten / jaar weekend]]+Ruimtestaat[[#This Row],[kosten / jaar werkdagen]]</f>
        <v>0</v>
      </c>
      <c r="HL98" s="87"/>
    </row>
    <row r="99" spans="1:220" ht="15" customHeight="1">
      <c r="A99" s="129">
        <v>1</v>
      </c>
      <c r="B99" s="21" t="str">
        <f>VLOOKUP(Ruimtestaat[[#This Row],[Code]],Locaties[#All],2,FALSE)</f>
        <v>Groenlo</v>
      </c>
      <c r="C99" s="21" t="str">
        <f>VLOOKUP(Ruimtestaat[[#This Row],[Code]],Locaties[#All],4,FALSE)</f>
        <v>Deken Hooijmanssingel 1</v>
      </c>
      <c r="D99" s="21" t="str">
        <f>VLOOKUP(Ruimtestaat[[#This Row],[Code]],Locaties[#All],5,FALSE)</f>
        <v>7141 EA</v>
      </c>
      <c r="E99" s="195" t="str">
        <f>VLOOKUP(Ruimtestaat[[#This Row],[Code]],Locaties[#All],6,FALSE)</f>
        <v>Groenlo</v>
      </c>
      <c r="F99" s="195" t="s">
        <v>774</v>
      </c>
      <c r="G99" s="195" t="s">
        <v>549</v>
      </c>
      <c r="H99" s="195" t="s">
        <v>565</v>
      </c>
      <c r="I99" s="242" t="s">
        <v>601</v>
      </c>
      <c r="J99" s="195">
        <v>21</v>
      </c>
      <c r="K99" s="242" t="str">
        <f>VLOOKUP(Ruimtestaat[[#This Row],[Ruimte code]],Ruimtegroepen[#All],2,FALSE)</f>
        <v>Niet in onderhoud</v>
      </c>
      <c r="L99" s="211" t="s">
        <v>111</v>
      </c>
      <c r="M99" s="195" t="s">
        <v>693</v>
      </c>
      <c r="N99" s="197"/>
      <c r="O99" s="209">
        <v>47.37</v>
      </c>
      <c r="P99" s="241" t="str">
        <f>VLOOKUP(Ruimtestaat[[#This Row],[Ruimte code]],Ruimtegroepen[#All],4,FALSE)</f>
        <v>Niet in onderhoud</v>
      </c>
      <c r="Q99" s="210"/>
      <c r="R99" s="211"/>
      <c r="S99" s="211"/>
      <c r="T99" s="211">
        <f>IF(R99&gt;0,IF(RIGHT(Ruimtestaat[[#This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99" s="211">
        <f>IF(T99&gt;0,VLOOKUP($J99,Ruimtegroepen[],3,FALSE)*VLOOKUP($L99,Vloersoorten[],3,FALSE)*VLOOKUP($S99,Frequenties[],3,FALSE)*VLOOKUP($A99,Locaties[],3,FALSE),0)</f>
        <v>0</v>
      </c>
      <c r="V99" s="211">
        <f>Ruimtestaat[[#This Row],[Uitvoeringen werkdagen]]*Ruimtestaat[[#This Row],[Oppervlak (netto)]]</f>
        <v>0</v>
      </c>
      <c r="W99" s="257">
        <f>IF(U99&gt;0,Ruimtestaat[[#This Row],[Prest. (m2 /jaar) werkdagen]]/Ruimtestaat[[#This Row],[Norm (m2/uur) werkdagen]],0)</f>
        <v>0</v>
      </c>
      <c r="X99" s="258">
        <f>Ruimtestaat[[#This Row],[uren / jaar werkdagen]]*Tariefsopbouw!$D$38</f>
        <v>0</v>
      </c>
      <c r="Y99" s="33"/>
      <c r="Z99" s="33">
        <f>IF(Ruimtestaat[[#This Row],[Frequentie weekend]]&gt;0,VALUE(LEFT(Y99,1))*R99,0)</f>
        <v>0</v>
      </c>
      <c r="AA99" s="33">
        <f>IF($Z99&gt;0,VLOOKUP($J99,Ruimtegroepen[],3,FALSE)*VLOOKUP($L99,Vloersoorten[],3,FALSE)*VLOOKUP($Y99,Frequenties[],3,FALSE)*VLOOKUP(#REF!,Locaties[],3,FALSE),0)</f>
        <v>0</v>
      </c>
      <c r="AB99" s="33"/>
      <c r="AC99" s="33"/>
      <c r="AD99" s="33">
        <f>Ruimtestaat[[#This Row],[uren / jaar weekend]]*Tariefsopbouw!$D$40</f>
        <v>0</v>
      </c>
      <c r="AE99" s="88">
        <f>Ruimtestaat[[#This Row],[Prest. (m2 /jaar) weekend]]+Ruimtestaat[[#This Row],[Prest. (m2 /jaar) werkdagen]]</f>
        <v>0</v>
      </c>
      <c r="AF99" s="88">
        <f>Ruimtestaat[[#This Row],[uren / jaar weekend]]+Ruimtestaat[[#This Row],[uren / jaar werkdagen]]</f>
        <v>0</v>
      </c>
      <c r="AG99" s="89">
        <f>Ruimtestaat[[#This Row],[kosten / jaar weekend]]+Ruimtestaat[[#This Row],[kosten / jaar werkdagen]]</f>
        <v>0</v>
      </c>
      <c r="HL99" s="87"/>
    </row>
    <row r="100" spans="1:220" ht="15" customHeight="1">
      <c r="A100" s="129">
        <v>1</v>
      </c>
      <c r="B100" s="21" t="str">
        <f>VLOOKUP(Ruimtestaat[[#This Row],[Code]],Locaties[#All],2,FALSE)</f>
        <v>Groenlo</v>
      </c>
      <c r="C100" s="21" t="str">
        <f>VLOOKUP(Ruimtestaat[[#This Row],[Code]],Locaties[#All],4,FALSE)</f>
        <v>Deken Hooijmanssingel 1</v>
      </c>
      <c r="D100" s="21" t="str">
        <f>VLOOKUP(Ruimtestaat[[#This Row],[Code]],Locaties[#All],5,FALSE)</f>
        <v>7141 EA</v>
      </c>
      <c r="E100" s="195" t="str">
        <f>VLOOKUP(Ruimtestaat[[#This Row],[Code]],Locaties[#All],6,FALSE)</f>
        <v>Groenlo</v>
      </c>
      <c r="F100" s="195" t="s">
        <v>774</v>
      </c>
      <c r="G100" s="195" t="s">
        <v>549</v>
      </c>
      <c r="H100" s="195" t="s">
        <v>566</v>
      </c>
      <c r="I100" s="242" t="s">
        <v>382</v>
      </c>
      <c r="J100" s="195">
        <v>21</v>
      </c>
      <c r="K100" s="242" t="str">
        <f>VLOOKUP(Ruimtestaat[[#This Row],[Ruimte code]],Ruimtegroepen[#All],2,FALSE)</f>
        <v>Niet in onderhoud</v>
      </c>
      <c r="L100" s="211" t="s">
        <v>111</v>
      </c>
      <c r="M100" s="195" t="s">
        <v>693</v>
      </c>
      <c r="N100" s="197"/>
      <c r="O100" s="209">
        <v>35.99</v>
      </c>
      <c r="P100" s="241" t="str">
        <f>VLOOKUP(Ruimtestaat[[#This Row],[Ruimte code]],Ruimtegroepen[#All],4,FALSE)</f>
        <v>Niet in onderhoud</v>
      </c>
      <c r="Q100" s="210"/>
      <c r="R100" s="211"/>
      <c r="S100" s="211"/>
      <c r="T100" s="211">
        <f>IF(R100&gt;0,IF(RIGHT(Ruimtestaat[[#This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100" s="211">
        <f>IF(T100&gt;0,VLOOKUP($J100,Ruimtegroepen[],3,FALSE)*VLOOKUP($L100,Vloersoorten[],3,FALSE)*VLOOKUP($S100,Frequenties[],3,FALSE)*VLOOKUP($A100,Locaties[],3,FALSE),0)</f>
        <v>0</v>
      </c>
      <c r="V100" s="211">
        <f>Ruimtestaat[[#This Row],[Uitvoeringen werkdagen]]*Ruimtestaat[[#This Row],[Oppervlak (netto)]]</f>
        <v>0</v>
      </c>
      <c r="W100" s="257">
        <f>IF(U100&gt;0,Ruimtestaat[[#This Row],[Prest. (m2 /jaar) werkdagen]]/Ruimtestaat[[#This Row],[Norm (m2/uur) werkdagen]],0)</f>
        <v>0</v>
      </c>
      <c r="X100" s="258">
        <f>Ruimtestaat[[#This Row],[uren / jaar werkdagen]]*Tariefsopbouw!$D$38</f>
        <v>0</v>
      </c>
      <c r="Y100" s="33"/>
      <c r="Z100" s="33">
        <f>IF(Ruimtestaat[[#This Row],[Frequentie weekend]]&gt;0,VALUE(LEFT(Y100,1))*R100,0)</f>
        <v>0</v>
      </c>
      <c r="AA100" s="33">
        <f>IF($Z100&gt;0,VLOOKUP($J100,Ruimtegroepen[],3,FALSE)*VLOOKUP($L100,Vloersoorten[],3,FALSE)*VLOOKUP($Y100,Frequenties[],3,FALSE)*VLOOKUP(#REF!,Locaties[],3,FALSE),0)</f>
        <v>0</v>
      </c>
      <c r="AB100" s="33"/>
      <c r="AC100" s="33"/>
      <c r="AD100" s="33">
        <f>Ruimtestaat[[#This Row],[uren / jaar weekend]]*Tariefsopbouw!$D$40</f>
        <v>0</v>
      </c>
      <c r="AE100" s="88">
        <f>Ruimtestaat[[#This Row],[Prest. (m2 /jaar) weekend]]+Ruimtestaat[[#This Row],[Prest. (m2 /jaar) werkdagen]]</f>
        <v>0</v>
      </c>
      <c r="AF100" s="88">
        <f>Ruimtestaat[[#This Row],[uren / jaar weekend]]+Ruimtestaat[[#This Row],[uren / jaar werkdagen]]</f>
        <v>0</v>
      </c>
      <c r="AG100" s="89">
        <f>Ruimtestaat[[#This Row],[kosten / jaar weekend]]+Ruimtestaat[[#This Row],[kosten / jaar werkdagen]]</f>
        <v>0</v>
      </c>
      <c r="HL100" s="87"/>
    </row>
    <row r="101" spans="1:220" ht="15" customHeight="1">
      <c r="A101" s="129">
        <v>1</v>
      </c>
      <c r="B101" s="21" t="str">
        <f>VLOOKUP(Ruimtestaat[[#This Row],[Code]],Locaties[#All],2,FALSE)</f>
        <v>Groenlo</v>
      </c>
      <c r="C101" s="21" t="str">
        <f>VLOOKUP(Ruimtestaat[[#This Row],[Code]],Locaties[#All],4,FALSE)</f>
        <v>Deken Hooijmanssingel 1</v>
      </c>
      <c r="D101" s="21" t="str">
        <f>VLOOKUP(Ruimtestaat[[#This Row],[Code]],Locaties[#All],5,FALSE)</f>
        <v>7141 EA</v>
      </c>
      <c r="E101" s="195" t="str">
        <f>VLOOKUP(Ruimtestaat[[#This Row],[Code]],Locaties[#All],6,FALSE)</f>
        <v>Groenlo</v>
      </c>
      <c r="F101" s="195" t="s">
        <v>774</v>
      </c>
      <c r="G101" s="195" t="s">
        <v>549</v>
      </c>
      <c r="H101" s="195" t="s">
        <v>567</v>
      </c>
      <c r="I101" s="242" t="s">
        <v>447</v>
      </c>
      <c r="J101" s="195">
        <v>21</v>
      </c>
      <c r="K101" s="242" t="str">
        <f>VLOOKUP(Ruimtestaat[[#This Row],[Ruimte code]],Ruimtegroepen[#All],2,FALSE)</f>
        <v>Niet in onderhoud</v>
      </c>
      <c r="L101" s="211" t="s">
        <v>111</v>
      </c>
      <c r="M101" s="195" t="s">
        <v>693</v>
      </c>
      <c r="N101" s="197"/>
      <c r="O101" s="209">
        <v>2.58</v>
      </c>
      <c r="P101" s="241" t="str">
        <f>VLOOKUP(Ruimtestaat[[#This Row],[Ruimte code]],Ruimtegroepen[#All],4,FALSE)</f>
        <v>Niet in onderhoud</v>
      </c>
      <c r="Q101" s="210"/>
      <c r="R101" s="211"/>
      <c r="S101" s="211"/>
      <c r="T101" s="211">
        <f>IF(R101&gt;0,IF(RIGHT(Ruimtestaat[[#This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101" s="211">
        <f>IF(T101&gt;0,VLOOKUP($J101,Ruimtegroepen[],3,FALSE)*VLOOKUP($L101,Vloersoorten[],3,FALSE)*VLOOKUP($S101,Frequenties[],3,FALSE)*VLOOKUP($A101,Locaties[],3,FALSE),0)</f>
        <v>0</v>
      </c>
      <c r="V101" s="211">
        <f>Ruimtestaat[[#This Row],[Uitvoeringen werkdagen]]*Ruimtestaat[[#This Row],[Oppervlak (netto)]]</f>
        <v>0</v>
      </c>
      <c r="W101" s="257">
        <f>IF(U101&gt;0,Ruimtestaat[[#This Row],[Prest. (m2 /jaar) werkdagen]]/Ruimtestaat[[#This Row],[Norm (m2/uur) werkdagen]],0)</f>
        <v>0</v>
      </c>
      <c r="X101" s="258">
        <f>Ruimtestaat[[#This Row],[uren / jaar werkdagen]]*Tariefsopbouw!$D$38</f>
        <v>0</v>
      </c>
      <c r="Y101" s="33"/>
      <c r="Z101" s="33">
        <f>IF(Ruimtestaat[[#This Row],[Frequentie weekend]]&gt;0,VALUE(LEFT(Y101,1))*R101,0)</f>
        <v>0</v>
      </c>
      <c r="AA101" s="33">
        <f>IF($Z101&gt;0,VLOOKUP($J101,Ruimtegroepen[],3,FALSE)*VLOOKUP($L101,Vloersoorten[],3,FALSE)*VLOOKUP($Y101,Frequenties[],3,FALSE)*VLOOKUP(#REF!,Locaties[],3,FALSE),0)</f>
        <v>0</v>
      </c>
      <c r="AB101" s="33"/>
      <c r="AC101" s="33"/>
      <c r="AD101" s="33">
        <f>Ruimtestaat[[#This Row],[uren / jaar weekend]]*Tariefsopbouw!$D$40</f>
        <v>0</v>
      </c>
      <c r="AE101" s="88">
        <f>Ruimtestaat[[#This Row],[Prest. (m2 /jaar) weekend]]+Ruimtestaat[[#This Row],[Prest. (m2 /jaar) werkdagen]]</f>
        <v>0</v>
      </c>
      <c r="AF101" s="88">
        <f>Ruimtestaat[[#This Row],[uren / jaar weekend]]+Ruimtestaat[[#This Row],[uren / jaar werkdagen]]</f>
        <v>0</v>
      </c>
      <c r="AG101" s="89">
        <f>Ruimtestaat[[#This Row],[kosten / jaar weekend]]+Ruimtestaat[[#This Row],[kosten / jaar werkdagen]]</f>
        <v>0</v>
      </c>
      <c r="HL101" s="87"/>
    </row>
    <row r="102" spans="1:220" ht="15" customHeight="1">
      <c r="A102" s="129">
        <v>1</v>
      </c>
      <c r="B102" s="21" t="str">
        <f>VLOOKUP(Ruimtestaat[[#This Row],[Code]],Locaties[#All],2,FALSE)</f>
        <v>Groenlo</v>
      </c>
      <c r="C102" s="21" t="str">
        <f>VLOOKUP(Ruimtestaat[[#This Row],[Code]],Locaties[#All],4,FALSE)</f>
        <v>Deken Hooijmanssingel 1</v>
      </c>
      <c r="D102" s="21" t="str">
        <f>VLOOKUP(Ruimtestaat[[#This Row],[Code]],Locaties[#All],5,FALSE)</f>
        <v>7141 EA</v>
      </c>
      <c r="E102" s="195" t="str">
        <f>VLOOKUP(Ruimtestaat[[#This Row],[Code]],Locaties[#All],6,FALSE)</f>
        <v>Groenlo</v>
      </c>
      <c r="F102" s="195" t="s">
        <v>774</v>
      </c>
      <c r="G102" s="195" t="s">
        <v>549</v>
      </c>
      <c r="H102" s="195" t="s">
        <v>568</v>
      </c>
      <c r="I102" s="242" t="s">
        <v>601</v>
      </c>
      <c r="J102" s="195">
        <v>21</v>
      </c>
      <c r="K102" s="242" t="str">
        <f>VLOOKUP(Ruimtestaat[[#This Row],[Ruimte code]],Ruimtegroepen[#All],2,FALSE)</f>
        <v>Niet in onderhoud</v>
      </c>
      <c r="L102" s="211" t="s">
        <v>111</v>
      </c>
      <c r="M102" s="195" t="s">
        <v>693</v>
      </c>
      <c r="N102" s="197"/>
      <c r="O102" s="209">
        <v>28.19</v>
      </c>
      <c r="P102" s="241" t="str">
        <f>VLOOKUP(Ruimtestaat[[#This Row],[Ruimte code]],Ruimtegroepen[#All],4,FALSE)</f>
        <v>Niet in onderhoud</v>
      </c>
      <c r="Q102" s="210"/>
      <c r="R102" s="211"/>
      <c r="S102" s="211"/>
      <c r="T102" s="211">
        <f>IF(R102&gt;0,IF(RIGHT(Ruimtestaat[[#This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102" s="211">
        <f>IF(T102&gt;0,VLOOKUP($J102,Ruimtegroepen[],3,FALSE)*VLOOKUP($L102,Vloersoorten[],3,FALSE)*VLOOKUP($S102,Frequenties[],3,FALSE)*VLOOKUP($A102,Locaties[],3,FALSE),0)</f>
        <v>0</v>
      </c>
      <c r="V102" s="211">
        <f>Ruimtestaat[[#This Row],[Uitvoeringen werkdagen]]*Ruimtestaat[[#This Row],[Oppervlak (netto)]]</f>
        <v>0</v>
      </c>
      <c r="W102" s="257">
        <f>IF(U102&gt;0,Ruimtestaat[[#This Row],[Prest. (m2 /jaar) werkdagen]]/Ruimtestaat[[#This Row],[Norm (m2/uur) werkdagen]],0)</f>
        <v>0</v>
      </c>
      <c r="X102" s="258">
        <f>Ruimtestaat[[#This Row],[uren / jaar werkdagen]]*Tariefsopbouw!$D$38</f>
        <v>0</v>
      </c>
      <c r="Y102" s="33"/>
      <c r="Z102" s="33">
        <f>IF(Ruimtestaat[[#This Row],[Frequentie weekend]]&gt;0,VALUE(LEFT(Y102,1))*R102,0)</f>
        <v>0</v>
      </c>
      <c r="AA102" s="33">
        <f>IF($Z102&gt;0,VLOOKUP($J102,Ruimtegroepen[],3,FALSE)*VLOOKUP($L102,Vloersoorten[],3,FALSE)*VLOOKUP($Y102,Frequenties[],3,FALSE)*VLOOKUP(#REF!,Locaties[],3,FALSE),0)</f>
        <v>0</v>
      </c>
      <c r="AB102" s="33"/>
      <c r="AC102" s="33"/>
      <c r="AD102" s="33">
        <f>Ruimtestaat[[#This Row],[uren / jaar weekend]]*Tariefsopbouw!$D$40</f>
        <v>0</v>
      </c>
      <c r="AE102" s="88">
        <f>Ruimtestaat[[#This Row],[Prest. (m2 /jaar) weekend]]+Ruimtestaat[[#This Row],[Prest. (m2 /jaar) werkdagen]]</f>
        <v>0</v>
      </c>
      <c r="AF102" s="88">
        <f>Ruimtestaat[[#This Row],[uren / jaar weekend]]+Ruimtestaat[[#This Row],[uren / jaar werkdagen]]</f>
        <v>0</v>
      </c>
      <c r="AG102" s="89">
        <f>Ruimtestaat[[#This Row],[kosten / jaar weekend]]+Ruimtestaat[[#This Row],[kosten / jaar werkdagen]]</f>
        <v>0</v>
      </c>
      <c r="HL102" s="87"/>
    </row>
    <row r="103" spans="1:220" ht="15" customHeight="1">
      <c r="A103" s="129">
        <v>1</v>
      </c>
      <c r="B103" s="21" t="str">
        <f>VLOOKUP(Ruimtestaat[[#This Row],[Code]],Locaties[#All],2,FALSE)</f>
        <v>Groenlo</v>
      </c>
      <c r="C103" s="21" t="str">
        <f>VLOOKUP(Ruimtestaat[[#This Row],[Code]],Locaties[#All],4,FALSE)</f>
        <v>Deken Hooijmanssingel 1</v>
      </c>
      <c r="D103" s="21" t="str">
        <f>VLOOKUP(Ruimtestaat[[#This Row],[Code]],Locaties[#All],5,FALSE)</f>
        <v>7141 EA</v>
      </c>
      <c r="E103" s="195" t="str">
        <f>VLOOKUP(Ruimtestaat[[#This Row],[Code]],Locaties[#All],6,FALSE)</f>
        <v>Groenlo</v>
      </c>
      <c r="F103" s="195" t="s">
        <v>774</v>
      </c>
      <c r="G103" s="195" t="s">
        <v>549</v>
      </c>
      <c r="H103" s="195" t="s">
        <v>569</v>
      </c>
      <c r="I103" s="242" t="s">
        <v>601</v>
      </c>
      <c r="J103" s="195">
        <v>21</v>
      </c>
      <c r="K103" s="242" t="str">
        <f>VLOOKUP(Ruimtestaat[[#This Row],[Ruimte code]],Ruimtegroepen[#All],2,FALSE)</f>
        <v>Niet in onderhoud</v>
      </c>
      <c r="L103" s="211" t="s">
        <v>111</v>
      </c>
      <c r="M103" s="195" t="s">
        <v>693</v>
      </c>
      <c r="N103" s="197"/>
      <c r="O103" s="209">
        <v>50.12</v>
      </c>
      <c r="P103" s="241" t="str">
        <f>VLOOKUP(Ruimtestaat[[#This Row],[Ruimte code]],Ruimtegroepen[#All],4,FALSE)</f>
        <v>Niet in onderhoud</v>
      </c>
      <c r="Q103" s="210"/>
      <c r="R103" s="211"/>
      <c r="S103" s="211"/>
      <c r="T103" s="211">
        <f>IF(R103&gt;0,IF(RIGHT(Ruimtestaat[[#This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103" s="211">
        <f>IF(T103&gt;0,VLOOKUP($J103,Ruimtegroepen[],3,FALSE)*VLOOKUP($L103,Vloersoorten[],3,FALSE)*VLOOKUP($S103,Frequenties[],3,FALSE)*VLOOKUP($A103,Locaties[],3,FALSE),0)</f>
        <v>0</v>
      </c>
      <c r="V103" s="211">
        <f>Ruimtestaat[[#This Row],[Uitvoeringen werkdagen]]*Ruimtestaat[[#This Row],[Oppervlak (netto)]]</f>
        <v>0</v>
      </c>
      <c r="W103" s="257">
        <f>IF(U103&gt;0,Ruimtestaat[[#This Row],[Prest. (m2 /jaar) werkdagen]]/Ruimtestaat[[#This Row],[Norm (m2/uur) werkdagen]],0)</f>
        <v>0</v>
      </c>
      <c r="X103" s="258">
        <f>Ruimtestaat[[#This Row],[uren / jaar werkdagen]]*Tariefsopbouw!$D$38</f>
        <v>0</v>
      </c>
      <c r="Y103" s="33"/>
      <c r="Z103" s="33">
        <f>IF(Ruimtestaat[[#This Row],[Frequentie weekend]]&gt;0,VALUE(LEFT(Y103,1))*R103,0)</f>
        <v>0</v>
      </c>
      <c r="AA103" s="33">
        <f>IF($Z103&gt;0,VLOOKUP($J103,Ruimtegroepen[],3,FALSE)*VLOOKUP($L103,Vloersoorten[],3,FALSE)*VLOOKUP($Y103,Frequenties[],3,FALSE)*VLOOKUP(#REF!,Locaties[],3,FALSE),0)</f>
        <v>0</v>
      </c>
      <c r="AB103" s="33"/>
      <c r="AC103" s="33"/>
      <c r="AD103" s="33">
        <f>Ruimtestaat[[#This Row],[uren / jaar weekend]]*Tariefsopbouw!$D$40</f>
        <v>0</v>
      </c>
      <c r="AE103" s="88">
        <f>Ruimtestaat[[#This Row],[Prest. (m2 /jaar) weekend]]+Ruimtestaat[[#This Row],[Prest. (m2 /jaar) werkdagen]]</f>
        <v>0</v>
      </c>
      <c r="AF103" s="88">
        <f>Ruimtestaat[[#This Row],[uren / jaar weekend]]+Ruimtestaat[[#This Row],[uren / jaar werkdagen]]</f>
        <v>0</v>
      </c>
      <c r="AG103" s="89">
        <f>Ruimtestaat[[#This Row],[kosten / jaar weekend]]+Ruimtestaat[[#This Row],[kosten / jaar werkdagen]]</f>
        <v>0</v>
      </c>
      <c r="HL103" s="87"/>
    </row>
    <row r="104" spans="1:220" ht="15" customHeight="1">
      <c r="A104" s="129">
        <v>1</v>
      </c>
      <c r="B104" s="21" t="str">
        <f>VLOOKUP(Ruimtestaat[[#This Row],[Code]],Locaties[#All],2,FALSE)</f>
        <v>Groenlo</v>
      </c>
      <c r="C104" s="21" t="str">
        <f>VLOOKUP(Ruimtestaat[[#This Row],[Code]],Locaties[#All],4,FALSE)</f>
        <v>Deken Hooijmanssingel 1</v>
      </c>
      <c r="D104" s="21" t="str">
        <f>VLOOKUP(Ruimtestaat[[#This Row],[Code]],Locaties[#All],5,FALSE)</f>
        <v>7141 EA</v>
      </c>
      <c r="E104" s="195" t="str">
        <f>VLOOKUP(Ruimtestaat[[#This Row],[Code]],Locaties[#All],6,FALSE)</f>
        <v>Groenlo</v>
      </c>
      <c r="F104" s="195" t="s">
        <v>774</v>
      </c>
      <c r="G104" s="195" t="s">
        <v>549</v>
      </c>
      <c r="H104" s="195" t="s">
        <v>570</v>
      </c>
      <c r="I104" s="242" t="s">
        <v>441</v>
      </c>
      <c r="J104" s="195">
        <v>21</v>
      </c>
      <c r="K104" s="242" t="str">
        <f>VLOOKUP(Ruimtestaat[[#This Row],[Ruimte code]],Ruimtegroepen[#All],2,FALSE)</f>
        <v>Niet in onderhoud</v>
      </c>
      <c r="L104" s="211" t="s">
        <v>111</v>
      </c>
      <c r="M104" s="195" t="s">
        <v>693</v>
      </c>
      <c r="N104" s="197"/>
      <c r="O104" s="209">
        <v>8.66</v>
      </c>
      <c r="P104" s="241" t="str">
        <f>VLOOKUP(Ruimtestaat[[#This Row],[Ruimte code]],Ruimtegroepen[#All],4,FALSE)</f>
        <v>Niet in onderhoud</v>
      </c>
      <c r="Q104" s="210"/>
      <c r="R104" s="211"/>
      <c r="S104" s="211"/>
      <c r="T104" s="211">
        <f>IF(R104&gt;0,IF(RIGHT(Ruimtestaat[[#This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104" s="211">
        <f>IF(T104&gt;0,VLOOKUP($J104,Ruimtegroepen[],3,FALSE)*VLOOKUP($L104,Vloersoorten[],3,FALSE)*VLOOKUP($S104,Frequenties[],3,FALSE)*VLOOKUP($A104,Locaties[],3,FALSE),0)</f>
        <v>0</v>
      </c>
      <c r="V104" s="211">
        <f>Ruimtestaat[[#This Row],[Uitvoeringen werkdagen]]*Ruimtestaat[[#This Row],[Oppervlak (netto)]]</f>
        <v>0</v>
      </c>
      <c r="W104" s="257">
        <f>IF(U104&gt;0,Ruimtestaat[[#This Row],[Prest. (m2 /jaar) werkdagen]]/Ruimtestaat[[#This Row],[Norm (m2/uur) werkdagen]],0)</f>
        <v>0</v>
      </c>
      <c r="X104" s="258">
        <f>Ruimtestaat[[#This Row],[uren / jaar werkdagen]]*Tariefsopbouw!$D$38</f>
        <v>0</v>
      </c>
      <c r="Y104" s="33"/>
      <c r="Z104" s="33">
        <f>IF(Ruimtestaat[[#This Row],[Frequentie weekend]]&gt;0,VALUE(LEFT(Y104,1))*R104,0)</f>
        <v>0</v>
      </c>
      <c r="AA104" s="33">
        <f>IF($Z104&gt;0,VLOOKUP($J104,Ruimtegroepen[],3,FALSE)*VLOOKUP($L104,Vloersoorten[],3,FALSE)*VLOOKUP($Y104,Frequenties[],3,FALSE)*VLOOKUP(#REF!,Locaties[],3,FALSE),0)</f>
        <v>0</v>
      </c>
      <c r="AB104" s="33"/>
      <c r="AC104" s="33"/>
      <c r="AD104" s="33">
        <f>Ruimtestaat[[#This Row],[uren / jaar weekend]]*Tariefsopbouw!$D$40</f>
        <v>0</v>
      </c>
      <c r="AE104" s="88">
        <f>Ruimtestaat[[#This Row],[Prest. (m2 /jaar) weekend]]+Ruimtestaat[[#This Row],[Prest. (m2 /jaar) werkdagen]]</f>
        <v>0</v>
      </c>
      <c r="AF104" s="88">
        <f>Ruimtestaat[[#This Row],[uren / jaar weekend]]+Ruimtestaat[[#This Row],[uren / jaar werkdagen]]</f>
        <v>0</v>
      </c>
      <c r="AG104" s="89">
        <f>Ruimtestaat[[#This Row],[kosten / jaar weekend]]+Ruimtestaat[[#This Row],[kosten / jaar werkdagen]]</f>
        <v>0</v>
      </c>
      <c r="HL104" s="87"/>
    </row>
    <row r="105" spans="1:220" ht="15" customHeight="1">
      <c r="A105" s="129">
        <v>1</v>
      </c>
      <c r="B105" s="21" t="str">
        <f>VLOOKUP(Ruimtestaat[[#This Row],[Code]],Locaties[#All],2,FALSE)</f>
        <v>Groenlo</v>
      </c>
      <c r="C105" s="21" t="str">
        <f>VLOOKUP(Ruimtestaat[[#This Row],[Code]],Locaties[#All],4,FALSE)</f>
        <v>Deken Hooijmanssingel 1</v>
      </c>
      <c r="D105" s="21" t="str">
        <f>VLOOKUP(Ruimtestaat[[#This Row],[Code]],Locaties[#All],5,FALSE)</f>
        <v>7141 EA</v>
      </c>
      <c r="E105" s="195" t="str">
        <f>VLOOKUP(Ruimtestaat[[#This Row],[Code]],Locaties[#All],6,FALSE)</f>
        <v>Groenlo</v>
      </c>
      <c r="F105" s="195" t="s">
        <v>774</v>
      </c>
      <c r="G105" s="195" t="s">
        <v>549</v>
      </c>
      <c r="H105" s="195" t="s">
        <v>571</v>
      </c>
      <c r="I105" s="242" t="s">
        <v>382</v>
      </c>
      <c r="J105" s="195">
        <v>21</v>
      </c>
      <c r="K105" s="242" t="str">
        <f>VLOOKUP(Ruimtestaat[[#This Row],[Ruimte code]],Ruimtegroepen[#All],2,FALSE)</f>
        <v>Niet in onderhoud</v>
      </c>
      <c r="L105" s="211" t="s">
        <v>111</v>
      </c>
      <c r="M105" s="195" t="s">
        <v>693</v>
      </c>
      <c r="N105" s="197"/>
      <c r="O105" s="209">
        <v>4.7300000000000004</v>
      </c>
      <c r="P105" s="241" t="str">
        <f>VLOOKUP(Ruimtestaat[[#This Row],[Ruimte code]],Ruimtegroepen[#All],4,FALSE)</f>
        <v>Niet in onderhoud</v>
      </c>
      <c r="Q105" s="210"/>
      <c r="R105" s="211"/>
      <c r="S105" s="211"/>
      <c r="T105" s="211">
        <f>IF(R105&gt;0,IF(RIGHT(Ruimtestaat[[#This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105" s="211">
        <f>IF(T105&gt;0,VLOOKUP($J105,Ruimtegroepen[],3,FALSE)*VLOOKUP($L105,Vloersoorten[],3,FALSE)*VLOOKUP($S105,Frequenties[],3,FALSE)*VLOOKUP($A105,Locaties[],3,FALSE),0)</f>
        <v>0</v>
      </c>
      <c r="V105" s="211">
        <f>Ruimtestaat[[#This Row],[Uitvoeringen werkdagen]]*Ruimtestaat[[#This Row],[Oppervlak (netto)]]</f>
        <v>0</v>
      </c>
      <c r="W105" s="257">
        <f>IF(U105&gt;0,Ruimtestaat[[#This Row],[Prest. (m2 /jaar) werkdagen]]/Ruimtestaat[[#This Row],[Norm (m2/uur) werkdagen]],0)</f>
        <v>0</v>
      </c>
      <c r="X105" s="258">
        <f>Ruimtestaat[[#This Row],[uren / jaar werkdagen]]*Tariefsopbouw!$D$38</f>
        <v>0</v>
      </c>
      <c r="Y105" s="33"/>
      <c r="Z105" s="33">
        <f>IF(Ruimtestaat[[#This Row],[Frequentie weekend]]&gt;0,VALUE(LEFT(Y105,1))*R105,0)</f>
        <v>0</v>
      </c>
      <c r="AA105" s="33">
        <f>IF($Z105&gt;0,VLOOKUP($J105,Ruimtegroepen[],3,FALSE)*VLOOKUP($L105,Vloersoorten[],3,FALSE)*VLOOKUP($Y105,Frequenties[],3,FALSE)*VLOOKUP(#REF!,Locaties[],3,FALSE),0)</f>
        <v>0</v>
      </c>
      <c r="AB105" s="33"/>
      <c r="AC105" s="33"/>
      <c r="AD105" s="33">
        <f>Ruimtestaat[[#This Row],[uren / jaar weekend]]*Tariefsopbouw!$D$40</f>
        <v>0</v>
      </c>
      <c r="AE105" s="88">
        <f>Ruimtestaat[[#This Row],[Prest. (m2 /jaar) weekend]]+Ruimtestaat[[#This Row],[Prest. (m2 /jaar) werkdagen]]</f>
        <v>0</v>
      </c>
      <c r="AF105" s="88">
        <f>Ruimtestaat[[#This Row],[uren / jaar weekend]]+Ruimtestaat[[#This Row],[uren / jaar werkdagen]]</f>
        <v>0</v>
      </c>
      <c r="AG105" s="89">
        <f>Ruimtestaat[[#This Row],[kosten / jaar weekend]]+Ruimtestaat[[#This Row],[kosten / jaar werkdagen]]</f>
        <v>0</v>
      </c>
      <c r="HL105" s="87"/>
    </row>
    <row r="106" spans="1:220" ht="15" customHeight="1">
      <c r="A106" s="129">
        <v>1</v>
      </c>
      <c r="B106" s="21" t="str">
        <f>VLOOKUP(Ruimtestaat[[#This Row],[Code]],Locaties[#All],2,FALSE)</f>
        <v>Groenlo</v>
      </c>
      <c r="C106" s="21" t="str">
        <f>VLOOKUP(Ruimtestaat[[#This Row],[Code]],Locaties[#All],4,FALSE)</f>
        <v>Deken Hooijmanssingel 1</v>
      </c>
      <c r="D106" s="21" t="str">
        <f>VLOOKUP(Ruimtestaat[[#This Row],[Code]],Locaties[#All],5,FALSE)</f>
        <v>7141 EA</v>
      </c>
      <c r="E106" s="195" t="str">
        <f>VLOOKUP(Ruimtestaat[[#This Row],[Code]],Locaties[#All],6,FALSE)</f>
        <v>Groenlo</v>
      </c>
      <c r="F106" s="195" t="s">
        <v>774</v>
      </c>
      <c r="G106" s="195" t="s">
        <v>549</v>
      </c>
      <c r="H106" s="195" t="s">
        <v>572</v>
      </c>
      <c r="I106" s="242" t="s">
        <v>601</v>
      </c>
      <c r="J106" s="195">
        <v>21</v>
      </c>
      <c r="K106" s="242" t="str">
        <f>VLOOKUP(Ruimtestaat[[#This Row],[Ruimte code]],Ruimtegroepen[#All],2,FALSE)</f>
        <v>Niet in onderhoud</v>
      </c>
      <c r="L106" s="211" t="s">
        <v>111</v>
      </c>
      <c r="M106" s="195" t="s">
        <v>693</v>
      </c>
      <c r="N106" s="197"/>
      <c r="O106" s="209">
        <v>29.41</v>
      </c>
      <c r="P106" s="241" t="str">
        <f>VLOOKUP(Ruimtestaat[[#This Row],[Ruimte code]],Ruimtegroepen[#All],4,FALSE)</f>
        <v>Niet in onderhoud</v>
      </c>
      <c r="Q106" s="210"/>
      <c r="R106" s="211"/>
      <c r="S106" s="211"/>
      <c r="T106" s="211">
        <f>IF(R106&gt;0,IF(RIGHT(Ruimtestaat[[#This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106" s="211">
        <f>IF(T106&gt;0,VLOOKUP($J106,Ruimtegroepen[],3,FALSE)*VLOOKUP($L106,Vloersoorten[],3,FALSE)*VLOOKUP($S106,Frequenties[],3,FALSE)*VLOOKUP($A106,Locaties[],3,FALSE),0)</f>
        <v>0</v>
      </c>
      <c r="V106" s="211">
        <f>Ruimtestaat[[#This Row],[Uitvoeringen werkdagen]]*Ruimtestaat[[#This Row],[Oppervlak (netto)]]</f>
        <v>0</v>
      </c>
      <c r="W106" s="257">
        <f>IF(U106&gt;0,Ruimtestaat[[#This Row],[Prest. (m2 /jaar) werkdagen]]/Ruimtestaat[[#This Row],[Norm (m2/uur) werkdagen]],0)</f>
        <v>0</v>
      </c>
      <c r="X106" s="258">
        <f>Ruimtestaat[[#This Row],[uren / jaar werkdagen]]*Tariefsopbouw!$D$38</f>
        <v>0</v>
      </c>
      <c r="Y106" s="33"/>
      <c r="Z106" s="33">
        <f>IF(Ruimtestaat[[#This Row],[Frequentie weekend]]&gt;0,VALUE(LEFT(Y106,1))*R106,0)</f>
        <v>0</v>
      </c>
      <c r="AA106" s="33">
        <f>IF($Z106&gt;0,VLOOKUP($J106,Ruimtegroepen[],3,FALSE)*VLOOKUP($L106,Vloersoorten[],3,FALSE)*VLOOKUP($Y106,Frequenties[],3,FALSE)*VLOOKUP(#REF!,Locaties[],3,FALSE),0)</f>
        <v>0</v>
      </c>
      <c r="AB106" s="33"/>
      <c r="AC106" s="33"/>
      <c r="AD106" s="33">
        <f>Ruimtestaat[[#This Row],[uren / jaar weekend]]*Tariefsopbouw!$D$40</f>
        <v>0</v>
      </c>
      <c r="AE106" s="88">
        <f>Ruimtestaat[[#This Row],[Prest. (m2 /jaar) weekend]]+Ruimtestaat[[#This Row],[Prest. (m2 /jaar) werkdagen]]</f>
        <v>0</v>
      </c>
      <c r="AF106" s="88">
        <f>Ruimtestaat[[#This Row],[uren / jaar weekend]]+Ruimtestaat[[#This Row],[uren / jaar werkdagen]]</f>
        <v>0</v>
      </c>
      <c r="AG106" s="89">
        <f>Ruimtestaat[[#This Row],[kosten / jaar weekend]]+Ruimtestaat[[#This Row],[kosten / jaar werkdagen]]</f>
        <v>0</v>
      </c>
      <c r="HL106" s="87"/>
    </row>
    <row r="107" spans="1:220" ht="15" customHeight="1">
      <c r="A107" s="129">
        <v>1</v>
      </c>
      <c r="B107" s="21" t="str">
        <f>VLOOKUP(Ruimtestaat[[#This Row],[Code]],Locaties[#All],2,FALSE)</f>
        <v>Groenlo</v>
      </c>
      <c r="C107" s="21" t="str">
        <f>VLOOKUP(Ruimtestaat[[#This Row],[Code]],Locaties[#All],4,FALSE)</f>
        <v>Deken Hooijmanssingel 1</v>
      </c>
      <c r="D107" s="21" t="str">
        <f>VLOOKUP(Ruimtestaat[[#This Row],[Code]],Locaties[#All],5,FALSE)</f>
        <v>7141 EA</v>
      </c>
      <c r="E107" s="195" t="str">
        <f>VLOOKUP(Ruimtestaat[[#This Row],[Code]],Locaties[#All],6,FALSE)</f>
        <v>Groenlo</v>
      </c>
      <c r="F107" s="195" t="s">
        <v>774</v>
      </c>
      <c r="G107" s="195" t="s">
        <v>549</v>
      </c>
      <c r="H107" s="195" t="s">
        <v>573</v>
      </c>
      <c r="I107" s="242" t="s">
        <v>601</v>
      </c>
      <c r="J107" s="195">
        <v>21</v>
      </c>
      <c r="K107" s="242" t="str">
        <f>VLOOKUP(Ruimtestaat[[#This Row],[Ruimte code]],Ruimtegroepen[#All],2,FALSE)</f>
        <v>Niet in onderhoud</v>
      </c>
      <c r="L107" s="211" t="s">
        <v>111</v>
      </c>
      <c r="M107" s="195" t="s">
        <v>693</v>
      </c>
      <c r="N107" s="197"/>
      <c r="O107" s="209">
        <v>3.51</v>
      </c>
      <c r="P107" s="241" t="str">
        <f>VLOOKUP(Ruimtestaat[[#This Row],[Ruimte code]],Ruimtegroepen[#All],4,FALSE)</f>
        <v>Niet in onderhoud</v>
      </c>
      <c r="Q107" s="210"/>
      <c r="R107" s="211"/>
      <c r="S107" s="211"/>
      <c r="T107" s="211">
        <f>IF(R107&gt;0,IF(RIGHT(Ruimtestaat[[#This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107" s="211">
        <f>IF(T107&gt;0,VLOOKUP($J107,Ruimtegroepen[],3,FALSE)*VLOOKUP($L107,Vloersoorten[],3,FALSE)*VLOOKUP($S107,Frequenties[],3,FALSE)*VLOOKUP($A107,Locaties[],3,FALSE),0)</f>
        <v>0</v>
      </c>
      <c r="V107" s="211">
        <f>Ruimtestaat[[#This Row],[Uitvoeringen werkdagen]]*Ruimtestaat[[#This Row],[Oppervlak (netto)]]</f>
        <v>0</v>
      </c>
      <c r="W107" s="257">
        <f>IF(U107&gt;0,Ruimtestaat[[#This Row],[Prest. (m2 /jaar) werkdagen]]/Ruimtestaat[[#This Row],[Norm (m2/uur) werkdagen]],0)</f>
        <v>0</v>
      </c>
      <c r="X107" s="258">
        <f>Ruimtestaat[[#This Row],[uren / jaar werkdagen]]*Tariefsopbouw!$D$38</f>
        <v>0</v>
      </c>
      <c r="Y107" s="33"/>
      <c r="Z107" s="33">
        <f>IF(Ruimtestaat[[#This Row],[Frequentie weekend]]&gt;0,VALUE(LEFT(Y107,1))*R107,0)</f>
        <v>0</v>
      </c>
      <c r="AA107" s="33">
        <f>IF($Z107&gt;0,VLOOKUP($J107,Ruimtegroepen[],3,FALSE)*VLOOKUP($L107,Vloersoorten[],3,FALSE)*VLOOKUP($Y107,Frequenties[],3,FALSE)*VLOOKUP(#REF!,Locaties[],3,FALSE),0)</f>
        <v>0</v>
      </c>
      <c r="AB107" s="33"/>
      <c r="AC107" s="33"/>
      <c r="AD107" s="33">
        <f>Ruimtestaat[[#This Row],[uren / jaar weekend]]*Tariefsopbouw!$D$40</f>
        <v>0</v>
      </c>
      <c r="AE107" s="88">
        <f>Ruimtestaat[[#This Row],[Prest. (m2 /jaar) weekend]]+Ruimtestaat[[#This Row],[Prest. (m2 /jaar) werkdagen]]</f>
        <v>0</v>
      </c>
      <c r="AF107" s="88">
        <f>Ruimtestaat[[#This Row],[uren / jaar weekend]]+Ruimtestaat[[#This Row],[uren / jaar werkdagen]]</f>
        <v>0</v>
      </c>
      <c r="AG107" s="89">
        <f>Ruimtestaat[[#This Row],[kosten / jaar weekend]]+Ruimtestaat[[#This Row],[kosten / jaar werkdagen]]</f>
        <v>0</v>
      </c>
      <c r="HL107" s="87"/>
    </row>
    <row r="108" spans="1:220" ht="15" customHeight="1">
      <c r="A108" s="129">
        <v>1</v>
      </c>
      <c r="B108" s="21" t="str">
        <f>VLOOKUP(Ruimtestaat[[#This Row],[Code]],Locaties[#All],2,FALSE)</f>
        <v>Groenlo</v>
      </c>
      <c r="C108" s="21" t="str">
        <f>VLOOKUP(Ruimtestaat[[#This Row],[Code]],Locaties[#All],4,FALSE)</f>
        <v>Deken Hooijmanssingel 1</v>
      </c>
      <c r="D108" s="21" t="str">
        <f>VLOOKUP(Ruimtestaat[[#This Row],[Code]],Locaties[#All],5,FALSE)</f>
        <v>7141 EA</v>
      </c>
      <c r="E108" s="195" t="str">
        <f>VLOOKUP(Ruimtestaat[[#This Row],[Code]],Locaties[#All],6,FALSE)</f>
        <v>Groenlo</v>
      </c>
      <c r="F108" s="195" t="s">
        <v>774</v>
      </c>
      <c r="G108" s="195" t="s">
        <v>549</v>
      </c>
      <c r="H108" s="195" t="s">
        <v>574</v>
      </c>
      <c r="I108" s="242" t="s">
        <v>824</v>
      </c>
      <c r="J108" s="195">
        <v>21</v>
      </c>
      <c r="K108" s="242" t="str">
        <f>VLOOKUP(Ruimtestaat[[#This Row],[Ruimte code]],Ruimtegroepen[#All],2,FALSE)</f>
        <v>Niet in onderhoud</v>
      </c>
      <c r="L108" s="211" t="s">
        <v>111</v>
      </c>
      <c r="M108" s="195" t="s">
        <v>693</v>
      </c>
      <c r="N108" s="197"/>
      <c r="O108" s="209">
        <v>33.15</v>
      </c>
      <c r="P108" s="241" t="str">
        <f>VLOOKUP(Ruimtestaat[[#This Row],[Ruimte code]],Ruimtegroepen[#All],4,FALSE)</f>
        <v>Niet in onderhoud</v>
      </c>
      <c r="Q108" s="210"/>
      <c r="R108" s="211"/>
      <c r="S108" s="211"/>
      <c r="T108" s="211">
        <f>IF(R108&gt;0,IF(RIGHT(Ruimtestaat[[#This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108" s="211">
        <f>IF(T108&gt;0,VLOOKUP($J108,Ruimtegroepen[],3,FALSE)*VLOOKUP($L108,Vloersoorten[],3,FALSE)*VLOOKUP($S108,Frequenties[],3,FALSE)*VLOOKUP($A108,Locaties[],3,FALSE),0)</f>
        <v>0</v>
      </c>
      <c r="V108" s="211">
        <f>Ruimtestaat[[#This Row],[Uitvoeringen werkdagen]]*Ruimtestaat[[#This Row],[Oppervlak (netto)]]</f>
        <v>0</v>
      </c>
      <c r="W108" s="257">
        <f>IF(U108&gt;0,Ruimtestaat[[#This Row],[Prest. (m2 /jaar) werkdagen]]/Ruimtestaat[[#This Row],[Norm (m2/uur) werkdagen]],0)</f>
        <v>0</v>
      </c>
      <c r="X108" s="258">
        <f>Ruimtestaat[[#This Row],[uren / jaar werkdagen]]*Tariefsopbouw!$D$38</f>
        <v>0</v>
      </c>
      <c r="Y108" s="33"/>
      <c r="Z108" s="33">
        <f>IF(Ruimtestaat[[#This Row],[Frequentie weekend]]&gt;0,VALUE(LEFT(Y108,1))*R108,0)</f>
        <v>0</v>
      </c>
      <c r="AA108" s="33">
        <f>IF($Z108&gt;0,VLOOKUP($J108,Ruimtegroepen[],3,FALSE)*VLOOKUP($L108,Vloersoorten[],3,FALSE)*VLOOKUP($Y108,Frequenties[],3,FALSE)*VLOOKUP(#REF!,Locaties[],3,FALSE),0)</f>
        <v>0</v>
      </c>
      <c r="AB108" s="33"/>
      <c r="AC108" s="33"/>
      <c r="AD108" s="33">
        <f>Ruimtestaat[[#This Row],[uren / jaar weekend]]*Tariefsopbouw!$D$40</f>
        <v>0</v>
      </c>
      <c r="AE108" s="88">
        <f>Ruimtestaat[[#This Row],[Prest. (m2 /jaar) weekend]]+Ruimtestaat[[#This Row],[Prest. (m2 /jaar) werkdagen]]</f>
        <v>0</v>
      </c>
      <c r="AF108" s="88">
        <f>Ruimtestaat[[#This Row],[uren / jaar weekend]]+Ruimtestaat[[#This Row],[uren / jaar werkdagen]]</f>
        <v>0</v>
      </c>
      <c r="AG108" s="89">
        <f>Ruimtestaat[[#This Row],[kosten / jaar weekend]]+Ruimtestaat[[#This Row],[kosten / jaar werkdagen]]</f>
        <v>0</v>
      </c>
      <c r="HL108" s="87"/>
    </row>
    <row r="109" spans="1:220" ht="15" customHeight="1">
      <c r="A109" s="129">
        <v>1</v>
      </c>
      <c r="B109" s="21" t="str">
        <f>VLOOKUP(Ruimtestaat[[#This Row],[Code]],Locaties[#All],2,FALSE)</f>
        <v>Groenlo</v>
      </c>
      <c r="C109" s="21" t="str">
        <f>VLOOKUP(Ruimtestaat[[#This Row],[Code]],Locaties[#All],4,FALSE)</f>
        <v>Deken Hooijmanssingel 1</v>
      </c>
      <c r="D109" s="21" t="str">
        <f>VLOOKUP(Ruimtestaat[[#This Row],[Code]],Locaties[#All],5,FALSE)</f>
        <v>7141 EA</v>
      </c>
      <c r="E109" s="195" t="str">
        <f>VLOOKUP(Ruimtestaat[[#This Row],[Code]],Locaties[#All],6,FALSE)</f>
        <v>Groenlo</v>
      </c>
      <c r="F109" s="195" t="s">
        <v>774</v>
      </c>
      <c r="G109" s="195" t="s">
        <v>549</v>
      </c>
      <c r="H109" s="195" t="s">
        <v>575</v>
      </c>
      <c r="I109" s="242" t="s">
        <v>441</v>
      </c>
      <c r="J109" s="195">
        <v>21</v>
      </c>
      <c r="K109" s="242" t="str">
        <f>VLOOKUP(Ruimtestaat[[#This Row],[Ruimte code]],Ruimtegroepen[#All],2,FALSE)</f>
        <v>Niet in onderhoud</v>
      </c>
      <c r="L109" s="211" t="s">
        <v>111</v>
      </c>
      <c r="M109" s="195" t="s">
        <v>693</v>
      </c>
      <c r="N109" s="197"/>
      <c r="O109" s="209">
        <v>84.57</v>
      </c>
      <c r="P109" s="241" t="str">
        <f>VLOOKUP(Ruimtestaat[[#This Row],[Ruimte code]],Ruimtegroepen[#All],4,FALSE)</f>
        <v>Niet in onderhoud</v>
      </c>
      <c r="Q109" s="210"/>
      <c r="R109" s="211"/>
      <c r="S109" s="211"/>
      <c r="T109" s="211">
        <f>IF(R109&gt;0,IF(RIGHT(Ruimtestaat[[#This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109" s="211">
        <f>IF(T109&gt;0,VLOOKUP($J109,Ruimtegroepen[],3,FALSE)*VLOOKUP($L109,Vloersoorten[],3,FALSE)*VLOOKUP($S109,Frequenties[],3,FALSE)*VLOOKUP($A109,Locaties[],3,FALSE),0)</f>
        <v>0</v>
      </c>
      <c r="V109" s="211">
        <f>Ruimtestaat[[#This Row],[Uitvoeringen werkdagen]]*Ruimtestaat[[#This Row],[Oppervlak (netto)]]</f>
        <v>0</v>
      </c>
      <c r="W109" s="257">
        <f>IF(U109&gt;0,Ruimtestaat[[#This Row],[Prest. (m2 /jaar) werkdagen]]/Ruimtestaat[[#This Row],[Norm (m2/uur) werkdagen]],0)</f>
        <v>0</v>
      </c>
      <c r="X109" s="258">
        <f>Ruimtestaat[[#This Row],[uren / jaar werkdagen]]*Tariefsopbouw!$D$38</f>
        <v>0</v>
      </c>
      <c r="Y109" s="33"/>
      <c r="Z109" s="33">
        <f>IF(Ruimtestaat[[#This Row],[Frequentie weekend]]&gt;0,VALUE(LEFT(Y109,1))*R109,0)</f>
        <v>0</v>
      </c>
      <c r="AA109" s="33">
        <f>IF($Z109&gt;0,VLOOKUP($J109,Ruimtegroepen[],3,FALSE)*VLOOKUP($L109,Vloersoorten[],3,FALSE)*VLOOKUP($Y109,Frequenties[],3,FALSE)*VLOOKUP(#REF!,Locaties[],3,FALSE),0)</f>
        <v>0</v>
      </c>
      <c r="AB109" s="33"/>
      <c r="AC109" s="33"/>
      <c r="AD109" s="33">
        <f>Ruimtestaat[[#This Row],[uren / jaar weekend]]*Tariefsopbouw!$D$40</f>
        <v>0</v>
      </c>
      <c r="AE109" s="88">
        <f>Ruimtestaat[[#This Row],[Prest. (m2 /jaar) weekend]]+Ruimtestaat[[#This Row],[Prest. (m2 /jaar) werkdagen]]</f>
        <v>0</v>
      </c>
      <c r="AF109" s="88">
        <f>Ruimtestaat[[#This Row],[uren / jaar weekend]]+Ruimtestaat[[#This Row],[uren / jaar werkdagen]]</f>
        <v>0</v>
      </c>
      <c r="AG109" s="89">
        <f>Ruimtestaat[[#This Row],[kosten / jaar weekend]]+Ruimtestaat[[#This Row],[kosten / jaar werkdagen]]</f>
        <v>0</v>
      </c>
      <c r="HL109" s="87"/>
    </row>
    <row r="110" spans="1:220" ht="15" customHeight="1">
      <c r="A110" s="129">
        <v>1</v>
      </c>
      <c r="B110" s="21" t="str">
        <f>VLOOKUP(Ruimtestaat[[#This Row],[Code]],Locaties[#All],2,FALSE)</f>
        <v>Groenlo</v>
      </c>
      <c r="C110" s="21" t="str">
        <f>VLOOKUP(Ruimtestaat[[#This Row],[Code]],Locaties[#All],4,FALSE)</f>
        <v>Deken Hooijmanssingel 1</v>
      </c>
      <c r="D110" s="21" t="str">
        <f>VLOOKUP(Ruimtestaat[[#This Row],[Code]],Locaties[#All],5,FALSE)</f>
        <v>7141 EA</v>
      </c>
      <c r="E110" s="195" t="str">
        <f>VLOOKUP(Ruimtestaat[[#This Row],[Code]],Locaties[#All],6,FALSE)</f>
        <v>Groenlo</v>
      </c>
      <c r="F110" s="195" t="s">
        <v>774</v>
      </c>
      <c r="G110" s="195" t="s">
        <v>776</v>
      </c>
      <c r="H110" s="195" t="s">
        <v>451</v>
      </c>
      <c r="I110" s="242" t="s">
        <v>441</v>
      </c>
      <c r="J110" s="195">
        <v>1</v>
      </c>
      <c r="K110" s="242" t="str">
        <f>VLOOKUP(Ruimtestaat[[#This Row],[Ruimte code]],Ruimtegroepen[#All],2,FALSE)</f>
        <v>Magazijnen/bergingen</v>
      </c>
      <c r="L110" s="211" t="s">
        <v>111</v>
      </c>
      <c r="M110" s="195" t="s">
        <v>777</v>
      </c>
      <c r="N110" s="197">
        <v>4.66</v>
      </c>
      <c r="O110" s="209"/>
      <c r="P110" s="241" t="str">
        <f>VLOOKUP(Ruimtestaat[[#This Row],[Ruimte code]],Ruimtegroepen[#All],4,FALSE)</f>
        <v>V  (Verkeersruimte)</v>
      </c>
      <c r="Q110" s="210"/>
      <c r="R110" s="211">
        <v>40</v>
      </c>
      <c r="S110" s="211" t="s">
        <v>16</v>
      </c>
      <c r="T110" s="211">
        <f>IF(R110&gt;0,IF(RIGHT(Ruimtestaat[[#This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U110" s="211">
        <f>IF(T110&gt;0,VLOOKUP($J110,Ruimtegroepen[],3,FALSE)*VLOOKUP($L110,Vloersoorten[],3,FALSE)*VLOOKUP($S110,Frequenties[],3,FALSE)*VLOOKUP($A110,Locaties[],3,FALSE),0)</f>
        <v>100</v>
      </c>
      <c r="V110" s="211">
        <f>Ruimtestaat[[#This Row],[Uitvoeringen werkdagen]]*Ruimtestaat[[#This Row],[Oppervlak (netto)]]</f>
        <v>55.92</v>
      </c>
      <c r="W110" s="257">
        <f>IF(U110&gt;0,Ruimtestaat[[#This Row],[Prest. (m2 /jaar) werkdagen]]/Ruimtestaat[[#This Row],[Norm (m2/uur) werkdagen]],0)</f>
        <v>0.55920000000000003</v>
      </c>
      <c r="X110" s="258">
        <f>Ruimtestaat[[#This Row],[uren / jaar werkdagen]]*Tariefsopbouw!$D$38</f>
        <v>13.98</v>
      </c>
      <c r="Y110" s="33"/>
      <c r="Z110" s="33">
        <f>IF(Ruimtestaat[[#This Row],[Frequentie weekend]]&gt;0,VALUE(LEFT(Y110,1))*R110,0)</f>
        <v>0</v>
      </c>
      <c r="AA110" s="33">
        <f>IF($Z110&gt;0,VLOOKUP($J110,Ruimtegroepen[],3,FALSE)*VLOOKUP($L110,Vloersoorten[],3,FALSE)*VLOOKUP($Y110,Frequenties[],3,FALSE)*VLOOKUP(#REF!,Locaties[],3,FALSE),0)</f>
        <v>0</v>
      </c>
      <c r="AB110" s="33"/>
      <c r="AC110" s="33"/>
      <c r="AD110" s="33">
        <f>Ruimtestaat[[#This Row],[uren / jaar weekend]]*Tariefsopbouw!$D$40</f>
        <v>0</v>
      </c>
      <c r="AE110" s="88">
        <f>Ruimtestaat[[#This Row],[Prest. (m2 /jaar) weekend]]+Ruimtestaat[[#This Row],[Prest. (m2 /jaar) werkdagen]]</f>
        <v>55.92</v>
      </c>
      <c r="AF110" s="88">
        <f>Ruimtestaat[[#This Row],[uren / jaar weekend]]+Ruimtestaat[[#This Row],[uren / jaar werkdagen]]</f>
        <v>0.55920000000000003</v>
      </c>
      <c r="AG110" s="89">
        <f>Ruimtestaat[[#This Row],[kosten / jaar weekend]]+Ruimtestaat[[#This Row],[kosten / jaar werkdagen]]</f>
        <v>13.98</v>
      </c>
      <c r="HL110" s="87"/>
    </row>
    <row r="111" spans="1:220" ht="15" customHeight="1">
      <c r="A111" s="129">
        <v>1</v>
      </c>
      <c r="B111" s="21" t="str">
        <f>VLOOKUP(Ruimtestaat[[#This Row],[Code]],Locaties[#All],2,FALSE)</f>
        <v>Groenlo</v>
      </c>
      <c r="C111" s="21" t="str">
        <f>VLOOKUP(Ruimtestaat[[#This Row],[Code]],Locaties[#All],4,FALSE)</f>
        <v>Deken Hooijmanssingel 1</v>
      </c>
      <c r="D111" s="21" t="str">
        <f>VLOOKUP(Ruimtestaat[[#This Row],[Code]],Locaties[#All],5,FALSE)</f>
        <v>7141 EA</v>
      </c>
      <c r="E111" s="195" t="str">
        <f>VLOOKUP(Ruimtestaat[[#This Row],[Code]],Locaties[#All],6,FALSE)</f>
        <v>Groenlo</v>
      </c>
      <c r="F111" s="195" t="s">
        <v>774</v>
      </c>
      <c r="G111" s="195" t="s">
        <v>776</v>
      </c>
      <c r="H111" s="195" t="s">
        <v>453</v>
      </c>
      <c r="I111" s="242" t="s">
        <v>382</v>
      </c>
      <c r="J111" s="195">
        <v>9</v>
      </c>
      <c r="K111" s="242" t="str">
        <f>VLOOKUP(Ruimtestaat[[#This Row],[Ruimte code]],Ruimtegroepen[#All],2,FALSE)</f>
        <v>Garderobe</v>
      </c>
      <c r="L111" s="211" t="s">
        <v>110</v>
      </c>
      <c r="M111" s="195" t="s">
        <v>133</v>
      </c>
      <c r="N111" s="197">
        <v>11.86</v>
      </c>
      <c r="O111" s="209"/>
      <c r="P111" s="241" t="str">
        <f>VLOOKUP(Ruimtestaat[[#This Row],[Ruimte code]],Ruimtegroepen[#All],4,FALSE)</f>
        <v>V  (Verkeersruimte)</v>
      </c>
      <c r="Q111" s="210"/>
      <c r="R111" s="211">
        <v>40</v>
      </c>
      <c r="S111" s="211" t="s">
        <v>2</v>
      </c>
      <c r="T111" s="211">
        <f>IF(R111&gt;0,IF(RIGHT(Ruimtestaat[[#This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111" s="211">
        <f>IF(T111&gt;0,VLOOKUP($J111,Ruimtegroepen[],3,FALSE)*VLOOKUP($L111,Vloersoorten[],3,FALSE)*VLOOKUP($S111,Frequenties[],3,FALSE)*VLOOKUP($A111,Locaties[],3,FALSE),0)</f>
        <v>100</v>
      </c>
      <c r="V111" s="211">
        <f>Ruimtestaat[[#This Row],[Uitvoeringen werkdagen]]*Ruimtestaat[[#This Row],[Oppervlak (netto)]]</f>
        <v>2372</v>
      </c>
      <c r="W111" s="257">
        <f>IF(U111&gt;0,Ruimtestaat[[#This Row],[Prest. (m2 /jaar) werkdagen]]/Ruimtestaat[[#This Row],[Norm (m2/uur) werkdagen]],0)</f>
        <v>23.72</v>
      </c>
      <c r="X111" s="258">
        <f>Ruimtestaat[[#This Row],[uren / jaar werkdagen]]*Tariefsopbouw!$D$38</f>
        <v>593</v>
      </c>
      <c r="Y111" s="33"/>
      <c r="Z111" s="33">
        <f>IF(Ruimtestaat[[#This Row],[Frequentie weekend]]&gt;0,VALUE(LEFT(Y111,1))*R111,0)</f>
        <v>0</v>
      </c>
      <c r="AA111" s="33">
        <f>IF($Z111&gt;0,VLOOKUP($J111,Ruimtegroepen[],3,FALSE)*VLOOKUP($L111,Vloersoorten[],3,FALSE)*VLOOKUP($Y111,Frequenties[],3,FALSE)*VLOOKUP(#REF!,Locaties[],3,FALSE),0)</f>
        <v>0</v>
      </c>
      <c r="AB111" s="33"/>
      <c r="AC111" s="33"/>
      <c r="AD111" s="33">
        <f>Ruimtestaat[[#This Row],[uren / jaar weekend]]*Tariefsopbouw!$D$40</f>
        <v>0</v>
      </c>
      <c r="AE111" s="88">
        <f>Ruimtestaat[[#This Row],[Prest. (m2 /jaar) weekend]]+Ruimtestaat[[#This Row],[Prest. (m2 /jaar) werkdagen]]</f>
        <v>2372</v>
      </c>
      <c r="AF111" s="88">
        <f>Ruimtestaat[[#This Row],[uren / jaar weekend]]+Ruimtestaat[[#This Row],[uren / jaar werkdagen]]</f>
        <v>23.72</v>
      </c>
      <c r="AG111" s="89">
        <f>Ruimtestaat[[#This Row],[kosten / jaar weekend]]+Ruimtestaat[[#This Row],[kosten / jaar werkdagen]]</f>
        <v>593</v>
      </c>
      <c r="HL111" s="87"/>
    </row>
    <row r="112" spans="1:220" ht="15" customHeight="1">
      <c r="A112" s="129">
        <v>1</v>
      </c>
      <c r="B112" s="21" t="str">
        <f>VLOOKUP(Ruimtestaat[[#This Row],[Code]],Locaties[#All],2,FALSE)</f>
        <v>Groenlo</v>
      </c>
      <c r="C112" s="21" t="str">
        <f>VLOOKUP(Ruimtestaat[[#This Row],[Code]],Locaties[#All],4,FALSE)</f>
        <v>Deken Hooijmanssingel 1</v>
      </c>
      <c r="D112" s="21" t="str">
        <f>VLOOKUP(Ruimtestaat[[#This Row],[Code]],Locaties[#All],5,FALSE)</f>
        <v>7141 EA</v>
      </c>
      <c r="E112" s="195" t="str">
        <f>VLOOKUP(Ruimtestaat[[#This Row],[Code]],Locaties[#All],6,FALSE)</f>
        <v>Groenlo</v>
      </c>
      <c r="F112" s="195" t="s">
        <v>774</v>
      </c>
      <c r="G112" s="195" t="s">
        <v>776</v>
      </c>
      <c r="H112" s="195" t="s">
        <v>454</v>
      </c>
      <c r="I112" s="242" t="s">
        <v>455</v>
      </c>
      <c r="J112" s="195">
        <v>15</v>
      </c>
      <c r="K112" s="242" t="str">
        <f>VLOOKUP(Ruimtestaat[[#This Row],[Ruimte code]],Ruimtegroepen[#All],2,FALSE)</f>
        <v>Keuken/pantry</v>
      </c>
      <c r="L112" s="211" t="s">
        <v>111</v>
      </c>
      <c r="M112" s="195" t="s">
        <v>777</v>
      </c>
      <c r="N112" s="197">
        <v>4.2</v>
      </c>
      <c r="O112" s="209"/>
      <c r="P112" s="241" t="str">
        <f>VLOOKUP(Ruimtestaat[[#This Row],[Ruimte code]],Ruimtegroepen[#All],4,FALSE)</f>
        <v>V  (Verkeersruimte)</v>
      </c>
      <c r="Q112" s="210"/>
      <c r="R112" s="211">
        <v>40</v>
      </c>
      <c r="S112" s="211" t="s">
        <v>2</v>
      </c>
      <c r="T112" s="211">
        <f>IF(R112&gt;0,IF(RIGHT(Ruimtestaat[[#This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112" s="211">
        <f>IF(T112&gt;0,VLOOKUP($J112,Ruimtegroepen[],3,FALSE)*VLOOKUP($L112,Vloersoorten[],3,FALSE)*VLOOKUP($S112,Frequenties[],3,FALSE)*VLOOKUP($A112,Locaties[],3,FALSE),0)</f>
        <v>100</v>
      </c>
      <c r="V112" s="211">
        <f>Ruimtestaat[[#This Row],[Uitvoeringen werkdagen]]*Ruimtestaat[[#This Row],[Oppervlak (netto)]]</f>
        <v>840</v>
      </c>
      <c r="W112" s="257">
        <f>IF(U112&gt;0,Ruimtestaat[[#This Row],[Prest. (m2 /jaar) werkdagen]]/Ruimtestaat[[#This Row],[Norm (m2/uur) werkdagen]],0)</f>
        <v>8.4</v>
      </c>
      <c r="X112" s="258">
        <f>Ruimtestaat[[#This Row],[uren / jaar werkdagen]]*Tariefsopbouw!$D$38</f>
        <v>210</v>
      </c>
      <c r="Y112" s="33"/>
      <c r="Z112" s="33">
        <f>IF(Ruimtestaat[[#This Row],[Frequentie weekend]]&gt;0,VALUE(LEFT(Y112,1))*R112,0)</f>
        <v>0</v>
      </c>
      <c r="AA112" s="33">
        <f>IF($Z112&gt;0,VLOOKUP($J112,Ruimtegroepen[],3,FALSE)*VLOOKUP($L112,Vloersoorten[],3,FALSE)*VLOOKUP($Y112,Frequenties[],3,FALSE)*VLOOKUP(#REF!,Locaties[],3,FALSE),0)</f>
        <v>0</v>
      </c>
      <c r="AB112" s="33"/>
      <c r="AC112" s="33"/>
      <c r="AD112" s="33">
        <f>Ruimtestaat[[#This Row],[uren / jaar weekend]]*Tariefsopbouw!$D$40</f>
        <v>0</v>
      </c>
      <c r="AE112" s="88">
        <f>Ruimtestaat[[#This Row],[Prest. (m2 /jaar) weekend]]+Ruimtestaat[[#This Row],[Prest. (m2 /jaar) werkdagen]]</f>
        <v>840</v>
      </c>
      <c r="AF112" s="88">
        <f>Ruimtestaat[[#This Row],[uren / jaar weekend]]+Ruimtestaat[[#This Row],[uren / jaar werkdagen]]</f>
        <v>8.4</v>
      </c>
      <c r="AG112" s="89">
        <f>Ruimtestaat[[#This Row],[kosten / jaar weekend]]+Ruimtestaat[[#This Row],[kosten / jaar werkdagen]]</f>
        <v>210</v>
      </c>
      <c r="HL112" s="87"/>
    </row>
    <row r="113" spans="1:220" ht="15" customHeight="1">
      <c r="A113" s="129">
        <v>1</v>
      </c>
      <c r="B113" s="21" t="str">
        <f>VLOOKUP(Ruimtestaat[[#This Row],[Code]],Locaties[#All],2,FALSE)</f>
        <v>Groenlo</v>
      </c>
      <c r="C113" s="21" t="str">
        <f>VLOOKUP(Ruimtestaat[[#This Row],[Code]],Locaties[#All],4,FALSE)</f>
        <v>Deken Hooijmanssingel 1</v>
      </c>
      <c r="D113" s="241" t="str">
        <f>VLOOKUP(Ruimtestaat[[#This Row],[Code]],Locaties[#All],5,FALSE)</f>
        <v>7141 EA</v>
      </c>
      <c r="E113" s="241" t="str">
        <f>VLOOKUP(Ruimtestaat[[#This Row],[Code]],Locaties[#All],6,FALSE)</f>
        <v>Groenlo</v>
      </c>
      <c r="F113" s="195" t="s">
        <v>774</v>
      </c>
      <c r="G113" s="195" t="s">
        <v>776</v>
      </c>
      <c r="H113" s="195" t="s">
        <v>456</v>
      </c>
      <c r="I113" s="242" t="s">
        <v>457</v>
      </c>
      <c r="J113" s="195">
        <v>21</v>
      </c>
      <c r="K113" s="260" t="str">
        <f>VLOOKUP(Ruimtestaat[[#This Row],[Ruimte code]],Ruimtegroepen[#All],2,FALSE)</f>
        <v>Niet in onderhoud</v>
      </c>
      <c r="L113" s="211"/>
      <c r="M113" s="195"/>
      <c r="N113" s="197"/>
      <c r="O113" s="209">
        <v>0.71</v>
      </c>
      <c r="P113" s="241" t="str">
        <f>VLOOKUP(Ruimtestaat[[#This Row],[Ruimte code]],Ruimtegroepen[#All],4,FALSE)</f>
        <v>Niet in onderhoud</v>
      </c>
      <c r="Q113" s="210"/>
      <c r="R113" s="211"/>
      <c r="S113" s="211"/>
      <c r="T113" s="211">
        <f>IF(R113&gt;0,IF(RIGHT(Ruimtestaat[[#This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113" s="211">
        <f>IF(T113&gt;0,VLOOKUP($J113,Ruimtegroepen[],3,FALSE)*VLOOKUP($L113,Vloersoorten[],3,FALSE)*VLOOKUP($S113,Frequenties[],3,FALSE)*VLOOKUP($A113,Locaties[],3,FALSE),0)</f>
        <v>0</v>
      </c>
      <c r="V113" s="211">
        <f>Ruimtestaat[[#This Row],[Uitvoeringen werkdagen]]*Ruimtestaat[[#This Row],[Oppervlak (netto)]]</f>
        <v>0</v>
      </c>
      <c r="W113" s="257">
        <f>IF(U113&gt;0,Ruimtestaat[[#This Row],[Prest. (m2 /jaar) werkdagen]]/Ruimtestaat[[#This Row],[Norm (m2/uur) werkdagen]],0)</f>
        <v>0</v>
      </c>
      <c r="X113" s="258">
        <f>Ruimtestaat[[#This Row],[uren / jaar werkdagen]]*Tariefsopbouw!$D$38</f>
        <v>0</v>
      </c>
      <c r="Y113" s="33"/>
      <c r="Z113" s="33">
        <f>IF(Ruimtestaat[[#This Row],[Frequentie weekend]]&gt;0,VALUE(LEFT(Y113,1))*R113,0)</f>
        <v>0</v>
      </c>
      <c r="AA113" s="33">
        <f>IF($Z113&gt;0,VLOOKUP($J113,Ruimtegroepen[],3,FALSE)*VLOOKUP($L113,Vloersoorten[],3,FALSE)*VLOOKUP($Y113,Frequenties[],3,FALSE)*VLOOKUP(#REF!,Locaties[],3,FALSE),0)</f>
        <v>0</v>
      </c>
      <c r="AB113" s="33"/>
      <c r="AC113" s="33"/>
      <c r="AD113" s="33">
        <f>Ruimtestaat[[#This Row],[uren / jaar weekend]]*Tariefsopbouw!$D$40</f>
        <v>0</v>
      </c>
      <c r="AE113" s="88">
        <f>Ruimtestaat[[#This Row],[Prest. (m2 /jaar) weekend]]+Ruimtestaat[[#This Row],[Prest. (m2 /jaar) werkdagen]]</f>
        <v>0</v>
      </c>
      <c r="AF113" s="88">
        <f>Ruimtestaat[[#This Row],[uren / jaar weekend]]+Ruimtestaat[[#This Row],[uren / jaar werkdagen]]</f>
        <v>0</v>
      </c>
      <c r="AG113" s="89">
        <f>Ruimtestaat[[#This Row],[kosten / jaar weekend]]+Ruimtestaat[[#This Row],[kosten / jaar werkdagen]]</f>
        <v>0</v>
      </c>
      <c r="HL113" s="87"/>
    </row>
    <row r="114" spans="1:220" ht="15" customHeight="1">
      <c r="A114" s="129">
        <v>1</v>
      </c>
      <c r="B114" s="21" t="str">
        <f>VLOOKUP(Ruimtestaat[[#This Row],[Code]],Locaties[#All],2,FALSE)</f>
        <v>Groenlo</v>
      </c>
      <c r="C114" s="21" t="str">
        <f>VLOOKUP(Ruimtestaat[[#This Row],[Code]],Locaties[#All],4,FALSE)</f>
        <v>Deken Hooijmanssingel 1</v>
      </c>
      <c r="D114" s="241" t="str">
        <f>VLOOKUP(Ruimtestaat[[#This Row],[Code]],Locaties[#All],5,FALSE)</f>
        <v>7141 EA</v>
      </c>
      <c r="E114" s="241" t="str">
        <f>VLOOKUP(Ruimtestaat[[#This Row],[Code]],Locaties[#All],6,FALSE)</f>
        <v>Groenlo</v>
      </c>
      <c r="F114" s="195" t="s">
        <v>774</v>
      </c>
      <c r="G114" s="195" t="s">
        <v>776</v>
      </c>
      <c r="H114" s="195" t="s">
        <v>458</v>
      </c>
      <c r="I114" s="242" t="s">
        <v>601</v>
      </c>
      <c r="J114" s="195">
        <v>21</v>
      </c>
      <c r="K114" s="260" t="str">
        <f>VLOOKUP(Ruimtestaat[[#This Row],[Ruimte code]],Ruimtegroepen[#All],2,FALSE)</f>
        <v>Niet in onderhoud</v>
      </c>
      <c r="L114" s="211"/>
      <c r="M114" s="195"/>
      <c r="N114" s="197"/>
      <c r="O114" s="209">
        <v>1.44</v>
      </c>
      <c r="P114" s="241" t="str">
        <f>VLOOKUP(Ruimtestaat[[#This Row],[Ruimte code]],Ruimtegroepen[#All],4,FALSE)</f>
        <v>Niet in onderhoud</v>
      </c>
      <c r="Q114" s="210"/>
      <c r="R114" s="211"/>
      <c r="S114" s="211"/>
      <c r="T114" s="211">
        <f>IF(R114&gt;0,IF(RIGHT(Ruimtestaat[[#This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114" s="211">
        <f>IF(T114&gt;0,VLOOKUP($J114,Ruimtegroepen[],3,FALSE)*VLOOKUP($L114,Vloersoorten[],3,FALSE)*VLOOKUP($S114,Frequenties[],3,FALSE)*VLOOKUP($A114,Locaties[],3,FALSE),0)</f>
        <v>0</v>
      </c>
      <c r="V114" s="211">
        <f>Ruimtestaat[[#This Row],[Uitvoeringen werkdagen]]*Ruimtestaat[[#This Row],[Oppervlak (netto)]]</f>
        <v>0</v>
      </c>
      <c r="W114" s="257">
        <f>IF(U114&gt;0,Ruimtestaat[[#This Row],[Prest. (m2 /jaar) werkdagen]]/Ruimtestaat[[#This Row],[Norm (m2/uur) werkdagen]],0)</f>
        <v>0</v>
      </c>
      <c r="X114" s="258">
        <f>Ruimtestaat[[#This Row],[uren / jaar werkdagen]]*Tariefsopbouw!$D$38</f>
        <v>0</v>
      </c>
      <c r="Y114" s="33"/>
      <c r="Z114" s="33">
        <f>IF(Ruimtestaat[[#This Row],[Frequentie weekend]]&gt;0,VALUE(LEFT(Y114,1))*R114,0)</f>
        <v>0</v>
      </c>
      <c r="AA114" s="33">
        <f>IF($Z114&gt;0,VLOOKUP($J114,Ruimtegroepen[],3,FALSE)*VLOOKUP($L114,Vloersoorten[],3,FALSE)*VLOOKUP($Y114,Frequenties[],3,FALSE)*VLOOKUP(#REF!,Locaties[],3,FALSE),0)</f>
        <v>0</v>
      </c>
      <c r="AB114" s="33"/>
      <c r="AC114" s="33"/>
      <c r="AD114" s="33">
        <f>Ruimtestaat[[#This Row],[uren / jaar weekend]]*Tariefsopbouw!$D$40</f>
        <v>0</v>
      </c>
      <c r="AE114" s="88">
        <f>Ruimtestaat[[#This Row],[Prest. (m2 /jaar) weekend]]+Ruimtestaat[[#This Row],[Prest. (m2 /jaar) werkdagen]]</f>
        <v>0</v>
      </c>
      <c r="AF114" s="88">
        <f>Ruimtestaat[[#This Row],[uren / jaar weekend]]+Ruimtestaat[[#This Row],[uren / jaar werkdagen]]</f>
        <v>0</v>
      </c>
      <c r="AG114" s="89">
        <f>Ruimtestaat[[#This Row],[kosten / jaar weekend]]+Ruimtestaat[[#This Row],[kosten / jaar werkdagen]]</f>
        <v>0</v>
      </c>
      <c r="HL114" s="87"/>
    </row>
    <row r="115" spans="1:220" ht="15" customHeight="1">
      <c r="A115" s="129">
        <v>1</v>
      </c>
      <c r="B115" s="21" t="str">
        <f>VLOOKUP(Ruimtestaat[[#This Row],[Code]],Locaties[#All],2,FALSE)</f>
        <v>Groenlo</v>
      </c>
      <c r="C115" s="21" t="str">
        <f>VLOOKUP(Ruimtestaat[[#This Row],[Code]],Locaties[#All],4,FALSE)</f>
        <v>Deken Hooijmanssingel 1</v>
      </c>
      <c r="D115" s="241" t="str">
        <f>VLOOKUP(Ruimtestaat[[#This Row],[Code]],Locaties[#All],5,FALSE)</f>
        <v>7141 EA</v>
      </c>
      <c r="E115" s="241" t="str">
        <f>VLOOKUP(Ruimtestaat[[#This Row],[Code]],Locaties[#All],6,FALSE)</f>
        <v>Groenlo</v>
      </c>
      <c r="F115" s="195" t="s">
        <v>774</v>
      </c>
      <c r="G115" s="195" t="s">
        <v>776</v>
      </c>
      <c r="H115" s="195" t="s">
        <v>459</v>
      </c>
      <c r="I115" s="242" t="s">
        <v>382</v>
      </c>
      <c r="J115" s="195">
        <v>10</v>
      </c>
      <c r="K115" s="260" t="str">
        <f>VLOOKUP(Ruimtestaat[[#This Row],[Ruimte code]],Ruimtegroepen[#All],2,FALSE)</f>
        <v>Trappenhuizen/lift</v>
      </c>
      <c r="L115" s="211" t="s">
        <v>111</v>
      </c>
      <c r="M115" s="195" t="s">
        <v>693</v>
      </c>
      <c r="N115" s="197">
        <v>8.39</v>
      </c>
      <c r="O115" s="209"/>
      <c r="P115" s="241" t="str">
        <f>VLOOKUP(Ruimtestaat[[#This Row],[Ruimte code]],Ruimtegroepen[#All],4,FALSE)</f>
        <v>V  (Verkeersruimte)</v>
      </c>
      <c r="Q115" s="210"/>
      <c r="R115" s="211">
        <v>40</v>
      </c>
      <c r="S115" s="211" t="s">
        <v>2</v>
      </c>
      <c r="T115" s="211">
        <f>IF(R115&gt;0,IF(RIGHT(Ruimtestaat[[#This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115" s="211">
        <f>IF(T115&gt;0,VLOOKUP($J115,Ruimtegroepen[],3,FALSE)*VLOOKUP($L115,Vloersoorten[],3,FALSE)*VLOOKUP($S115,Frequenties[],3,FALSE)*VLOOKUP($A115,Locaties[],3,FALSE),0)</f>
        <v>100</v>
      </c>
      <c r="V115" s="211">
        <f>Ruimtestaat[[#This Row],[Uitvoeringen werkdagen]]*Ruimtestaat[[#This Row],[Oppervlak (netto)]]</f>
        <v>1678</v>
      </c>
      <c r="W115" s="257">
        <f>IF(U115&gt;0,Ruimtestaat[[#This Row],[Prest. (m2 /jaar) werkdagen]]/Ruimtestaat[[#This Row],[Norm (m2/uur) werkdagen]],0)</f>
        <v>16.78</v>
      </c>
      <c r="X115" s="258">
        <f>Ruimtestaat[[#This Row],[uren / jaar werkdagen]]*Tariefsopbouw!$D$38</f>
        <v>419.5</v>
      </c>
      <c r="Y115" s="33"/>
      <c r="Z115" s="33">
        <f>IF(Ruimtestaat[[#This Row],[Frequentie weekend]]&gt;0,VALUE(LEFT(Y115,1))*R115,0)</f>
        <v>0</v>
      </c>
      <c r="AA115" s="33">
        <f>IF($Z115&gt;0,VLOOKUP($J115,Ruimtegroepen[],3,FALSE)*VLOOKUP($L115,Vloersoorten[],3,FALSE)*VLOOKUP($Y115,Frequenties[],3,FALSE)*VLOOKUP(#REF!,Locaties[],3,FALSE),0)</f>
        <v>0</v>
      </c>
      <c r="AB115" s="33"/>
      <c r="AC115" s="33"/>
      <c r="AD115" s="33">
        <f>Ruimtestaat[[#This Row],[uren / jaar weekend]]*Tariefsopbouw!$D$40</f>
        <v>0</v>
      </c>
      <c r="AE115" s="88">
        <f>Ruimtestaat[[#This Row],[Prest. (m2 /jaar) weekend]]+Ruimtestaat[[#This Row],[Prest. (m2 /jaar) werkdagen]]</f>
        <v>1678</v>
      </c>
      <c r="AF115" s="88">
        <f>Ruimtestaat[[#This Row],[uren / jaar weekend]]+Ruimtestaat[[#This Row],[uren / jaar werkdagen]]</f>
        <v>16.78</v>
      </c>
      <c r="AG115" s="89">
        <f>Ruimtestaat[[#This Row],[kosten / jaar weekend]]+Ruimtestaat[[#This Row],[kosten / jaar werkdagen]]</f>
        <v>419.5</v>
      </c>
      <c r="HL115" s="87"/>
    </row>
    <row r="116" spans="1:220" ht="15" customHeight="1">
      <c r="A116" s="129">
        <v>1</v>
      </c>
      <c r="B116" s="21" t="str">
        <f>VLOOKUP(Ruimtestaat[[#This Row],[Code]],Locaties[#All],2,FALSE)</f>
        <v>Groenlo</v>
      </c>
      <c r="C116" s="21" t="str">
        <f>VLOOKUP(Ruimtestaat[[#This Row],[Code]],Locaties[#All],4,FALSE)</f>
        <v>Deken Hooijmanssingel 1</v>
      </c>
      <c r="D116" s="241" t="str">
        <f>VLOOKUP(Ruimtestaat[[#This Row],[Code]],Locaties[#All],5,FALSE)</f>
        <v>7141 EA</v>
      </c>
      <c r="E116" s="241" t="str">
        <f>VLOOKUP(Ruimtestaat[[#This Row],[Code]],Locaties[#All],6,FALSE)</f>
        <v>Groenlo</v>
      </c>
      <c r="F116" s="195" t="s">
        <v>774</v>
      </c>
      <c r="G116" s="195">
        <v>1</v>
      </c>
      <c r="H116" s="195" t="s">
        <v>461</v>
      </c>
      <c r="I116" s="242" t="s">
        <v>639</v>
      </c>
      <c r="J116" s="195">
        <v>10</v>
      </c>
      <c r="K116" s="260" t="str">
        <f>VLOOKUP(Ruimtestaat[[#This Row],[Ruimte code]],Ruimtegroepen[#All],2,FALSE)</f>
        <v>Trappenhuizen/lift</v>
      </c>
      <c r="L116" s="211" t="s">
        <v>110</v>
      </c>
      <c r="M116" s="195" t="s">
        <v>133</v>
      </c>
      <c r="N116" s="197">
        <v>20.77</v>
      </c>
      <c r="O116" s="209"/>
      <c r="P116" s="241" t="str">
        <f>VLOOKUP(Ruimtestaat[[#This Row],[Ruimte code]],Ruimtegroepen[#All],4,FALSE)</f>
        <v>V  (Verkeersruimte)</v>
      </c>
      <c r="Q116" s="210"/>
      <c r="R116" s="211">
        <v>40</v>
      </c>
      <c r="S116" s="211" t="s">
        <v>2</v>
      </c>
      <c r="T116" s="211">
        <f>IF(R116&gt;0,IF(RIGHT(Ruimtestaat[[#This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116" s="211">
        <f>IF(T116&gt;0,VLOOKUP($J116,Ruimtegroepen[],3,FALSE)*VLOOKUP($L116,Vloersoorten[],3,FALSE)*VLOOKUP($S116,Frequenties[],3,FALSE)*VLOOKUP($A116,Locaties[],3,FALSE),0)</f>
        <v>100</v>
      </c>
      <c r="V116" s="211">
        <f>Ruimtestaat[[#This Row],[Uitvoeringen werkdagen]]*Ruimtestaat[[#This Row],[Oppervlak (netto)]]</f>
        <v>4154</v>
      </c>
      <c r="W116" s="257">
        <f>IF(U116&gt;0,Ruimtestaat[[#This Row],[Prest. (m2 /jaar) werkdagen]]/Ruimtestaat[[#This Row],[Norm (m2/uur) werkdagen]],0)</f>
        <v>41.54</v>
      </c>
      <c r="X116" s="258">
        <f>Ruimtestaat[[#This Row],[uren / jaar werkdagen]]*Tariefsopbouw!$D$38</f>
        <v>1038.5</v>
      </c>
      <c r="Y116" s="33"/>
      <c r="Z116" s="33">
        <f>IF(Ruimtestaat[[#This Row],[Frequentie weekend]]&gt;0,VALUE(LEFT(Y116,1))*R116,0)</f>
        <v>0</v>
      </c>
      <c r="AA116" s="33">
        <f>IF($Z116&gt;0,VLOOKUP($J116,Ruimtegroepen[],3,FALSE)*VLOOKUP($L116,Vloersoorten[],3,FALSE)*VLOOKUP($Y116,Frequenties[],3,FALSE)*VLOOKUP(#REF!,Locaties[],3,FALSE),0)</f>
        <v>0</v>
      </c>
      <c r="AB116" s="33"/>
      <c r="AC116" s="33"/>
      <c r="AD116" s="33">
        <f>Ruimtestaat[[#This Row],[uren / jaar weekend]]*Tariefsopbouw!$D$40</f>
        <v>0</v>
      </c>
      <c r="AE116" s="88">
        <f>Ruimtestaat[[#This Row],[Prest. (m2 /jaar) weekend]]+Ruimtestaat[[#This Row],[Prest. (m2 /jaar) werkdagen]]</f>
        <v>4154</v>
      </c>
      <c r="AF116" s="88">
        <f>Ruimtestaat[[#This Row],[uren / jaar weekend]]+Ruimtestaat[[#This Row],[uren / jaar werkdagen]]</f>
        <v>41.54</v>
      </c>
      <c r="AG116" s="89">
        <f>Ruimtestaat[[#This Row],[kosten / jaar weekend]]+Ruimtestaat[[#This Row],[kosten / jaar werkdagen]]</f>
        <v>1038.5</v>
      </c>
      <c r="HL116" s="87"/>
    </row>
    <row r="117" spans="1:220" ht="15" customHeight="1">
      <c r="A117" s="129">
        <v>1</v>
      </c>
      <c r="B117" s="21" t="str">
        <f>VLOOKUP(Ruimtestaat[[#This Row],[Code]],Locaties[#All],2,FALSE)</f>
        <v>Groenlo</v>
      </c>
      <c r="C117" s="21" t="str">
        <f>VLOOKUP(Ruimtestaat[[#This Row],[Code]],Locaties[#All],4,FALSE)</f>
        <v>Deken Hooijmanssingel 1</v>
      </c>
      <c r="D117" s="241" t="str">
        <f>VLOOKUP(Ruimtestaat[[#This Row],[Code]],Locaties[#All],5,FALSE)</f>
        <v>7141 EA</v>
      </c>
      <c r="E117" s="241" t="str">
        <f>VLOOKUP(Ruimtestaat[[#This Row],[Code]],Locaties[#All],6,FALSE)</f>
        <v>Groenlo</v>
      </c>
      <c r="F117" s="195" t="s">
        <v>774</v>
      </c>
      <c r="G117" s="195">
        <v>1</v>
      </c>
      <c r="H117" s="195" t="s">
        <v>462</v>
      </c>
      <c r="I117" s="242" t="s">
        <v>22</v>
      </c>
      <c r="J117" s="195">
        <v>5</v>
      </c>
      <c r="K117" s="260" t="str">
        <f>VLOOKUP(Ruimtestaat[[#This Row],[Ruimte code]],Ruimtegroepen[#All],2,FALSE)</f>
        <v>Sanitair</v>
      </c>
      <c r="L117" s="211" t="s">
        <v>111</v>
      </c>
      <c r="M117" s="195" t="s">
        <v>777</v>
      </c>
      <c r="N117" s="197">
        <v>28.55</v>
      </c>
      <c r="O117" s="209"/>
      <c r="P117" s="241" t="str">
        <f>VLOOKUP(Ruimtestaat[[#This Row],[Ruimte code]],Ruimtegroepen[#All],4,FALSE)</f>
        <v>S  (Sanitair)</v>
      </c>
      <c r="Q117" s="210"/>
      <c r="R117" s="211">
        <v>40</v>
      </c>
      <c r="S117" s="211" t="s">
        <v>2</v>
      </c>
      <c r="T117" s="211">
        <f>IF(R117&gt;0,IF(RIGHT(Ruimtestaat[[#This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117" s="211">
        <f>IF(T117&gt;0,VLOOKUP($J117,Ruimtegroepen[],3,FALSE)*VLOOKUP($L117,Vloersoorten[],3,FALSE)*VLOOKUP($S117,Frequenties[],3,FALSE)*VLOOKUP($A117,Locaties[],3,FALSE),0)</f>
        <v>100</v>
      </c>
      <c r="V117" s="211">
        <f>Ruimtestaat[[#This Row],[Uitvoeringen werkdagen]]*Ruimtestaat[[#This Row],[Oppervlak (netto)]]</f>
        <v>5710</v>
      </c>
      <c r="W117" s="257">
        <f>IF(U117&gt;0,Ruimtestaat[[#This Row],[Prest. (m2 /jaar) werkdagen]]/Ruimtestaat[[#This Row],[Norm (m2/uur) werkdagen]],0)</f>
        <v>57.1</v>
      </c>
      <c r="X117" s="258">
        <f>Ruimtestaat[[#This Row],[uren / jaar werkdagen]]*Tariefsopbouw!$D$38</f>
        <v>1427.5</v>
      </c>
      <c r="Y117" s="33"/>
      <c r="Z117" s="33">
        <f>IF(Ruimtestaat[[#This Row],[Frequentie weekend]]&gt;0,VALUE(LEFT(Y117,1))*R117,0)</f>
        <v>0</v>
      </c>
      <c r="AA117" s="33">
        <f>IF($Z117&gt;0,VLOOKUP($J117,Ruimtegroepen[],3,FALSE)*VLOOKUP($L117,Vloersoorten[],3,FALSE)*VLOOKUP($Y117,Frequenties[],3,FALSE)*VLOOKUP(#REF!,Locaties[],3,FALSE),0)</f>
        <v>0</v>
      </c>
      <c r="AB117" s="33"/>
      <c r="AC117" s="33"/>
      <c r="AD117" s="33">
        <f>Ruimtestaat[[#This Row],[uren / jaar weekend]]*Tariefsopbouw!$D$40</f>
        <v>0</v>
      </c>
      <c r="AE117" s="88">
        <f>Ruimtestaat[[#This Row],[Prest. (m2 /jaar) weekend]]+Ruimtestaat[[#This Row],[Prest. (m2 /jaar) werkdagen]]</f>
        <v>5710</v>
      </c>
      <c r="AF117" s="88">
        <f>Ruimtestaat[[#This Row],[uren / jaar weekend]]+Ruimtestaat[[#This Row],[uren / jaar werkdagen]]</f>
        <v>57.1</v>
      </c>
      <c r="AG117" s="89">
        <f>Ruimtestaat[[#This Row],[kosten / jaar weekend]]+Ruimtestaat[[#This Row],[kosten / jaar werkdagen]]</f>
        <v>1427.5</v>
      </c>
      <c r="HL117" s="87"/>
    </row>
    <row r="118" spans="1:220" ht="15" customHeight="1">
      <c r="A118" s="129">
        <v>1</v>
      </c>
      <c r="B118" s="21" t="str">
        <f>VLOOKUP(Ruimtestaat[[#This Row],[Code]],Locaties[#All],2,FALSE)</f>
        <v>Groenlo</v>
      </c>
      <c r="C118" s="21" t="str">
        <f>VLOOKUP(Ruimtestaat[[#This Row],[Code]],Locaties[#All],4,FALSE)</f>
        <v>Deken Hooijmanssingel 1</v>
      </c>
      <c r="D118" s="241" t="str">
        <f>VLOOKUP(Ruimtestaat[[#This Row],[Code]],Locaties[#All],5,FALSE)</f>
        <v>7141 EA</v>
      </c>
      <c r="E118" s="241" t="str">
        <f>VLOOKUP(Ruimtestaat[[#This Row],[Code]],Locaties[#All],6,FALSE)</f>
        <v>Groenlo</v>
      </c>
      <c r="F118" s="195" t="s">
        <v>774</v>
      </c>
      <c r="G118" s="195">
        <v>1</v>
      </c>
      <c r="H118" s="195" t="s">
        <v>463</v>
      </c>
      <c r="I118" s="242" t="s">
        <v>22</v>
      </c>
      <c r="J118" s="195">
        <v>5</v>
      </c>
      <c r="K118" s="260" t="str">
        <f>VLOOKUP(Ruimtestaat[[#This Row],[Ruimte code]],Ruimtegroepen[#All],2,FALSE)</f>
        <v>Sanitair</v>
      </c>
      <c r="L118" s="211" t="s">
        <v>111</v>
      </c>
      <c r="M118" s="195" t="s">
        <v>777</v>
      </c>
      <c r="N118" s="197">
        <v>28.55</v>
      </c>
      <c r="O118" s="209"/>
      <c r="P118" s="241" t="str">
        <f>VLOOKUP(Ruimtestaat[[#This Row],[Ruimte code]],Ruimtegroepen[#All],4,FALSE)</f>
        <v>S  (Sanitair)</v>
      </c>
      <c r="Q118" s="210"/>
      <c r="R118" s="211">
        <v>40</v>
      </c>
      <c r="S118" s="211" t="s">
        <v>2</v>
      </c>
      <c r="T118" s="211">
        <f>IF(R118&gt;0,IF(RIGHT(Ruimtestaat[[#This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118" s="211">
        <f>IF(T118&gt;0,VLOOKUP($J118,Ruimtegroepen[],3,FALSE)*VLOOKUP($L118,Vloersoorten[],3,FALSE)*VLOOKUP($S118,Frequenties[],3,FALSE)*VLOOKUP($A118,Locaties[],3,FALSE),0)</f>
        <v>100</v>
      </c>
      <c r="V118" s="211">
        <f>Ruimtestaat[[#This Row],[Uitvoeringen werkdagen]]*Ruimtestaat[[#This Row],[Oppervlak (netto)]]</f>
        <v>5710</v>
      </c>
      <c r="W118" s="257">
        <f>IF(U118&gt;0,Ruimtestaat[[#This Row],[Prest. (m2 /jaar) werkdagen]]/Ruimtestaat[[#This Row],[Norm (m2/uur) werkdagen]],0)</f>
        <v>57.1</v>
      </c>
      <c r="X118" s="258">
        <f>Ruimtestaat[[#This Row],[uren / jaar werkdagen]]*Tariefsopbouw!$D$38</f>
        <v>1427.5</v>
      </c>
      <c r="Y118" s="33"/>
      <c r="Z118" s="33">
        <f>IF(Ruimtestaat[[#This Row],[Frequentie weekend]]&gt;0,VALUE(LEFT(Y118,1))*R118,0)</f>
        <v>0</v>
      </c>
      <c r="AA118" s="33">
        <f>IF($Z118&gt;0,VLOOKUP($J118,Ruimtegroepen[],3,FALSE)*VLOOKUP($L118,Vloersoorten[],3,FALSE)*VLOOKUP($Y118,Frequenties[],3,FALSE)*VLOOKUP(#REF!,Locaties[],3,FALSE),0)</f>
        <v>0</v>
      </c>
      <c r="AB118" s="33"/>
      <c r="AC118" s="33"/>
      <c r="AD118" s="33">
        <f>Ruimtestaat[[#This Row],[uren / jaar weekend]]*Tariefsopbouw!$D$40</f>
        <v>0</v>
      </c>
      <c r="AE118" s="88">
        <f>Ruimtestaat[[#This Row],[Prest. (m2 /jaar) weekend]]+Ruimtestaat[[#This Row],[Prest. (m2 /jaar) werkdagen]]</f>
        <v>5710</v>
      </c>
      <c r="AF118" s="88">
        <f>Ruimtestaat[[#This Row],[uren / jaar weekend]]+Ruimtestaat[[#This Row],[uren / jaar werkdagen]]</f>
        <v>57.1</v>
      </c>
      <c r="AG118" s="89">
        <f>Ruimtestaat[[#This Row],[kosten / jaar weekend]]+Ruimtestaat[[#This Row],[kosten / jaar werkdagen]]</f>
        <v>1427.5</v>
      </c>
      <c r="HL118" s="87"/>
    </row>
    <row r="119" spans="1:220" ht="15" customHeight="1">
      <c r="A119" s="129">
        <v>1</v>
      </c>
      <c r="B119" s="21" t="str">
        <f>VLOOKUP(Ruimtestaat[[#This Row],[Code]],Locaties[#All],2,FALSE)</f>
        <v>Groenlo</v>
      </c>
      <c r="C119" s="21" t="str">
        <f>VLOOKUP(Ruimtestaat[[#This Row],[Code]],Locaties[#All],4,FALSE)</f>
        <v>Deken Hooijmanssingel 1</v>
      </c>
      <c r="D119" s="241" t="str">
        <f>VLOOKUP(Ruimtestaat[[#This Row],[Code]],Locaties[#All],5,FALSE)</f>
        <v>7141 EA</v>
      </c>
      <c r="E119" s="241" t="str">
        <f>VLOOKUP(Ruimtestaat[[#This Row],[Code]],Locaties[#All],6,FALSE)</f>
        <v>Groenlo</v>
      </c>
      <c r="F119" s="195" t="s">
        <v>774</v>
      </c>
      <c r="G119" s="195">
        <v>1</v>
      </c>
      <c r="H119" s="195" t="s">
        <v>464</v>
      </c>
      <c r="I119" s="242" t="s">
        <v>395</v>
      </c>
      <c r="J119" s="195">
        <v>16</v>
      </c>
      <c r="K119" s="260" t="str">
        <f>VLOOKUP(Ruimtestaat[[#This Row],[Ruimte code]],Ruimtegroepen[#All],2,FALSE)</f>
        <v>Lokaal</v>
      </c>
      <c r="L119" s="211" t="s">
        <v>110</v>
      </c>
      <c r="M119" s="195" t="s">
        <v>133</v>
      </c>
      <c r="N119" s="197">
        <v>61.57</v>
      </c>
      <c r="O119" s="209"/>
      <c r="P119" s="241" t="str">
        <f>VLOOKUP(Ruimtestaat[[#This Row],[Ruimte code]],Ruimtegroepen[#All],4,FALSE)</f>
        <v>L  (Lesruimte)</v>
      </c>
      <c r="Q119" s="210"/>
      <c r="R119" s="211">
        <v>40</v>
      </c>
      <c r="S119" s="211" t="s">
        <v>2</v>
      </c>
      <c r="T119" s="211">
        <f>IF(R119&gt;0,IF(RIGHT(Ruimtestaat[[#This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119" s="211">
        <f>IF(T119&gt;0,VLOOKUP($J119,Ruimtegroepen[],3,FALSE)*VLOOKUP($L119,Vloersoorten[],3,FALSE)*VLOOKUP($S119,Frequenties[],3,FALSE)*VLOOKUP($A119,Locaties[],3,FALSE),0)</f>
        <v>100</v>
      </c>
      <c r="V119" s="211">
        <f>Ruimtestaat[[#This Row],[Uitvoeringen werkdagen]]*Ruimtestaat[[#This Row],[Oppervlak (netto)]]</f>
        <v>12314</v>
      </c>
      <c r="W119" s="257">
        <f>IF(U119&gt;0,Ruimtestaat[[#This Row],[Prest. (m2 /jaar) werkdagen]]/Ruimtestaat[[#This Row],[Norm (m2/uur) werkdagen]],0)</f>
        <v>123.14</v>
      </c>
      <c r="X119" s="258">
        <f>Ruimtestaat[[#This Row],[uren / jaar werkdagen]]*Tariefsopbouw!$D$38</f>
        <v>3078.5</v>
      </c>
      <c r="Y119" s="33"/>
      <c r="Z119" s="33">
        <f>IF(Ruimtestaat[[#This Row],[Frequentie weekend]]&gt;0,VALUE(LEFT(Y119,1))*R119,0)</f>
        <v>0</v>
      </c>
      <c r="AA119" s="33">
        <f>IF($Z119&gt;0,VLOOKUP($J119,Ruimtegroepen[],3,FALSE)*VLOOKUP($L119,Vloersoorten[],3,FALSE)*VLOOKUP($Y119,Frequenties[],3,FALSE)*VLOOKUP(#REF!,Locaties[],3,FALSE),0)</f>
        <v>0</v>
      </c>
      <c r="AB119" s="33"/>
      <c r="AC119" s="33"/>
      <c r="AD119" s="33">
        <f>Ruimtestaat[[#This Row],[uren / jaar weekend]]*Tariefsopbouw!$D$40</f>
        <v>0</v>
      </c>
      <c r="AE119" s="88">
        <f>Ruimtestaat[[#This Row],[Prest. (m2 /jaar) weekend]]+Ruimtestaat[[#This Row],[Prest. (m2 /jaar) werkdagen]]</f>
        <v>12314</v>
      </c>
      <c r="AF119" s="88">
        <f>Ruimtestaat[[#This Row],[uren / jaar weekend]]+Ruimtestaat[[#This Row],[uren / jaar werkdagen]]</f>
        <v>123.14</v>
      </c>
      <c r="AG119" s="89">
        <f>Ruimtestaat[[#This Row],[kosten / jaar weekend]]+Ruimtestaat[[#This Row],[kosten / jaar werkdagen]]</f>
        <v>3078.5</v>
      </c>
      <c r="HL119" s="87"/>
    </row>
    <row r="120" spans="1:220" ht="15" customHeight="1">
      <c r="A120" s="129">
        <v>1</v>
      </c>
      <c r="B120" s="21" t="str">
        <f>VLOOKUP(Ruimtestaat[[#This Row],[Code]],Locaties[#All],2,FALSE)</f>
        <v>Groenlo</v>
      </c>
      <c r="C120" s="21" t="str">
        <f>VLOOKUP(Ruimtestaat[[#This Row],[Code]],Locaties[#All],4,FALSE)</f>
        <v>Deken Hooijmanssingel 1</v>
      </c>
      <c r="D120" s="241" t="str">
        <f>VLOOKUP(Ruimtestaat[[#This Row],[Code]],Locaties[#All],5,FALSE)</f>
        <v>7141 EA</v>
      </c>
      <c r="E120" s="241" t="str">
        <f>VLOOKUP(Ruimtestaat[[#This Row],[Code]],Locaties[#All],6,FALSE)</f>
        <v>Groenlo</v>
      </c>
      <c r="F120" s="195" t="s">
        <v>774</v>
      </c>
      <c r="G120" s="195">
        <v>1</v>
      </c>
      <c r="H120" s="195" t="s">
        <v>465</v>
      </c>
      <c r="I120" s="242" t="s">
        <v>820</v>
      </c>
      <c r="J120" s="195">
        <v>2</v>
      </c>
      <c r="K120" s="260" t="str">
        <f>VLOOKUP(Ruimtestaat[[#This Row],[Ruimte code]],Ruimtegroepen[#All],2,FALSE)</f>
        <v>Kantoren</v>
      </c>
      <c r="L120" s="211" t="s">
        <v>110</v>
      </c>
      <c r="M120" s="195" t="s">
        <v>133</v>
      </c>
      <c r="N120" s="197">
        <v>30.58</v>
      </c>
      <c r="O120" s="209"/>
      <c r="P120" s="241" t="str">
        <f>VLOOKUP(Ruimtestaat[[#This Row],[Ruimte code]],Ruimtegroepen[#All],4,FALSE)</f>
        <v>B  (Bureauruimte)</v>
      </c>
      <c r="Q120" s="210"/>
      <c r="R120" s="211">
        <v>40</v>
      </c>
      <c r="S120" s="211" t="s">
        <v>2</v>
      </c>
      <c r="T120" s="211">
        <f>IF(R120&gt;0,IF(RIGHT(Ruimtestaat[[#This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120" s="211">
        <f>IF(T120&gt;0,VLOOKUP($J120,Ruimtegroepen[],3,FALSE)*VLOOKUP($L120,Vloersoorten[],3,FALSE)*VLOOKUP($S120,Frequenties[],3,FALSE)*VLOOKUP($A120,Locaties[],3,FALSE),0)</f>
        <v>100</v>
      </c>
      <c r="V120" s="211">
        <f>Ruimtestaat[[#This Row],[Uitvoeringen werkdagen]]*Ruimtestaat[[#This Row],[Oppervlak (netto)]]</f>
        <v>6116</v>
      </c>
      <c r="W120" s="257">
        <f>IF(U120&gt;0,Ruimtestaat[[#This Row],[Prest. (m2 /jaar) werkdagen]]/Ruimtestaat[[#This Row],[Norm (m2/uur) werkdagen]],0)</f>
        <v>61.16</v>
      </c>
      <c r="X120" s="258">
        <f>Ruimtestaat[[#This Row],[uren / jaar werkdagen]]*Tariefsopbouw!$D$38</f>
        <v>1529</v>
      </c>
      <c r="Y120" s="33"/>
      <c r="Z120" s="33">
        <f>IF(Ruimtestaat[[#This Row],[Frequentie weekend]]&gt;0,VALUE(LEFT(Y120,1))*R120,0)</f>
        <v>0</v>
      </c>
      <c r="AA120" s="33">
        <f>IF($Z120&gt;0,VLOOKUP($J120,Ruimtegroepen[],3,FALSE)*VLOOKUP($L120,Vloersoorten[],3,FALSE)*VLOOKUP($Y120,Frequenties[],3,FALSE)*VLOOKUP(#REF!,Locaties[],3,FALSE),0)</f>
        <v>0</v>
      </c>
      <c r="AB120" s="33"/>
      <c r="AC120" s="33"/>
      <c r="AD120" s="33">
        <f>Ruimtestaat[[#This Row],[uren / jaar weekend]]*Tariefsopbouw!$D$40</f>
        <v>0</v>
      </c>
      <c r="AE120" s="88">
        <f>Ruimtestaat[[#This Row],[Prest. (m2 /jaar) weekend]]+Ruimtestaat[[#This Row],[Prest. (m2 /jaar) werkdagen]]</f>
        <v>6116</v>
      </c>
      <c r="AF120" s="88">
        <f>Ruimtestaat[[#This Row],[uren / jaar weekend]]+Ruimtestaat[[#This Row],[uren / jaar werkdagen]]</f>
        <v>61.16</v>
      </c>
      <c r="AG120" s="89">
        <f>Ruimtestaat[[#This Row],[kosten / jaar weekend]]+Ruimtestaat[[#This Row],[kosten / jaar werkdagen]]</f>
        <v>1529</v>
      </c>
      <c r="HL120" s="87"/>
    </row>
    <row r="121" spans="1:220" ht="15" customHeight="1">
      <c r="A121" s="129">
        <v>1</v>
      </c>
      <c r="B121" s="21" t="str">
        <f>VLOOKUP(Ruimtestaat[[#This Row],[Code]],Locaties[#All],2,FALSE)</f>
        <v>Groenlo</v>
      </c>
      <c r="C121" s="21" t="str">
        <f>VLOOKUP(Ruimtestaat[[#This Row],[Code]],Locaties[#All],4,FALSE)</f>
        <v>Deken Hooijmanssingel 1</v>
      </c>
      <c r="D121" s="241" t="str">
        <f>VLOOKUP(Ruimtestaat[[#This Row],[Code]],Locaties[#All],5,FALSE)</f>
        <v>7141 EA</v>
      </c>
      <c r="E121" s="241" t="str">
        <f>VLOOKUP(Ruimtestaat[[#This Row],[Code]],Locaties[#All],6,FALSE)</f>
        <v>Groenlo</v>
      </c>
      <c r="F121" s="195" t="s">
        <v>774</v>
      </c>
      <c r="G121" s="195">
        <v>1</v>
      </c>
      <c r="H121" s="195" t="s">
        <v>466</v>
      </c>
      <c r="I121" s="242" t="s">
        <v>395</v>
      </c>
      <c r="J121" s="195">
        <v>16</v>
      </c>
      <c r="K121" s="260" t="str">
        <f>VLOOKUP(Ruimtestaat[[#This Row],[Ruimte code]],Ruimtegroepen[#All],2,FALSE)</f>
        <v>Lokaal</v>
      </c>
      <c r="L121" s="211" t="s">
        <v>110</v>
      </c>
      <c r="M121" s="195" t="s">
        <v>133</v>
      </c>
      <c r="N121" s="197">
        <v>61.27</v>
      </c>
      <c r="O121" s="209"/>
      <c r="P121" s="241" t="str">
        <f>VLOOKUP(Ruimtestaat[[#This Row],[Ruimte code]],Ruimtegroepen[#All],4,FALSE)</f>
        <v>L  (Lesruimte)</v>
      </c>
      <c r="Q121" s="210"/>
      <c r="R121" s="211">
        <v>40</v>
      </c>
      <c r="S121" s="211" t="s">
        <v>2</v>
      </c>
      <c r="T121" s="211">
        <f>IF(R121&gt;0,IF(RIGHT(Ruimtestaat[[#This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121" s="211">
        <f>IF(T121&gt;0,VLOOKUP($J121,Ruimtegroepen[],3,FALSE)*VLOOKUP($L121,Vloersoorten[],3,FALSE)*VLOOKUP($S121,Frequenties[],3,FALSE)*VLOOKUP($A121,Locaties[],3,FALSE),0)</f>
        <v>100</v>
      </c>
      <c r="V121" s="211">
        <f>Ruimtestaat[[#This Row],[Uitvoeringen werkdagen]]*Ruimtestaat[[#This Row],[Oppervlak (netto)]]</f>
        <v>12254</v>
      </c>
      <c r="W121" s="257">
        <f>IF(U121&gt;0,Ruimtestaat[[#This Row],[Prest. (m2 /jaar) werkdagen]]/Ruimtestaat[[#This Row],[Norm (m2/uur) werkdagen]],0)</f>
        <v>122.54</v>
      </c>
      <c r="X121" s="258">
        <f>Ruimtestaat[[#This Row],[uren / jaar werkdagen]]*Tariefsopbouw!$D$38</f>
        <v>3063.5</v>
      </c>
      <c r="Y121" s="33"/>
      <c r="Z121" s="33">
        <f>IF(Ruimtestaat[[#This Row],[Frequentie weekend]]&gt;0,VALUE(LEFT(Y121,1))*R121,0)</f>
        <v>0</v>
      </c>
      <c r="AA121" s="33">
        <f>IF($Z121&gt;0,VLOOKUP($J121,Ruimtegroepen[],3,FALSE)*VLOOKUP($L121,Vloersoorten[],3,FALSE)*VLOOKUP($Y121,Frequenties[],3,FALSE)*VLOOKUP(#REF!,Locaties[],3,FALSE),0)</f>
        <v>0</v>
      </c>
      <c r="AB121" s="33"/>
      <c r="AC121" s="33"/>
      <c r="AD121" s="33">
        <f>Ruimtestaat[[#This Row],[uren / jaar weekend]]*Tariefsopbouw!$D$40</f>
        <v>0</v>
      </c>
      <c r="AE121" s="88">
        <f>Ruimtestaat[[#This Row],[Prest. (m2 /jaar) weekend]]+Ruimtestaat[[#This Row],[Prest. (m2 /jaar) werkdagen]]</f>
        <v>12254</v>
      </c>
      <c r="AF121" s="88">
        <f>Ruimtestaat[[#This Row],[uren / jaar weekend]]+Ruimtestaat[[#This Row],[uren / jaar werkdagen]]</f>
        <v>122.54</v>
      </c>
      <c r="AG121" s="89">
        <f>Ruimtestaat[[#This Row],[kosten / jaar weekend]]+Ruimtestaat[[#This Row],[kosten / jaar werkdagen]]</f>
        <v>3063.5</v>
      </c>
      <c r="HL121" s="87"/>
    </row>
    <row r="122" spans="1:220" ht="15" customHeight="1">
      <c r="A122" s="129">
        <v>1</v>
      </c>
      <c r="B122" s="21" t="str">
        <f>VLOOKUP(Ruimtestaat[[#This Row],[Code]],Locaties[#All],2,FALSE)</f>
        <v>Groenlo</v>
      </c>
      <c r="C122" s="21" t="str">
        <f>VLOOKUP(Ruimtestaat[[#This Row],[Code]],Locaties[#All],4,FALSE)</f>
        <v>Deken Hooijmanssingel 1</v>
      </c>
      <c r="D122" s="241" t="str">
        <f>VLOOKUP(Ruimtestaat[[#This Row],[Code]],Locaties[#All],5,FALSE)</f>
        <v>7141 EA</v>
      </c>
      <c r="E122" s="241" t="str">
        <f>VLOOKUP(Ruimtestaat[[#This Row],[Code]],Locaties[#All],6,FALSE)</f>
        <v>Groenlo</v>
      </c>
      <c r="F122" s="195" t="s">
        <v>774</v>
      </c>
      <c r="G122" s="195">
        <v>1</v>
      </c>
      <c r="H122" s="195" t="s">
        <v>467</v>
      </c>
      <c r="I122" s="242" t="s">
        <v>395</v>
      </c>
      <c r="J122" s="195">
        <v>16</v>
      </c>
      <c r="K122" s="260" t="str">
        <f>VLOOKUP(Ruimtestaat[[#This Row],[Ruimte code]],Ruimtegroepen[#All],2,FALSE)</f>
        <v>Lokaal</v>
      </c>
      <c r="L122" s="211" t="s">
        <v>110</v>
      </c>
      <c r="M122" s="195" t="s">
        <v>133</v>
      </c>
      <c r="N122" s="197">
        <v>61.22</v>
      </c>
      <c r="O122" s="209"/>
      <c r="P122" s="241" t="str">
        <f>VLOOKUP(Ruimtestaat[[#This Row],[Ruimte code]],Ruimtegroepen[#All],4,FALSE)</f>
        <v>L  (Lesruimte)</v>
      </c>
      <c r="Q122" s="210"/>
      <c r="R122" s="211">
        <v>40</v>
      </c>
      <c r="S122" s="211" t="s">
        <v>2</v>
      </c>
      <c r="T122" s="211">
        <f>IF(R122&gt;0,IF(RIGHT(Ruimtestaat[[#This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122" s="211">
        <f>IF(T122&gt;0,VLOOKUP($J122,Ruimtegroepen[],3,FALSE)*VLOOKUP($L122,Vloersoorten[],3,FALSE)*VLOOKUP($S122,Frequenties[],3,FALSE)*VLOOKUP($A122,Locaties[],3,FALSE),0)</f>
        <v>100</v>
      </c>
      <c r="V122" s="211">
        <f>Ruimtestaat[[#This Row],[Uitvoeringen werkdagen]]*Ruimtestaat[[#This Row],[Oppervlak (netto)]]</f>
        <v>12244</v>
      </c>
      <c r="W122" s="257">
        <f>IF(U122&gt;0,Ruimtestaat[[#This Row],[Prest. (m2 /jaar) werkdagen]]/Ruimtestaat[[#This Row],[Norm (m2/uur) werkdagen]],0)</f>
        <v>122.44</v>
      </c>
      <c r="X122" s="258">
        <f>Ruimtestaat[[#This Row],[uren / jaar werkdagen]]*Tariefsopbouw!$D$38</f>
        <v>3061</v>
      </c>
      <c r="Y122" s="33"/>
      <c r="Z122" s="33">
        <f>IF(Ruimtestaat[[#This Row],[Frequentie weekend]]&gt;0,VALUE(LEFT(Y122,1))*R122,0)</f>
        <v>0</v>
      </c>
      <c r="AA122" s="33">
        <f>IF($Z122&gt;0,VLOOKUP($J122,Ruimtegroepen[],3,FALSE)*VLOOKUP($L122,Vloersoorten[],3,FALSE)*VLOOKUP($Y122,Frequenties[],3,FALSE)*VLOOKUP(#REF!,Locaties[],3,FALSE),0)</f>
        <v>0</v>
      </c>
      <c r="AB122" s="33"/>
      <c r="AC122" s="33"/>
      <c r="AD122" s="33">
        <f>Ruimtestaat[[#This Row],[uren / jaar weekend]]*Tariefsopbouw!$D$40</f>
        <v>0</v>
      </c>
      <c r="AE122" s="88">
        <f>Ruimtestaat[[#This Row],[Prest. (m2 /jaar) weekend]]+Ruimtestaat[[#This Row],[Prest. (m2 /jaar) werkdagen]]</f>
        <v>12244</v>
      </c>
      <c r="AF122" s="88">
        <f>Ruimtestaat[[#This Row],[uren / jaar weekend]]+Ruimtestaat[[#This Row],[uren / jaar werkdagen]]</f>
        <v>122.44</v>
      </c>
      <c r="AG122" s="89">
        <f>Ruimtestaat[[#This Row],[kosten / jaar weekend]]+Ruimtestaat[[#This Row],[kosten / jaar werkdagen]]</f>
        <v>3061</v>
      </c>
      <c r="HL122" s="87"/>
    </row>
    <row r="123" spans="1:220" ht="15" customHeight="1">
      <c r="A123" s="129">
        <v>1</v>
      </c>
      <c r="B123" s="21" t="str">
        <f>VLOOKUP(Ruimtestaat[[#This Row],[Code]],Locaties[#All],2,FALSE)</f>
        <v>Groenlo</v>
      </c>
      <c r="C123" s="21" t="str">
        <f>VLOOKUP(Ruimtestaat[[#This Row],[Code]],Locaties[#All],4,FALSE)</f>
        <v>Deken Hooijmanssingel 1</v>
      </c>
      <c r="D123" s="241" t="str">
        <f>VLOOKUP(Ruimtestaat[[#This Row],[Code]],Locaties[#All],5,FALSE)</f>
        <v>7141 EA</v>
      </c>
      <c r="E123" s="241" t="str">
        <f>VLOOKUP(Ruimtestaat[[#This Row],[Code]],Locaties[#All],6,FALSE)</f>
        <v>Groenlo</v>
      </c>
      <c r="F123" s="195" t="s">
        <v>774</v>
      </c>
      <c r="G123" s="195">
        <v>1</v>
      </c>
      <c r="H123" s="195" t="s">
        <v>468</v>
      </c>
      <c r="I123" s="242" t="s">
        <v>449</v>
      </c>
      <c r="J123" s="195">
        <v>2</v>
      </c>
      <c r="K123" s="260" t="str">
        <f>VLOOKUP(Ruimtestaat[[#This Row],[Ruimte code]],Ruimtegroepen[#All],2,FALSE)</f>
        <v>Kantoren</v>
      </c>
      <c r="L123" s="211" t="s">
        <v>110</v>
      </c>
      <c r="M123" s="195" t="s">
        <v>133</v>
      </c>
      <c r="N123" s="197">
        <v>30.21</v>
      </c>
      <c r="O123" s="209"/>
      <c r="P123" s="241" t="str">
        <f>VLOOKUP(Ruimtestaat[[#This Row],[Ruimte code]],Ruimtegroepen[#All],4,FALSE)</f>
        <v>B  (Bureauruimte)</v>
      </c>
      <c r="Q123" s="210"/>
      <c r="R123" s="211">
        <v>40</v>
      </c>
      <c r="S123" s="211" t="s">
        <v>18</v>
      </c>
      <c r="T123" s="211">
        <f>IF(R123&gt;0,IF(RIGHT(Ruimtestaat[[#This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U123" s="211">
        <f>IF(T123&gt;0,VLOOKUP($J123,Ruimtegroepen[],3,FALSE)*VLOOKUP($L123,Vloersoorten[],3,FALSE)*VLOOKUP($S123,Frequenties[],3,FALSE)*VLOOKUP($A123,Locaties[],3,FALSE),0)</f>
        <v>100</v>
      </c>
      <c r="V123" s="211">
        <f>Ruimtestaat[[#This Row],[Uitvoeringen werkdagen]]*Ruimtestaat[[#This Row],[Oppervlak (netto)]]</f>
        <v>3625.2000000000003</v>
      </c>
      <c r="W123" s="257">
        <f>IF(U123&gt;0,Ruimtestaat[[#This Row],[Prest. (m2 /jaar) werkdagen]]/Ruimtestaat[[#This Row],[Norm (m2/uur) werkdagen]],0)</f>
        <v>36.252000000000002</v>
      </c>
      <c r="X123" s="258">
        <f>Ruimtestaat[[#This Row],[uren / jaar werkdagen]]*Tariefsopbouw!$D$38</f>
        <v>906.30000000000007</v>
      </c>
      <c r="Y123" s="33"/>
      <c r="Z123" s="33">
        <f>IF(Ruimtestaat[[#This Row],[Frequentie weekend]]&gt;0,VALUE(LEFT(Y123,1))*R123,0)</f>
        <v>0</v>
      </c>
      <c r="AA123" s="33">
        <f>IF($Z123&gt;0,VLOOKUP($J123,Ruimtegroepen[],3,FALSE)*VLOOKUP($L123,Vloersoorten[],3,FALSE)*VLOOKUP($Y123,Frequenties[],3,FALSE)*VLOOKUP(#REF!,Locaties[],3,FALSE),0)</f>
        <v>0</v>
      </c>
      <c r="AB123" s="33"/>
      <c r="AC123" s="33"/>
      <c r="AD123" s="33">
        <f>Ruimtestaat[[#This Row],[uren / jaar weekend]]*Tariefsopbouw!$D$40</f>
        <v>0</v>
      </c>
      <c r="AE123" s="88">
        <f>Ruimtestaat[[#This Row],[Prest. (m2 /jaar) weekend]]+Ruimtestaat[[#This Row],[Prest. (m2 /jaar) werkdagen]]</f>
        <v>3625.2000000000003</v>
      </c>
      <c r="AF123" s="88">
        <f>Ruimtestaat[[#This Row],[uren / jaar weekend]]+Ruimtestaat[[#This Row],[uren / jaar werkdagen]]</f>
        <v>36.252000000000002</v>
      </c>
      <c r="AG123" s="89">
        <f>Ruimtestaat[[#This Row],[kosten / jaar weekend]]+Ruimtestaat[[#This Row],[kosten / jaar werkdagen]]</f>
        <v>906.30000000000007</v>
      </c>
      <c r="HL123" s="87"/>
    </row>
    <row r="124" spans="1:220" s="193" customFormat="1" ht="15" customHeight="1">
      <c r="A124" s="129">
        <v>1</v>
      </c>
      <c r="B124" s="21" t="str">
        <f>VLOOKUP(Ruimtestaat[[#This Row],[Code]],Locaties[#All],2,FALSE)</f>
        <v>Groenlo</v>
      </c>
      <c r="C124" s="21" t="str">
        <f>VLOOKUP(Ruimtestaat[[#This Row],[Code]],Locaties[#All],4,FALSE)</f>
        <v>Deken Hooijmanssingel 1</v>
      </c>
      <c r="D124" s="241" t="str">
        <f>VLOOKUP(Ruimtestaat[[#This Row],[Code]],Locaties[#All],5,FALSE)</f>
        <v>7141 EA</v>
      </c>
      <c r="E124" s="241" t="str">
        <f>VLOOKUP(Ruimtestaat[[#This Row],[Code]],Locaties[#All],6,FALSE)</f>
        <v>Groenlo</v>
      </c>
      <c r="F124" s="195" t="s">
        <v>774</v>
      </c>
      <c r="G124" s="195">
        <v>1</v>
      </c>
      <c r="H124" s="195" t="s">
        <v>469</v>
      </c>
      <c r="I124" s="242" t="s">
        <v>395</v>
      </c>
      <c r="J124" s="195">
        <v>16</v>
      </c>
      <c r="K124" s="260" t="str">
        <f>VLOOKUP(Ruimtestaat[[#This Row],[Ruimte code]],Ruimtegroepen[#All],2,FALSE)</f>
        <v>Lokaal</v>
      </c>
      <c r="L124" s="211" t="s">
        <v>110</v>
      </c>
      <c r="M124" s="195" t="s">
        <v>133</v>
      </c>
      <c r="N124" s="197">
        <v>61.82</v>
      </c>
      <c r="O124" s="209"/>
      <c r="P124" s="241" t="str">
        <f>VLOOKUP(Ruimtestaat[[#This Row],[Ruimte code]],Ruimtegroepen[#All],4,FALSE)</f>
        <v>L  (Lesruimte)</v>
      </c>
      <c r="Q124" s="210"/>
      <c r="R124" s="211">
        <v>40</v>
      </c>
      <c r="S124" s="211" t="s">
        <v>2</v>
      </c>
      <c r="T124" s="211">
        <f>IF(R124&gt;0,IF(RIGHT(Ruimtestaat[[#This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124" s="211">
        <f>IF(T124&gt;0,VLOOKUP($J124,Ruimtegroepen[],3,FALSE)*VLOOKUP($L124,Vloersoorten[],3,FALSE)*VLOOKUP($S124,Frequenties[],3,FALSE)*VLOOKUP($A124,Locaties[],3,FALSE),0)</f>
        <v>100</v>
      </c>
      <c r="V124" s="211">
        <f>Ruimtestaat[[#This Row],[Uitvoeringen werkdagen]]*Ruimtestaat[[#This Row],[Oppervlak (netto)]]</f>
        <v>12364</v>
      </c>
      <c r="W124" s="257">
        <f>IF(U124&gt;0,Ruimtestaat[[#This Row],[Prest. (m2 /jaar) werkdagen]]/Ruimtestaat[[#This Row],[Norm (m2/uur) werkdagen]],0)</f>
        <v>123.64</v>
      </c>
      <c r="X124" s="258">
        <f>Ruimtestaat[[#This Row],[uren / jaar werkdagen]]*Tariefsopbouw!$D$38</f>
        <v>3091</v>
      </c>
      <c r="Y124" s="33"/>
      <c r="Z124" s="33">
        <f>IF(Ruimtestaat[[#This Row],[Frequentie weekend]]&gt;0,VALUE(LEFT(Y124,1))*R124,0)</f>
        <v>0</v>
      </c>
      <c r="AA124" s="33">
        <f>IF($Z124&gt;0,VLOOKUP($J124,Ruimtegroepen[],3,FALSE)*VLOOKUP($L124,Vloersoorten[],3,FALSE)*VLOOKUP($Y124,Frequenties[],3,FALSE)*VLOOKUP(#REF!,Locaties[],3,FALSE),0)</f>
        <v>0</v>
      </c>
      <c r="AB124" s="33"/>
      <c r="AC124" s="33"/>
      <c r="AD124" s="33">
        <f>Ruimtestaat[[#This Row],[uren / jaar weekend]]*Tariefsopbouw!$D$40</f>
        <v>0</v>
      </c>
      <c r="AE124" s="88">
        <f>Ruimtestaat[[#This Row],[Prest. (m2 /jaar) weekend]]+Ruimtestaat[[#This Row],[Prest. (m2 /jaar) werkdagen]]</f>
        <v>12364</v>
      </c>
      <c r="AF124" s="88">
        <f>Ruimtestaat[[#This Row],[uren / jaar weekend]]+Ruimtestaat[[#This Row],[uren / jaar werkdagen]]</f>
        <v>123.64</v>
      </c>
      <c r="AG124" s="89">
        <f>Ruimtestaat[[#This Row],[kosten / jaar weekend]]+Ruimtestaat[[#This Row],[kosten / jaar werkdagen]]</f>
        <v>3091</v>
      </c>
    </row>
    <row r="125" spans="1:220" ht="15" customHeight="1">
      <c r="A125" s="129">
        <v>1</v>
      </c>
      <c r="B125" s="21" t="str">
        <f>VLOOKUP(Ruimtestaat[[#This Row],[Code]],Locaties[#All],2,FALSE)</f>
        <v>Groenlo</v>
      </c>
      <c r="C125" s="21" t="str">
        <f>VLOOKUP(Ruimtestaat[[#This Row],[Code]],Locaties[#All],4,FALSE)</f>
        <v>Deken Hooijmanssingel 1</v>
      </c>
      <c r="D125" s="241" t="str">
        <f>VLOOKUP(Ruimtestaat[[#This Row],[Code]],Locaties[#All],5,FALSE)</f>
        <v>7141 EA</v>
      </c>
      <c r="E125" s="241" t="str">
        <f>VLOOKUP(Ruimtestaat[[#This Row],[Code]],Locaties[#All],6,FALSE)</f>
        <v>Groenlo</v>
      </c>
      <c r="F125" s="195" t="s">
        <v>774</v>
      </c>
      <c r="G125" s="195">
        <v>1</v>
      </c>
      <c r="H125" s="195" t="s">
        <v>470</v>
      </c>
      <c r="I125" s="242" t="s">
        <v>395</v>
      </c>
      <c r="J125" s="195">
        <v>16</v>
      </c>
      <c r="K125" s="260" t="str">
        <f>VLOOKUP(Ruimtestaat[[#This Row],[Ruimte code]],Ruimtegroepen[#All],2,FALSE)</f>
        <v>Lokaal</v>
      </c>
      <c r="L125" s="211" t="s">
        <v>110</v>
      </c>
      <c r="M125" s="195" t="s">
        <v>133</v>
      </c>
      <c r="N125" s="197">
        <v>61.23</v>
      </c>
      <c r="O125" s="209"/>
      <c r="P125" s="241" t="str">
        <f>VLOOKUP(Ruimtestaat[[#This Row],[Ruimte code]],Ruimtegroepen[#All],4,FALSE)</f>
        <v>L  (Lesruimte)</v>
      </c>
      <c r="Q125" s="210"/>
      <c r="R125" s="211">
        <v>40</v>
      </c>
      <c r="S125" s="211" t="s">
        <v>2</v>
      </c>
      <c r="T125" s="211">
        <f>IF(R125&gt;0,IF(RIGHT(Ruimtestaat[[#This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125" s="211">
        <f>IF(T125&gt;0,VLOOKUP($J125,Ruimtegroepen[],3,FALSE)*VLOOKUP($L125,Vloersoorten[],3,FALSE)*VLOOKUP($S125,Frequenties[],3,FALSE)*VLOOKUP($A125,Locaties[],3,FALSE),0)</f>
        <v>100</v>
      </c>
      <c r="V125" s="211">
        <f>Ruimtestaat[[#This Row],[Uitvoeringen werkdagen]]*Ruimtestaat[[#This Row],[Oppervlak (netto)]]</f>
        <v>12246</v>
      </c>
      <c r="W125" s="257">
        <f>IF(U125&gt;0,Ruimtestaat[[#This Row],[Prest. (m2 /jaar) werkdagen]]/Ruimtestaat[[#This Row],[Norm (m2/uur) werkdagen]],0)</f>
        <v>122.46</v>
      </c>
      <c r="X125" s="258">
        <f>Ruimtestaat[[#This Row],[uren / jaar werkdagen]]*Tariefsopbouw!$D$38</f>
        <v>3061.5</v>
      </c>
      <c r="Y125" s="33"/>
      <c r="Z125" s="33">
        <f>IF(Ruimtestaat[[#This Row],[Frequentie weekend]]&gt;0,VALUE(LEFT(Y125,1))*R125,0)</f>
        <v>0</v>
      </c>
      <c r="AA125" s="33">
        <f>IF($Z125&gt;0,VLOOKUP($J125,Ruimtegroepen[],3,FALSE)*VLOOKUP($L125,Vloersoorten[],3,FALSE)*VLOOKUP($Y125,Frequenties[],3,FALSE)*VLOOKUP(#REF!,Locaties[],3,FALSE),0)</f>
        <v>0</v>
      </c>
      <c r="AB125" s="33"/>
      <c r="AC125" s="33"/>
      <c r="AD125" s="33">
        <f>Ruimtestaat[[#This Row],[uren / jaar weekend]]*Tariefsopbouw!$D$40</f>
        <v>0</v>
      </c>
      <c r="AE125" s="88">
        <f>Ruimtestaat[[#This Row],[Prest. (m2 /jaar) weekend]]+Ruimtestaat[[#This Row],[Prest. (m2 /jaar) werkdagen]]</f>
        <v>12246</v>
      </c>
      <c r="AF125" s="88">
        <f>Ruimtestaat[[#This Row],[uren / jaar weekend]]+Ruimtestaat[[#This Row],[uren / jaar werkdagen]]</f>
        <v>122.46</v>
      </c>
      <c r="AG125" s="89">
        <f>Ruimtestaat[[#This Row],[kosten / jaar weekend]]+Ruimtestaat[[#This Row],[kosten / jaar werkdagen]]</f>
        <v>3061.5</v>
      </c>
      <c r="HL125" s="87"/>
    </row>
    <row r="126" spans="1:220" ht="15" customHeight="1">
      <c r="A126" s="129">
        <v>1</v>
      </c>
      <c r="B126" s="21" t="str">
        <f>VLOOKUP(Ruimtestaat[[#This Row],[Code]],Locaties[#All],2,FALSE)</f>
        <v>Groenlo</v>
      </c>
      <c r="C126" s="21" t="str">
        <f>VLOOKUP(Ruimtestaat[[#This Row],[Code]],Locaties[#All],4,FALSE)</f>
        <v>Deken Hooijmanssingel 1</v>
      </c>
      <c r="D126" s="241" t="str">
        <f>VLOOKUP(Ruimtestaat[[#This Row],[Code]],Locaties[#All],5,FALSE)</f>
        <v>7141 EA</v>
      </c>
      <c r="E126" s="241" t="str">
        <f>VLOOKUP(Ruimtestaat[[#This Row],[Code]],Locaties[#All],6,FALSE)</f>
        <v>Groenlo</v>
      </c>
      <c r="F126" s="195" t="s">
        <v>774</v>
      </c>
      <c r="G126" s="195">
        <v>1</v>
      </c>
      <c r="H126" s="195" t="s">
        <v>471</v>
      </c>
      <c r="I126" s="242" t="s">
        <v>395</v>
      </c>
      <c r="J126" s="195">
        <v>16</v>
      </c>
      <c r="K126" s="260" t="str">
        <f>VLOOKUP(Ruimtestaat[[#This Row],[Ruimte code]],Ruimtegroepen[#All],2,FALSE)</f>
        <v>Lokaal</v>
      </c>
      <c r="L126" s="211" t="s">
        <v>110</v>
      </c>
      <c r="M126" s="195" t="s">
        <v>133</v>
      </c>
      <c r="N126" s="197">
        <v>61.28</v>
      </c>
      <c r="O126" s="209"/>
      <c r="P126" s="241" t="str">
        <f>VLOOKUP(Ruimtestaat[[#This Row],[Ruimte code]],Ruimtegroepen[#All],4,FALSE)</f>
        <v>L  (Lesruimte)</v>
      </c>
      <c r="Q126" s="210"/>
      <c r="R126" s="211">
        <v>40</v>
      </c>
      <c r="S126" s="211" t="s">
        <v>2</v>
      </c>
      <c r="T126" s="211">
        <f>IF(R126&gt;0,IF(RIGHT(Ruimtestaat[[#This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126" s="211">
        <f>IF(T126&gt;0,VLOOKUP($J126,Ruimtegroepen[],3,FALSE)*VLOOKUP($L126,Vloersoorten[],3,FALSE)*VLOOKUP($S126,Frequenties[],3,FALSE)*VLOOKUP($A126,Locaties[],3,FALSE),0)</f>
        <v>100</v>
      </c>
      <c r="V126" s="211">
        <f>Ruimtestaat[[#This Row],[Uitvoeringen werkdagen]]*Ruimtestaat[[#This Row],[Oppervlak (netto)]]</f>
        <v>12256</v>
      </c>
      <c r="W126" s="257">
        <f>IF(U126&gt;0,Ruimtestaat[[#This Row],[Prest. (m2 /jaar) werkdagen]]/Ruimtestaat[[#This Row],[Norm (m2/uur) werkdagen]],0)</f>
        <v>122.56</v>
      </c>
      <c r="X126" s="258">
        <f>Ruimtestaat[[#This Row],[uren / jaar werkdagen]]*Tariefsopbouw!$D$38</f>
        <v>3064</v>
      </c>
      <c r="Y126" s="33"/>
      <c r="Z126" s="33">
        <f>IF(Ruimtestaat[[#This Row],[Frequentie weekend]]&gt;0,VALUE(LEFT(Y126,1))*R126,0)</f>
        <v>0</v>
      </c>
      <c r="AA126" s="33">
        <f>IF($Z126&gt;0,VLOOKUP($J126,Ruimtegroepen[],3,FALSE)*VLOOKUP($L126,Vloersoorten[],3,FALSE)*VLOOKUP($Y126,Frequenties[],3,FALSE)*VLOOKUP(#REF!,Locaties[],3,FALSE),0)</f>
        <v>0</v>
      </c>
      <c r="AB126" s="33"/>
      <c r="AC126" s="33"/>
      <c r="AD126" s="33">
        <f>Ruimtestaat[[#This Row],[uren / jaar weekend]]*Tariefsopbouw!$D$40</f>
        <v>0</v>
      </c>
      <c r="AE126" s="88">
        <f>Ruimtestaat[[#This Row],[Prest. (m2 /jaar) weekend]]+Ruimtestaat[[#This Row],[Prest. (m2 /jaar) werkdagen]]</f>
        <v>12256</v>
      </c>
      <c r="AF126" s="88">
        <f>Ruimtestaat[[#This Row],[uren / jaar weekend]]+Ruimtestaat[[#This Row],[uren / jaar werkdagen]]</f>
        <v>122.56</v>
      </c>
      <c r="AG126" s="89">
        <f>Ruimtestaat[[#This Row],[kosten / jaar weekend]]+Ruimtestaat[[#This Row],[kosten / jaar werkdagen]]</f>
        <v>3064</v>
      </c>
      <c r="HL126" s="87"/>
    </row>
    <row r="127" spans="1:220" ht="15" customHeight="1">
      <c r="A127" s="129">
        <v>1</v>
      </c>
      <c r="B127" s="21" t="str">
        <f>VLOOKUP(Ruimtestaat[[#This Row],[Code]],Locaties[#All],2,FALSE)</f>
        <v>Groenlo</v>
      </c>
      <c r="C127" s="21" t="str">
        <f>VLOOKUP(Ruimtestaat[[#This Row],[Code]],Locaties[#All],4,FALSE)</f>
        <v>Deken Hooijmanssingel 1</v>
      </c>
      <c r="D127" s="241" t="str">
        <f>VLOOKUP(Ruimtestaat[[#This Row],[Code]],Locaties[#All],5,FALSE)</f>
        <v>7141 EA</v>
      </c>
      <c r="E127" s="241" t="str">
        <f>VLOOKUP(Ruimtestaat[[#This Row],[Code]],Locaties[#All],6,FALSE)</f>
        <v>Groenlo</v>
      </c>
      <c r="F127" s="195" t="s">
        <v>774</v>
      </c>
      <c r="G127" s="195">
        <v>1</v>
      </c>
      <c r="H127" s="195" t="s">
        <v>472</v>
      </c>
      <c r="I127" s="242" t="s">
        <v>395</v>
      </c>
      <c r="J127" s="195">
        <v>16</v>
      </c>
      <c r="K127" s="260" t="str">
        <f>VLOOKUP(Ruimtestaat[[#This Row],[Ruimte code]],Ruimtegroepen[#All],2,FALSE)</f>
        <v>Lokaal</v>
      </c>
      <c r="L127" s="211" t="s">
        <v>110</v>
      </c>
      <c r="M127" s="195" t="s">
        <v>133</v>
      </c>
      <c r="N127" s="197">
        <v>61.65</v>
      </c>
      <c r="O127" s="209"/>
      <c r="P127" s="241" t="str">
        <f>VLOOKUP(Ruimtestaat[[#This Row],[Ruimte code]],Ruimtegroepen[#All],4,FALSE)</f>
        <v>L  (Lesruimte)</v>
      </c>
      <c r="Q127" s="210"/>
      <c r="R127" s="211">
        <v>40</v>
      </c>
      <c r="S127" s="211" t="s">
        <v>2</v>
      </c>
      <c r="T127" s="211">
        <f>IF(R127&gt;0,IF(RIGHT(Ruimtestaat[[#This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127" s="211">
        <f>IF(T127&gt;0,VLOOKUP($J127,Ruimtegroepen[],3,FALSE)*VLOOKUP($L127,Vloersoorten[],3,FALSE)*VLOOKUP($S127,Frequenties[],3,FALSE)*VLOOKUP($A127,Locaties[],3,FALSE),0)</f>
        <v>100</v>
      </c>
      <c r="V127" s="211">
        <f>Ruimtestaat[[#This Row],[Uitvoeringen werkdagen]]*Ruimtestaat[[#This Row],[Oppervlak (netto)]]</f>
        <v>12330</v>
      </c>
      <c r="W127" s="257">
        <f>IF(U127&gt;0,Ruimtestaat[[#This Row],[Prest. (m2 /jaar) werkdagen]]/Ruimtestaat[[#This Row],[Norm (m2/uur) werkdagen]],0)</f>
        <v>123.3</v>
      </c>
      <c r="X127" s="258">
        <f>Ruimtestaat[[#This Row],[uren / jaar werkdagen]]*Tariefsopbouw!$D$38</f>
        <v>3082.5</v>
      </c>
      <c r="Y127" s="33"/>
      <c r="Z127" s="33">
        <f>IF(Ruimtestaat[[#This Row],[Frequentie weekend]]&gt;0,VALUE(LEFT(Y127,1))*R127,0)</f>
        <v>0</v>
      </c>
      <c r="AA127" s="33">
        <f>IF($Z127&gt;0,VLOOKUP($J127,Ruimtegroepen[],3,FALSE)*VLOOKUP($L127,Vloersoorten[],3,FALSE)*VLOOKUP($Y127,Frequenties[],3,FALSE)*VLOOKUP(#REF!,Locaties[],3,FALSE),0)</f>
        <v>0</v>
      </c>
      <c r="AB127" s="33"/>
      <c r="AC127" s="33"/>
      <c r="AD127" s="33">
        <f>Ruimtestaat[[#This Row],[uren / jaar weekend]]*Tariefsopbouw!$D$40</f>
        <v>0</v>
      </c>
      <c r="AE127" s="88">
        <f>Ruimtestaat[[#This Row],[Prest. (m2 /jaar) weekend]]+Ruimtestaat[[#This Row],[Prest. (m2 /jaar) werkdagen]]</f>
        <v>12330</v>
      </c>
      <c r="AF127" s="88">
        <f>Ruimtestaat[[#This Row],[uren / jaar weekend]]+Ruimtestaat[[#This Row],[uren / jaar werkdagen]]</f>
        <v>123.3</v>
      </c>
      <c r="AG127" s="89">
        <f>Ruimtestaat[[#This Row],[kosten / jaar weekend]]+Ruimtestaat[[#This Row],[kosten / jaar werkdagen]]</f>
        <v>3082.5</v>
      </c>
      <c r="HL127" s="87"/>
    </row>
    <row r="128" spans="1:220" ht="15" customHeight="1">
      <c r="A128" s="129">
        <v>1</v>
      </c>
      <c r="B128" s="21" t="str">
        <f>VLOOKUP(Ruimtestaat[[#This Row],[Code]],Locaties[#All],2,FALSE)</f>
        <v>Groenlo</v>
      </c>
      <c r="C128" s="21" t="str">
        <f>VLOOKUP(Ruimtestaat[[#This Row],[Code]],Locaties[#All],4,FALSE)</f>
        <v>Deken Hooijmanssingel 1</v>
      </c>
      <c r="D128" s="241" t="str">
        <f>VLOOKUP(Ruimtestaat[[#This Row],[Code]],Locaties[#All],5,FALSE)</f>
        <v>7141 EA</v>
      </c>
      <c r="E128" s="241" t="str">
        <f>VLOOKUP(Ruimtestaat[[#This Row],[Code]],Locaties[#All],6,FALSE)</f>
        <v>Groenlo</v>
      </c>
      <c r="F128" s="195" t="s">
        <v>774</v>
      </c>
      <c r="G128" s="195">
        <v>1</v>
      </c>
      <c r="H128" s="195" t="s">
        <v>473</v>
      </c>
      <c r="I128" s="242" t="s">
        <v>395</v>
      </c>
      <c r="J128" s="211">
        <v>16</v>
      </c>
      <c r="K128" s="260" t="str">
        <f>VLOOKUP(Ruimtestaat[[#This Row],[Ruimte code]],Ruimtegroepen[#All],2,FALSE)</f>
        <v>Lokaal</v>
      </c>
      <c r="L128" s="211" t="s">
        <v>110</v>
      </c>
      <c r="M128" s="195" t="s">
        <v>133</v>
      </c>
      <c r="N128" s="197">
        <v>61.07</v>
      </c>
      <c r="O128" s="209"/>
      <c r="P128" s="241" t="str">
        <f>VLOOKUP(Ruimtestaat[[#This Row],[Ruimte code]],Ruimtegroepen[#All],4,FALSE)</f>
        <v>L  (Lesruimte)</v>
      </c>
      <c r="Q128" s="210"/>
      <c r="R128" s="211">
        <v>40</v>
      </c>
      <c r="S128" s="211" t="s">
        <v>2</v>
      </c>
      <c r="T128" s="211">
        <f>IF(R128&gt;0,IF(RIGHT(Ruimtestaat[[#This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128" s="211">
        <f>IF(T128&gt;0,VLOOKUP($J128,Ruimtegroepen[],3,FALSE)*VLOOKUP($L128,Vloersoorten[],3,FALSE)*VLOOKUP($S128,Frequenties[],3,FALSE)*VLOOKUP($A128,Locaties[],3,FALSE),0)</f>
        <v>100</v>
      </c>
      <c r="V128" s="211">
        <f>Ruimtestaat[[#This Row],[Uitvoeringen werkdagen]]*Ruimtestaat[[#This Row],[Oppervlak (netto)]]</f>
        <v>12214</v>
      </c>
      <c r="W128" s="257">
        <f>IF(U128&gt;0,Ruimtestaat[[#This Row],[Prest. (m2 /jaar) werkdagen]]/Ruimtestaat[[#This Row],[Norm (m2/uur) werkdagen]],0)</f>
        <v>122.14</v>
      </c>
      <c r="X128" s="258">
        <f>Ruimtestaat[[#This Row],[uren / jaar werkdagen]]*Tariefsopbouw!$D$38</f>
        <v>3053.5</v>
      </c>
      <c r="Y128" s="33"/>
      <c r="Z128" s="33">
        <f>IF(Ruimtestaat[[#This Row],[Frequentie weekend]]&gt;0,VALUE(LEFT(Y128,1))*R128,0)</f>
        <v>0</v>
      </c>
      <c r="AA128" s="33">
        <f>IF($Z128&gt;0,VLOOKUP($J128,Ruimtegroepen[],3,FALSE)*VLOOKUP($L128,Vloersoorten[],3,FALSE)*VLOOKUP($Y128,Frequenties[],3,FALSE)*VLOOKUP(#REF!,Locaties[],3,FALSE),0)</f>
        <v>0</v>
      </c>
      <c r="AB128" s="33"/>
      <c r="AC128" s="33"/>
      <c r="AD128" s="33">
        <f>Ruimtestaat[[#This Row],[uren / jaar weekend]]*Tariefsopbouw!$D$40</f>
        <v>0</v>
      </c>
      <c r="AE128" s="88">
        <f>Ruimtestaat[[#This Row],[Prest. (m2 /jaar) weekend]]+Ruimtestaat[[#This Row],[Prest. (m2 /jaar) werkdagen]]</f>
        <v>12214</v>
      </c>
      <c r="AF128" s="88">
        <f>Ruimtestaat[[#This Row],[uren / jaar weekend]]+Ruimtestaat[[#This Row],[uren / jaar werkdagen]]</f>
        <v>122.14</v>
      </c>
      <c r="AG128" s="89">
        <f>Ruimtestaat[[#This Row],[kosten / jaar weekend]]+Ruimtestaat[[#This Row],[kosten / jaar werkdagen]]</f>
        <v>3053.5</v>
      </c>
      <c r="HL128" s="87"/>
    </row>
    <row r="129" spans="1:220" ht="15" customHeight="1">
      <c r="A129" s="129">
        <v>1</v>
      </c>
      <c r="B129" s="21" t="str">
        <f>VLOOKUP(Ruimtestaat[[#This Row],[Code]],Locaties[#All],2,FALSE)</f>
        <v>Groenlo</v>
      </c>
      <c r="C129" s="21" t="str">
        <f>VLOOKUP(Ruimtestaat[[#This Row],[Code]],Locaties[#All],4,FALSE)</f>
        <v>Deken Hooijmanssingel 1</v>
      </c>
      <c r="D129" s="241" t="str">
        <f>VLOOKUP(Ruimtestaat[[#This Row],[Code]],Locaties[#All],5,FALSE)</f>
        <v>7141 EA</v>
      </c>
      <c r="E129" s="241" t="str">
        <f>VLOOKUP(Ruimtestaat[[#This Row],[Code]],Locaties[#All],6,FALSE)</f>
        <v>Groenlo</v>
      </c>
      <c r="F129" s="195" t="s">
        <v>774</v>
      </c>
      <c r="G129" s="195">
        <v>1</v>
      </c>
      <c r="H129" s="195" t="s">
        <v>474</v>
      </c>
      <c r="I129" s="242" t="s">
        <v>382</v>
      </c>
      <c r="J129" s="195">
        <v>10</v>
      </c>
      <c r="K129" s="260" t="str">
        <f>VLOOKUP(Ruimtestaat[[#This Row],[Ruimte code]],Ruimtegroepen[#All],2,FALSE)</f>
        <v>Trappenhuizen/lift</v>
      </c>
      <c r="L129" s="211" t="s">
        <v>110</v>
      </c>
      <c r="M129" s="195" t="s">
        <v>133</v>
      </c>
      <c r="N129" s="197">
        <v>29.18</v>
      </c>
      <c r="O129" s="209"/>
      <c r="P129" s="241" t="str">
        <f>VLOOKUP(Ruimtestaat[[#This Row],[Ruimte code]],Ruimtegroepen[#All],4,FALSE)</f>
        <v>V  (Verkeersruimte)</v>
      </c>
      <c r="Q129" s="210"/>
      <c r="R129" s="211">
        <v>40</v>
      </c>
      <c r="S129" s="211" t="s">
        <v>2</v>
      </c>
      <c r="T129" s="211">
        <f>IF(R129&gt;0,IF(RIGHT(Ruimtestaat[[#This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129" s="211">
        <f>IF(T129&gt;0,VLOOKUP($J129,Ruimtegroepen[],3,FALSE)*VLOOKUP($L129,Vloersoorten[],3,FALSE)*VLOOKUP($S129,Frequenties[],3,FALSE)*VLOOKUP($A129,Locaties[],3,FALSE),0)</f>
        <v>100</v>
      </c>
      <c r="V129" s="211">
        <f>Ruimtestaat[[#This Row],[Uitvoeringen werkdagen]]*Ruimtestaat[[#This Row],[Oppervlak (netto)]]</f>
        <v>5836</v>
      </c>
      <c r="W129" s="257">
        <f>IF(U129&gt;0,Ruimtestaat[[#This Row],[Prest. (m2 /jaar) werkdagen]]/Ruimtestaat[[#This Row],[Norm (m2/uur) werkdagen]],0)</f>
        <v>58.36</v>
      </c>
      <c r="X129" s="258">
        <f>Ruimtestaat[[#This Row],[uren / jaar werkdagen]]*Tariefsopbouw!$D$38</f>
        <v>1459</v>
      </c>
      <c r="Y129" s="33"/>
      <c r="Z129" s="33">
        <f>IF(Ruimtestaat[[#This Row],[Frequentie weekend]]&gt;0,VALUE(LEFT(Y129,1))*R129,0)</f>
        <v>0</v>
      </c>
      <c r="AA129" s="33">
        <f>IF($Z129&gt;0,VLOOKUP($J129,Ruimtegroepen[],3,FALSE)*VLOOKUP($L129,Vloersoorten[],3,FALSE)*VLOOKUP($Y129,Frequenties[],3,FALSE)*VLOOKUP(#REF!,Locaties[],3,FALSE),0)</f>
        <v>0</v>
      </c>
      <c r="AB129" s="33"/>
      <c r="AC129" s="33"/>
      <c r="AD129" s="33">
        <f>Ruimtestaat[[#This Row],[uren / jaar weekend]]*Tariefsopbouw!$D$40</f>
        <v>0</v>
      </c>
      <c r="AE129" s="88">
        <f>Ruimtestaat[[#This Row],[Prest. (m2 /jaar) weekend]]+Ruimtestaat[[#This Row],[Prest. (m2 /jaar) werkdagen]]</f>
        <v>5836</v>
      </c>
      <c r="AF129" s="88">
        <f>Ruimtestaat[[#This Row],[uren / jaar weekend]]+Ruimtestaat[[#This Row],[uren / jaar werkdagen]]</f>
        <v>58.36</v>
      </c>
      <c r="AG129" s="89">
        <f>Ruimtestaat[[#This Row],[kosten / jaar weekend]]+Ruimtestaat[[#This Row],[kosten / jaar werkdagen]]</f>
        <v>1459</v>
      </c>
      <c r="HL129" s="87"/>
    </row>
    <row r="130" spans="1:220" ht="15" customHeight="1">
      <c r="A130" s="129">
        <v>1</v>
      </c>
      <c r="B130" s="21" t="str">
        <f>VLOOKUP(Ruimtestaat[[#This Row],[Code]],Locaties[#All],2,FALSE)</f>
        <v>Groenlo</v>
      </c>
      <c r="C130" s="21" t="str">
        <f>VLOOKUP(Ruimtestaat[[#This Row],[Code]],Locaties[#All],4,FALSE)</f>
        <v>Deken Hooijmanssingel 1</v>
      </c>
      <c r="D130" s="241" t="str">
        <f>VLOOKUP(Ruimtestaat[[#This Row],[Code]],Locaties[#All],5,FALSE)</f>
        <v>7141 EA</v>
      </c>
      <c r="E130" s="241" t="str">
        <f>VLOOKUP(Ruimtestaat[[#This Row],[Code]],Locaties[#All],6,FALSE)</f>
        <v>Groenlo</v>
      </c>
      <c r="F130" s="195" t="s">
        <v>774</v>
      </c>
      <c r="G130" s="195">
        <v>1</v>
      </c>
      <c r="H130" s="195" t="s">
        <v>475</v>
      </c>
      <c r="I130" s="242" t="s">
        <v>441</v>
      </c>
      <c r="J130" s="195">
        <v>1</v>
      </c>
      <c r="K130" s="260" t="str">
        <f>VLOOKUP(Ruimtestaat[[#This Row],[Ruimte code]],Ruimtegroepen[#All],2,FALSE)</f>
        <v>Magazijnen/bergingen</v>
      </c>
      <c r="L130" s="211" t="s">
        <v>110</v>
      </c>
      <c r="M130" s="195" t="s">
        <v>133</v>
      </c>
      <c r="N130" s="197">
        <v>4.58</v>
      </c>
      <c r="O130" s="209"/>
      <c r="P130" s="241" t="str">
        <f>VLOOKUP(Ruimtestaat[[#This Row],[Ruimte code]],Ruimtegroepen[#All],4,FALSE)</f>
        <v>V  (Verkeersruimte)</v>
      </c>
      <c r="Q130" s="210"/>
      <c r="R130" s="211">
        <v>40</v>
      </c>
      <c r="S130" s="211" t="s">
        <v>16</v>
      </c>
      <c r="T130" s="211">
        <f>IF(R130&gt;0,IF(RIGHT(Ruimtestaat[[#This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U130" s="211">
        <f>IF(T130&gt;0,VLOOKUP($J130,Ruimtegroepen[],3,FALSE)*VLOOKUP($L130,Vloersoorten[],3,FALSE)*VLOOKUP($S130,Frequenties[],3,FALSE)*VLOOKUP($A130,Locaties[],3,FALSE),0)</f>
        <v>100</v>
      </c>
      <c r="V130" s="211">
        <f>Ruimtestaat[[#This Row],[Uitvoeringen werkdagen]]*Ruimtestaat[[#This Row],[Oppervlak (netto)]]</f>
        <v>54.96</v>
      </c>
      <c r="W130" s="257">
        <f>IF(U130&gt;0,Ruimtestaat[[#This Row],[Prest. (m2 /jaar) werkdagen]]/Ruimtestaat[[#This Row],[Norm (m2/uur) werkdagen]],0)</f>
        <v>0.54959999999999998</v>
      </c>
      <c r="X130" s="258">
        <f>Ruimtestaat[[#This Row],[uren / jaar werkdagen]]*Tariefsopbouw!$D$38</f>
        <v>13.74</v>
      </c>
      <c r="Y130" s="33"/>
      <c r="Z130" s="33">
        <f>IF(Ruimtestaat[[#This Row],[Frequentie weekend]]&gt;0,VALUE(LEFT(Y130,1))*R130,0)</f>
        <v>0</v>
      </c>
      <c r="AA130" s="33">
        <f>IF($Z130&gt;0,VLOOKUP($J130,Ruimtegroepen[],3,FALSE)*VLOOKUP($L130,Vloersoorten[],3,FALSE)*VLOOKUP($Y130,Frequenties[],3,FALSE)*VLOOKUP(#REF!,Locaties[],3,FALSE),0)</f>
        <v>0</v>
      </c>
      <c r="AB130" s="33"/>
      <c r="AC130" s="33"/>
      <c r="AD130" s="33">
        <f>Ruimtestaat[[#This Row],[uren / jaar weekend]]*Tariefsopbouw!$D$40</f>
        <v>0</v>
      </c>
      <c r="AE130" s="88">
        <f>Ruimtestaat[[#This Row],[Prest. (m2 /jaar) weekend]]+Ruimtestaat[[#This Row],[Prest. (m2 /jaar) werkdagen]]</f>
        <v>54.96</v>
      </c>
      <c r="AF130" s="88">
        <f>Ruimtestaat[[#This Row],[uren / jaar weekend]]+Ruimtestaat[[#This Row],[uren / jaar werkdagen]]</f>
        <v>0.54959999999999998</v>
      </c>
      <c r="AG130" s="89">
        <f>Ruimtestaat[[#This Row],[kosten / jaar weekend]]+Ruimtestaat[[#This Row],[kosten / jaar werkdagen]]</f>
        <v>13.74</v>
      </c>
      <c r="HL130" s="87"/>
    </row>
    <row r="131" spans="1:220" ht="15" customHeight="1">
      <c r="A131" s="129">
        <v>1</v>
      </c>
      <c r="B131" s="21" t="str">
        <f>VLOOKUP(Ruimtestaat[[#This Row],[Code]],Locaties[#All],2,FALSE)</f>
        <v>Groenlo</v>
      </c>
      <c r="C131" s="21" t="str">
        <f>VLOOKUP(Ruimtestaat[[#This Row],[Code]],Locaties[#All],4,FALSE)</f>
        <v>Deken Hooijmanssingel 1</v>
      </c>
      <c r="D131" s="241" t="str">
        <f>VLOOKUP(Ruimtestaat[[#This Row],[Code]],Locaties[#All],5,FALSE)</f>
        <v>7141 EA</v>
      </c>
      <c r="E131" s="241" t="str">
        <f>VLOOKUP(Ruimtestaat[[#This Row],[Code]],Locaties[#All],6,FALSE)</f>
        <v>Groenlo</v>
      </c>
      <c r="F131" s="195" t="s">
        <v>774</v>
      </c>
      <c r="G131" s="195">
        <v>1</v>
      </c>
      <c r="H131" s="195" t="s">
        <v>476</v>
      </c>
      <c r="I131" s="242" t="s">
        <v>441</v>
      </c>
      <c r="J131" s="195">
        <v>1</v>
      </c>
      <c r="K131" s="260" t="str">
        <f>VLOOKUP(Ruimtestaat[[#This Row],[Ruimte code]],Ruimtegroepen[#All],2,FALSE)</f>
        <v>Magazijnen/bergingen</v>
      </c>
      <c r="L131" s="211" t="s">
        <v>110</v>
      </c>
      <c r="M131" s="195" t="s">
        <v>133</v>
      </c>
      <c r="N131" s="197">
        <v>5.49</v>
      </c>
      <c r="O131" s="209"/>
      <c r="P131" s="241" t="str">
        <f>VLOOKUP(Ruimtestaat[[#This Row],[Ruimte code]],Ruimtegroepen[#All],4,FALSE)</f>
        <v>V  (Verkeersruimte)</v>
      </c>
      <c r="Q131" s="210"/>
      <c r="R131" s="211">
        <v>40</v>
      </c>
      <c r="S131" s="211" t="s">
        <v>16</v>
      </c>
      <c r="T131" s="211">
        <f>IF(R131&gt;0,IF(RIGHT(Ruimtestaat[[#This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U131" s="211">
        <f>IF(T131&gt;0,VLOOKUP($J131,Ruimtegroepen[],3,FALSE)*VLOOKUP($L131,Vloersoorten[],3,FALSE)*VLOOKUP($S131,Frequenties[],3,FALSE)*VLOOKUP($A131,Locaties[],3,FALSE),0)</f>
        <v>100</v>
      </c>
      <c r="V131" s="211">
        <f>Ruimtestaat[[#This Row],[Uitvoeringen werkdagen]]*Ruimtestaat[[#This Row],[Oppervlak (netto)]]</f>
        <v>65.88</v>
      </c>
      <c r="W131" s="257">
        <f>IF(U131&gt;0,Ruimtestaat[[#This Row],[Prest. (m2 /jaar) werkdagen]]/Ruimtestaat[[#This Row],[Norm (m2/uur) werkdagen]],0)</f>
        <v>0.65879999999999994</v>
      </c>
      <c r="X131" s="258">
        <f>Ruimtestaat[[#This Row],[uren / jaar werkdagen]]*Tariefsopbouw!$D$38</f>
        <v>16.47</v>
      </c>
      <c r="Y131" s="33"/>
      <c r="Z131" s="33">
        <f>IF(Ruimtestaat[[#This Row],[Frequentie weekend]]&gt;0,VALUE(LEFT(Y131,1))*R131,0)</f>
        <v>0</v>
      </c>
      <c r="AA131" s="33">
        <f>IF($Z131&gt;0,VLOOKUP($J131,Ruimtegroepen[],3,FALSE)*VLOOKUP($L131,Vloersoorten[],3,FALSE)*VLOOKUP($Y131,Frequenties[],3,FALSE)*VLOOKUP(#REF!,Locaties[],3,FALSE),0)</f>
        <v>0</v>
      </c>
      <c r="AB131" s="33"/>
      <c r="AC131" s="33"/>
      <c r="AD131" s="33">
        <f>Ruimtestaat[[#This Row],[uren / jaar weekend]]*Tariefsopbouw!$D$40</f>
        <v>0</v>
      </c>
      <c r="AE131" s="88">
        <f>Ruimtestaat[[#This Row],[Prest. (m2 /jaar) weekend]]+Ruimtestaat[[#This Row],[Prest. (m2 /jaar) werkdagen]]</f>
        <v>65.88</v>
      </c>
      <c r="AF131" s="88">
        <f>Ruimtestaat[[#This Row],[uren / jaar weekend]]+Ruimtestaat[[#This Row],[uren / jaar werkdagen]]</f>
        <v>0.65879999999999994</v>
      </c>
      <c r="AG131" s="89">
        <f>Ruimtestaat[[#This Row],[kosten / jaar weekend]]+Ruimtestaat[[#This Row],[kosten / jaar werkdagen]]</f>
        <v>16.47</v>
      </c>
      <c r="HL131" s="87"/>
    </row>
    <row r="132" spans="1:220" ht="15" customHeight="1">
      <c r="A132" s="129">
        <v>1</v>
      </c>
      <c r="B132" s="21" t="str">
        <f>VLOOKUP(Ruimtestaat[[#This Row],[Code]],Locaties[#All],2,FALSE)</f>
        <v>Groenlo</v>
      </c>
      <c r="C132" s="21" t="str">
        <f>VLOOKUP(Ruimtestaat[[#This Row],[Code]],Locaties[#All],4,FALSE)</f>
        <v>Deken Hooijmanssingel 1</v>
      </c>
      <c r="D132" s="241" t="str">
        <f>VLOOKUP(Ruimtestaat[[#This Row],[Code]],Locaties[#All],5,FALSE)</f>
        <v>7141 EA</v>
      </c>
      <c r="E132" s="241" t="str">
        <f>VLOOKUP(Ruimtestaat[[#This Row],[Code]],Locaties[#All],6,FALSE)</f>
        <v>Groenlo</v>
      </c>
      <c r="F132" s="195" t="s">
        <v>774</v>
      </c>
      <c r="G132" s="195">
        <v>1</v>
      </c>
      <c r="H132" s="195" t="s">
        <v>477</v>
      </c>
      <c r="I132" s="242" t="s">
        <v>447</v>
      </c>
      <c r="J132" s="195">
        <v>21</v>
      </c>
      <c r="K132" s="260" t="str">
        <f>VLOOKUP(Ruimtestaat[[#This Row],[Ruimte code]],Ruimtegroepen[#All],2,FALSE)</f>
        <v>Niet in onderhoud</v>
      </c>
      <c r="L132" s="211"/>
      <c r="M132" s="195"/>
      <c r="N132" s="197"/>
      <c r="O132" s="209">
        <v>2.88</v>
      </c>
      <c r="P132" s="241" t="str">
        <f>VLOOKUP(Ruimtestaat[[#This Row],[Ruimte code]],Ruimtegroepen[#All],4,FALSE)</f>
        <v>Niet in onderhoud</v>
      </c>
      <c r="Q132" s="210"/>
      <c r="R132" s="211"/>
      <c r="S132" s="211"/>
      <c r="T132" s="211">
        <f>IF(R132&gt;0,IF(RIGHT(Ruimtestaat[[#This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132" s="211">
        <f>IF(T132&gt;0,VLOOKUP($J132,Ruimtegroepen[],3,FALSE)*VLOOKUP($L132,Vloersoorten[],3,FALSE)*VLOOKUP($S132,Frequenties[],3,FALSE)*VLOOKUP($A132,Locaties[],3,FALSE),0)</f>
        <v>0</v>
      </c>
      <c r="V132" s="211">
        <f>Ruimtestaat[[#This Row],[Uitvoeringen werkdagen]]*Ruimtestaat[[#This Row],[Oppervlak (netto)]]</f>
        <v>0</v>
      </c>
      <c r="W132" s="257">
        <f>IF(U132&gt;0,Ruimtestaat[[#This Row],[Prest. (m2 /jaar) werkdagen]]/Ruimtestaat[[#This Row],[Norm (m2/uur) werkdagen]],0)</f>
        <v>0</v>
      </c>
      <c r="X132" s="258">
        <f>Ruimtestaat[[#This Row],[uren / jaar werkdagen]]*Tariefsopbouw!$D$38</f>
        <v>0</v>
      </c>
      <c r="Y132" s="33"/>
      <c r="Z132" s="33">
        <f>IF(Ruimtestaat[[#This Row],[Frequentie weekend]]&gt;0,VALUE(LEFT(Y132,1))*R132,0)</f>
        <v>0</v>
      </c>
      <c r="AA132" s="33">
        <f>IF($Z132&gt;0,VLOOKUP($J132,Ruimtegroepen[],3,FALSE)*VLOOKUP($L132,Vloersoorten[],3,FALSE)*VLOOKUP($Y132,Frequenties[],3,FALSE)*VLOOKUP(#REF!,Locaties[],3,FALSE),0)</f>
        <v>0</v>
      </c>
      <c r="AB132" s="33"/>
      <c r="AC132" s="33"/>
      <c r="AD132" s="33">
        <f>Ruimtestaat[[#This Row],[uren / jaar weekend]]*Tariefsopbouw!$D$40</f>
        <v>0</v>
      </c>
      <c r="AE132" s="88">
        <f>Ruimtestaat[[#This Row],[Prest. (m2 /jaar) weekend]]+Ruimtestaat[[#This Row],[Prest. (m2 /jaar) werkdagen]]</f>
        <v>0</v>
      </c>
      <c r="AF132" s="88">
        <f>Ruimtestaat[[#This Row],[uren / jaar weekend]]+Ruimtestaat[[#This Row],[uren / jaar werkdagen]]</f>
        <v>0</v>
      </c>
      <c r="AG132" s="89">
        <f>Ruimtestaat[[#This Row],[kosten / jaar weekend]]+Ruimtestaat[[#This Row],[kosten / jaar werkdagen]]</f>
        <v>0</v>
      </c>
      <c r="HL132" s="87"/>
    </row>
    <row r="133" spans="1:220" ht="15" customHeight="1">
      <c r="A133" s="129">
        <v>1</v>
      </c>
      <c r="B133" s="21" t="str">
        <f>VLOOKUP(Ruimtestaat[[#This Row],[Code]],Locaties[#All],2,FALSE)</f>
        <v>Groenlo</v>
      </c>
      <c r="C133" s="21" t="str">
        <f>VLOOKUP(Ruimtestaat[[#This Row],[Code]],Locaties[#All],4,FALSE)</f>
        <v>Deken Hooijmanssingel 1</v>
      </c>
      <c r="D133" s="241" t="str">
        <f>VLOOKUP(Ruimtestaat[[#This Row],[Code]],Locaties[#All],5,FALSE)</f>
        <v>7141 EA</v>
      </c>
      <c r="E133" s="241" t="str">
        <f>VLOOKUP(Ruimtestaat[[#This Row],[Code]],Locaties[#All],6,FALSE)</f>
        <v>Groenlo</v>
      </c>
      <c r="F133" s="195" t="s">
        <v>774</v>
      </c>
      <c r="G133" s="195">
        <v>1</v>
      </c>
      <c r="H133" s="195" t="s">
        <v>478</v>
      </c>
      <c r="I133" s="242" t="s">
        <v>765</v>
      </c>
      <c r="J133" s="195">
        <v>11</v>
      </c>
      <c r="K133" s="260" t="str">
        <f>VLOOKUP(Ruimtestaat[[#This Row],[Ruimte code]],Ruimtegroepen[#All],2,FALSE)</f>
        <v>Praktijklokaal</v>
      </c>
      <c r="L133" s="211" t="s">
        <v>110</v>
      </c>
      <c r="M133" s="195" t="s">
        <v>133</v>
      </c>
      <c r="N133" s="197">
        <v>67.650000000000006</v>
      </c>
      <c r="O133" s="209"/>
      <c r="P133" s="241" t="str">
        <f>VLOOKUP(Ruimtestaat[[#This Row],[Ruimte code]],Ruimtegroepen[#All],4,FALSE)</f>
        <v>L  (Lesruimte)</v>
      </c>
      <c r="Q133" s="210"/>
      <c r="R133" s="211">
        <v>40</v>
      </c>
      <c r="S133" s="211" t="s">
        <v>2</v>
      </c>
      <c r="T133" s="211">
        <f>IF(R133&gt;0,IF(RIGHT(Ruimtestaat[[#This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133" s="211">
        <f>IF(T133&gt;0,VLOOKUP($J133,Ruimtegroepen[],3,FALSE)*VLOOKUP($L133,Vloersoorten[],3,FALSE)*VLOOKUP($S133,Frequenties[],3,FALSE)*VLOOKUP($A133,Locaties[],3,FALSE),0)</f>
        <v>100</v>
      </c>
      <c r="V133" s="211">
        <f>Ruimtestaat[[#This Row],[Uitvoeringen werkdagen]]*Ruimtestaat[[#This Row],[Oppervlak (netto)]]</f>
        <v>13530.000000000002</v>
      </c>
      <c r="W133" s="257">
        <f>IF(U133&gt;0,Ruimtestaat[[#This Row],[Prest. (m2 /jaar) werkdagen]]/Ruimtestaat[[#This Row],[Norm (m2/uur) werkdagen]],0)</f>
        <v>135.30000000000001</v>
      </c>
      <c r="X133" s="258">
        <f>Ruimtestaat[[#This Row],[uren / jaar werkdagen]]*Tariefsopbouw!$D$38</f>
        <v>3382.5000000000005</v>
      </c>
      <c r="Y133" s="33"/>
      <c r="Z133" s="33">
        <f>IF(Ruimtestaat[[#This Row],[Frequentie weekend]]&gt;0,VALUE(LEFT(Y133,1))*R133,0)</f>
        <v>0</v>
      </c>
      <c r="AA133" s="33">
        <f>IF($Z133&gt;0,VLOOKUP($J133,Ruimtegroepen[],3,FALSE)*VLOOKUP($L133,Vloersoorten[],3,FALSE)*VLOOKUP($Y133,Frequenties[],3,FALSE)*VLOOKUP(#REF!,Locaties[],3,FALSE),0)</f>
        <v>0</v>
      </c>
      <c r="AB133" s="33"/>
      <c r="AC133" s="33"/>
      <c r="AD133" s="33">
        <f>Ruimtestaat[[#This Row],[uren / jaar weekend]]*Tariefsopbouw!$D$40</f>
        <v>0</v>
      </c>
      <c r="AE133" s="88">
        <f>Ruimtestaat[[#This Row],[Prest. (m2 /jaar) weekend]]+Ruimtestaat[[#This Row],[Prest. (m2 /jaar) werkdagen]]</f>
        <v>13530.000000000002</v>
      </c>
      <c r="AF133" s="88">
        <f>Ruimtestaat[[#This Row],[uren / jaar weekend]]+Ruimtestaat[[#This Row],[uren / jaar werkdagen]]</f>
        <v>135.30000000000001</v>
      </c>
      <c r="AG133" s="89">
        <f>Ruimtestaat[[#This Row],[kosten / jaar weekend]]+Ruimtestaat[[#This Row],[kosten / jaar werkdagen]]</f>
        <v>3382.5000000000005</v>
      </c>
      <c r="HL133" s="87"/>
    </row>
    <row r="134" spans="1:220" ht="15" customHeight="1">
      <c r="A134" s="129">
        <v>1</v>
      </c>
      <c r="B134" s="21" t="str">
        <f>VLOOKUP(Ruimtestaat[[#This Row],[Code]],Locaties[#All],2,FALSE)</f>
        <v>Groenlo</v>
      </c>
      <c r="C134" s="21" t="str">
        <f>VLOOKUP(Ruimtestaat[[#This Row],[Code]],Locaties[#All],4,FALSE)</f>
        <v>Deken Hooijmanssingel 1</v>
      </c>
      <c r="D134" s="241" t="str">
        <f>VLOOKUP(Ruimtestaat[[#This Row],[Code]],Locaties[#All],5,FALSE)</f>
        <v>7141 EA</v>
      </c>
      <c r="E134" s="241" t="str">
        <f>VLOOKUP(Ruimtestaat[[#This Row],[Code]],Locaties[#All],6,FALSE)</f>
        <v>Groenlo</v>
      </c>
      <c r="F134" s="195" t="s">
        <v>774</v>
      </c>
      <c r="G134" s="195">
        <v>1</v>
      </c>
      <c r="H134" s="195" t="s">
        <v>479</v>
      </c>
      <c r="I134" s="242" t="s">
        <v>765</v>
      </c>
      <c r="J134" s="195">
        <v>11</v>
      </c>
      <c r="K134" s="260" t="str">
        <f>VLOOKUP(Ruimtestaat[[#This Row],[Ruimte code]],Ruimtegroepen[#All],2,FALSE)</f>
        <v>Praktijklokaal</v>
      </c>
      <c r="L134" s="211" t="s">
        <v>110</v>
      </c>
      <c r="M134" s="195" t="s">
        <v>133</v>
      </c>
      <c r="N134" s="197">
        <v>40.47</v>
      </c>
      <c r="O134" s="209"/>
      <c r="P134" s="241" t="str">
        <f>VLOOKUP(Ruimtestaat[[#This Row],[Ruimte code]],Ruimtegroepen[#All],4,FALSE)</f>
        <v>L  (Lesruimte)</v>
      </c>
      <c r="Q134" s="210"/>
      <c r="R134" s="211">
        <v>40</v>
      </c>
      <c r="S134" s="211" t="s">
        <v>18</v>
      </c>
      <c r="T134" s="211">
        <f>IF(R134&gt;0,IF(RIGHT(Ruimtestaat[[#This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U134" s="211">
        <f>IF(T134&gt;0,VLOOKUP($J134,Ruimtegroepen[],3,FALSE)*VLOOKUP($L134,Vloersoorten[],3,FALSE)*VLOOKUP($S134,Frequenties[],3,FALSE)*VLOOKUP($A134,Locaties[],3,FALSE),0)</f>
        <v>100</v>
      </c>
      <c r="V134" s="211">
        <f>Ruimtestaat[[#This Row],[Uitvoeringen werkdagen]]*Ruimtestaat[[#This Row],[Oppervlak (netto)]]</f>
        <v>4856.3999999999996</v>
      </c>
      <c r="W134" s="257">
        <f>IF(U134&gt;0,Ruimtestaat[[#This Row],[Prest. (m2 /jaar) werkdagen]]/Ruimtestaat[[#This Row],[Norm (m2/uur) werkdagen]],0)</f>
        <v>48.563999999999993</v>
      </c>
      <c r="X134" s="258">
        <f>Ruimtestaat[[#This Row],[uren / jaar werkdagen]]*Tariefsopbouw!$D$38</f>
        <v>1214.0999999999999</v>
      </c>
      <c r="Y134" s="33"/>
      <c r="Z134" s="33">
        <f>IF(Ruimtestaat[[#This Row],[Frequentie weekend]]&gt;0,VALUE(LEFT(Y134,1))*R134,0)</f>
        <v>0</v>
      </c>
      <c r="AA134" s="33">
        <f>IF($Z134&gt;0,VLOOKUP($J134,Ruimtegroepen[],3,FALSE)*VLOOKUP($L134,Vloersoorten[],3,FALSE)*VLOOKUP($Y134,Frequenties[],3,FALSE)*VLOOKUP(#REF!,Locaties[],3,FALSE),0)</f>
        <v>0</v>
      </c>
      <c r="AB134" s="33"/>
      <c r="AC134" s="33"/>
      <c r="AD134" s="33">
        <f>Ruimtestaat[[#This Row],[uren / jaar weekend]]*Tariefsopbouw!$D$40</f>
        <v>0</v>
      </c>
      <c r="AE134" s="88">
        <f>Ruimtestaat[[#This Row],[Prest. (m2 /jaar) weekend]]+Ruimtestaat[[#This Row],[Prest. (m2 /jaar) werkdagen]]</f>
        <v>4856.3999999999996</v>
      </c>
      <c r="AF134" s="88">
        <f>Ruimtestaat[[#This Row],[uren / jaar weekend]]+Ruimtestaat[[#This Row],[uren / jaar werkdagen]]</f>
        <v>48.563999999999993</v>
      </c>
      <c r="AG134" s="89">
        <f>Ruimtestaat[[#This Row],[kosten / jaar weekend]]+Ruimtestaat[[#This Row],[kosten / jaar werkdagen]]</f>
        <v>1214.0999999999999</v>
      </c>
      <c r="HL134" s="87"/>
    </row>
    <row r="135" spans="1:220" ht="15" customHeight="1">
      <c r="A135" s="129">
        <v>1</v>
      </c>
      <c r="B135" s="21" t="str">
        <f>VLOOKUP(Ruimtestaat[[#This Row],[Code]],Locaties[#All],2,FALSE)</f>
        <v>Groenlo</v>
      </c>
      <c r="C135" s="21" t="str">
        <f>VLOOKUP(Ruimtestaat[[#This Row],[Code]],Locaties[#All],4,FALSE)</f>
        <v>Deken Hooijmanssingel 1</v>
      </c>
      <c r="D135" s="241" t="str">
        <f>VLOOKUP(Ruimtestaat[[#This Row],[Code]],Locaties[#All],5,FALSE)</f>
        <v>7141 EA</v>
      </c>
      <c r="E135" s="241" t="str">
        <f>VLOOKUP(Ruimtestaat[[#This Row],[Code]],Locaties[#All],6,FALSE)</f>
        <v>Groenlo</v>
      </c>
      <c r="F135" s="195" t="s">
        <v>774</v>
      </c>
      <c r="G135" s="195">
        <v>1</v>
      </c>
      <c r="H135" s="195" t="s">
        <v>480</v>
      </c>
      <c r="I135" s="242" t="s">
        <v>824</v>
      </c>
      <c r="J135" s="195">
        <v>1</v>
      </c>
      <c r="K135" s="260" t="str">
        <f>VLOOKUP(Ruimtestaat[[#This Row],[Ruimte code]],Ruimtegroepen[#All],2,FALSE)</f>
        <v>Magazijnen/bergingen</v>
      </c>
      <c r="L135" s="211" t="s">
        <v>110</v>
      </c>
      <c r="M135" s="195" t="s">
        <v>133</v>
      </c>
      <c r="N135" s="197">
        <v>17.670000000000002</v>
      </c>
      <c r="O135" s="209"/>
      <c r="P135" s="241" t="str">
        <f>VLOOKUP(Ruimtestaat[[#This Row],[Ruimte code]],Ruimtegroepen[#All],4,FALSE)</f>
        <v>V  (Verkeersruimte)</v>
      </c>
      <c r="Q135" s="210"/>
      <c r="R135" s="211">
        <v>40</v>
      </c>
      <c r="S135" s="211" t="s">
        <v>16</v>
      </c>
      <c r="T135" s="211">
        <f>IF(R135&gt;0,IF(RIGHT(Ruimtestaat[[#This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U135" s="211">
        <f>IF(T135&gt;0,VLOOKUP($J135,Ruimtegroepen[],3,FALSE)*VLOOKUP($L135,Vloersoorten[],3,FALSE)*VLOOKUP($S135,Frequenties[],3,FALSE)*VLOOKUP($A135,Locaties[],3,FALSE),0)</f>
        <v>100</v>
      </c>
      <c r="V135" s="211">
        <f>Ruimtestaat[[#This Row],[Uitvoeringen werkdagen]]*Ruimtestaat[[#This Row],[Oppervlak (netto)]]</f>
        <v>212.04000000000002</v>
      </c>
      <c r="W135" s="257">
        <f>IF(U135&gt;0,Ruimtestaat[[#This Row],[Prest. (m2 /jaar) werkdagen]]/Ruimtestaat[[#This Row],[Norm (m2/uur) werkdagen]],0)</f>
        <v>2.1204000000000001</v>
      </c>
      <c r="X135" s="258">
        <f>Ruimtestaat[[#This Row],[uren / jaar werkdagen]]*Tariefsopbouw!$D$38</f>
        <v>53.010000000000005</v>
      </c>
      <c r="Y135" s="33"/>
      <c r="Z135" s="33">
        <f>IF(Ruimtestaat[[#This Row],[Frequentie weekend]]&gt;0,VALUE(LEFT(Y135,1))*R135,0)</f>
        <v>0</v>
      </c>
      <c r="AA135" s="33">
        <f>IF($Z135&gt;0,VLOOKUP($J135,Ruimtegroepen[],3,FALSE)*VLOOKUP($L135,Vloersoorten[],3,FALSE)*VLOOKUP($Y135,Frequenties[],3,FALSE)*VLOOKUP(#REF!,Locaties[],3,FALSE),0)</f>
        <v>0</v>
      </c>
      <c r="AB135" s="33"/>
      <c r="AC135" s="33"/>
      <c r="AD135" s="33">
        <f>Ruimtestaat[[#This Row],[uren / jaar weekend]]*Tariefsopbouw!$D$40</f>
        <v>0</v>
      </c>
      <c r="AE135" s="88">
        <f>Ruimtestaat[[#This Row],[Prest. (m2 /jaar) weekend]]+Ruimtestaat[[#This Row],[Prest. (m2 /jaar) werkdagen]]</f>
        <v>212.04000000000002</v>
      </c>
      <c r="AF135" s="88">
        <f>Ruimtestaat[[#This Row],[uren / jaar weekend]]+Ruimtestaat[[#This Row],[uren / jaar werkdagen]]</f>
        <v>2.1204000000000001</v>
      </c>
      <c r="AG135" s="89">
        <f>Ruimtestaat[[#This Row],[kosten / jaar weekend]]+Ruimtestaat[[#This Row],[kosten / jaar werkdagen]]</f>
        <v>53.010000000000005</v>
      </c>
      <c r="HL135" s="87"/>
    </row>
    <row r="136" spans="1:220" ht="15" customHeight="1">
      <c r="A136" s="129">
        <v>1</v>
      </c>
      <c r="B136" s="21" t="str">
        <f>VLOOKUP(Ruimtestaat[[#This Row],[Code]],Locaties[#All],2,FALSE)</f>
        <v>Groenlo</v>
      </c>
      <c r="C136" s="21" t="str">
        <f>VLOOKUP(Ruimtestaat[[#This Row],[Code]],Locaties[#All],4,FALSE)</f>
        <v>Deken Hooijmanssingel 1</v>
      </c>
      <c r="D136" s="241" t="str">
        <f>VLOOKUP(Ruimtestaat[[#This Row],[Code]],Locaties[#All],5,FALSE)</f>
        <v>7141 EA</v>
      </c>
      <c r="E136" s="241" t="str">
        <f>VLOOKUP(Ruimtestaat[[#This Row],[Code]],Locaties[#All],6,FALSE)</f>
        <v>Groenlo</v>
      </c>
      <c r="F136" s="195" t="s">
        <v>774</v>
      </c>
      <c r="G136" s="195">
        <v>1</v>
      </c>
      <c r="H136" s="195" t="s">
        <v>481</v>
      </c>
      <c r="I136" s="242" t="s">
        <v>382</v>
      </c>
      <c r="J136" s="195">
        <v>6</v>
      </c>
      <c r="K136" s="260" t="str">
        <f>VLOOKUP(Ruimtestaat[[#This Row],[Ruimte code]],Ruimtegroepen[#All],2,FALSE)</f>
        <v>Gangen/hallen</v>
      </c>
      <c r="L136" s="211" t="s">
        <v>110</v>
      </c>
      <c r="M136" s="195" t="s">
        <v>133</v>
      </c>
      <c r="N136" s="197">
        <v>110.44</v>
      </c>
      <c r="O136" s="209"/>
      <c r="P136" s="241" t="str">
        <f>VLOOKUP(Ruimtestaat[[#This Row],[Ruimte code]],Ruimtegroepen[#All],4,FALSE)</f>
        <v>V  (Verkeersruimte)</v>
      </c>
      <c r="Q136" s="210"/>
      <c r="R136" s="211">
        <v>40</v>
      </c>
      <c r="S136" s="211" t="s">
        <v>2</v>
      </c>
      <c r="T136" s="211">
        <f>IF(R136&gt;0,IF(RIGHT(Ruimtestaat[[#This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136" s="211">
        <f>IF(T136&gt;0,VLOOKUP($J136,Ruimtegroepen[],3,FALSE)*VLOOKUP($L136,Vloersoorten[],3,FALSE)*VLOOKUP($S136,Frequenties[],3,FALSE)*VLOOKUP($A136,Locaties[],3,FALSE),0)</f>
        <v>100</v>
      </c>
      <c r="V136" s="211">
        <f>Ruimtestaat[[#This Row],[Uitvoeringen werkdagen]]*Ruimtestaat[[#This Row],[Oppervlak (netto)]]</f>
        <v>22088</v>
      </c>
      <c r="W136" s="257">
        <f>IF(U136&gt;0,Ruimtestaat[[#This Row],[Prest. (m2 /jaar) werkdagen]]/Ruimtestaat[[#This Row],[Norm (m2/uur) werkdagen]],0)</f>
        <v>220.88</v>
      </c>
      <c r="X136" s="258">
        <f>Ruimtestaat[[#This Row],[uren / jaar werkdagen]]*Tariefsopbouw!$D$38</f>
        <v>5522</v>
      </c>
      <c r="Y136" s="33"/>
      <c r="Z136" s="33">
        <f>IF(Ruimtestaat[[#This Row],[Frequentie weekend]]&gt;0,VALUE(LEFT(Y136,1))*R136,0)</f>
        <v>0</v>
      </c>
      <c r="AA136" s="33">
        <f>IF($Z136&gt;0,VLOOKUP($J136,Ruimtegroepen[],3,FALSE)*VLOOKUP($L136,Vloersoorten[],3,FALSE)*VLOOKUP($Y136,Frequenties[],3,FALSE)*VLOOKUP(#REF!,Locaties[],3,FALSE),0)</f>
        <v>0</v>
      </c>
      <c r="AB136" s="33"/>
      <c r="AC136" s="33"/>
      <c r="AD136" s="33">
        <f>Ruimtestaat[[#This Row],[uren / jaar weekend]]*Tariefsopbouw!$D$40</f>
        <v>0</v>
      </c>
      <c r="AE136" s="88">
        <f>Ruimtestaat[[#This Row],[Prest. (m2 /jaar) weekend]]+Ruimtestaat[[#This Row],[Prest. (m2 /jaar) werkdagen]]</f>
        <v>22088</v>
      </c>
      <c r="AF136" s="88">
        <f>Ruimtestaat[[#This Row],[uren / jaar weekend]]+Ruimtestaat[[#This Row],[uren / jaar werkdagen]]</f>
        <v>220.88</v>
      </c>
      <c r="AG136" s="89">
        <f>Ruimtestaat[[#This Row],[kosten / jaar weekend]]+Ruimtestaat[[#This Row],[kosten / jaar werkdagen]]</f>
        <v>5522</v>
      </c>
      <c r="HL136" s="87"/>
    </row>
    <row r="137" spans="1:220" ht="15" customHeight="1">
      <c r="A137" s="129">
        <v>1</v>
      </c>
      <c r="B137" s="21" t="str">
        <f>VLOOKUP(Ruimtestaat[[#This Row],[Code]],Locaties[#All],2,FALSE)</f>
        <v>Groenlo</v>
      </c>
      <c r="C137" s="21" t="str">
        <f>VLOOKUP(Ruimtestaat[[#This Row],[Code]],Locaties[#All],4,FALSE)</f>
        <v>Deken Hooijmanssingel 1</v>
      </c>
      <c r="D137" s="241" t="str">
        <f>VLOOKUP(Ruimtestaat[[#This Row],[Code]],Locaties[#All],5,FALSE)</f>
        <v>7141 EA</v>
      </c>
      <c r="E137" s="241" t="str">
        <f>VLOOKUP(Ruimtestaat[[#This Row],[Code]],Locaties[#All],6,FALSE)</f>
        <v>Groenlo</v>
      </c>
      <c r="F137" s="195" t="s">
        <v>774</v>
      </c>
      <c r="G137" s="195">
        <v>1</v>
      </c>
      <c r="H137" s="195" t="s">
        <v>482</v>
      </c>
      <c r="I137" s="242" t="s">
        <v>445</v>
      </c>
      <c r="J137" s="195">
        <v>6</v>
      </c>
      <c r="K137" s="260" t="str">
        <f>VLOOKUP(Ruimtestaat[[#This Row],[Ruimte code]],Ruimtegroepen[#All],2,FALSE)</f>
        <v>Gangen/hallen</v>
      </c>
      <c r="L137" s="211" t="s">
        <v>110</v>
      </c>
      <c r="M137" s="195" t="s">
        <v>133</v>
      </c>
      <c r="N137" s="197">
        <v>83.76</v>
      </c>
      <c r="O137" s="209"/>
      <c r="P137" s="241" t="str">
        <f>VLOOKUP(Ruimtestaat[[#This Row],[Ruimte code]],Ruimtegroepen[#All],4,FALSE)</f>
        <v>V  (Verkeersruimte)</v>
      </c>
      <c r="Q137" s="210"/>
      <c r="R137" s="211">
        <v>40</v>
      </c>
      <c r="S137" s="211" t="s">
        <v>2</v>
      </c>
      <c r="T137" s="211">
        <f>IF(R137&gt;0,IF(RIGHT(Ruimtestaat[[#This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137" s="211">
        <f>IF(T137&gt;0,VLOOKUP($J137,Ruimtegroepen[],3,FALSE)*VLOOKUP($L137,Vloersoorten[],3,FALSE)*VLOOKUP($S137,Frequenties[],3,FALSE)*VLOOKUP($A137,Locaties[],3,FALSE),0)</f>
        <v>100</v>
      </c>
      <c r="V137" s="211">
        <f>Ruimtestaat[[#This Row],[Uitvoeringen werkdagen]]*Ruimtestaat[[#This Row],[Oppervlak (netto)]]</f>
        <v>16752</v>
      </c>
      <c r="W137" s="257">
        <f>IF(U137&gt;0,Ruimtestaat[[#This Row],[Prest. (m2 /jaar) werkdagen]]/Ruimtestaat[[#This Row],[Norm (m2/uur) werkdagen]],0)</f>
        <v>167.52</v>
      </c>
      <c r="X137" s="258">
        <f>Ruimtestaat[[#This Row],[uren / jaar werkdagen]]*Tariefsopbouw!$D$38</f>
        <v>4188</v>
      </c>
      <c r="Y137" s="33"/>
      <c r="Z137" s="33">
        <f>IF(Ruimtestaat[[#This Row],[Frequentie weekend]]&gt;0,VALUE(LEFT(Y137,1))*R137,0)</f>
        <v>0</v>
      </c>
      <c r="AA137" s="33">
        <f>IF($Z137&gt;0,VLOOKUP($J137,Ruimtegroepen[],3,FALSE)*VLOOKUP($L137,Vloersoorten[],3,FALSE)*VLOOKUP($Y137,Frequenties[],3,FALSE)*VLOOKUP(#REF!,Locaties[],3,FALSE),0)</f>
        <v>0</v>
      </c>
      <c r="AB137" s="33"/>
      <c r="AC137" s="33"/>
      <c r="AD137" s="33">
        <f>Ruimtestaat[[#This Row],[uren / jaar weekend]]*Tariefsopbouw!$D$40</f>
        <v>0</v>
      </c>
      <c r="AE137" s="88">
        <f>Ruimtestaat[[#This Row],[Prest. (m2 /jaar) weekend]]+Ruimtestaat[[#This Row],[Prest. (m2 /jaar) werkdagen]]</f>
        <v>16752</v>
      </c>
      <c r="AF137" s="88">
        <f>Ruimtestaat[[#This Row],[uren / jaar weekend]]+Ruimtestaat[[#This Row],[uren / jaar werkdagen]]</f>
        <v>167.52</v>
      </c>
      <c r="AG137" s="89">
        <f>Ruimtestaat[[#This Row],[kosten / jaar weekend]]+Ruimtestaat[[#This Row],[kosten / jaar werkdagen]]</f>
        <v>4188</v>
      </c>
      <c r="HL137" s="87"/>
    </row>
    <row r="138" spans="1:220" ht="15" customHeight="1">
      <c r="A138" s="129">
        <v>1</v>
      </c>
      <c r="B138" s="21" t="str">
        <f>VLOOKUP(Ruimtestaat[[#This Row],[Code]],Locaties[#All],2,FALSE)</f>
        <v>Groenlo</v>
      </c>
      <c r="C138" s="21" t="str">
        <f>VLOOKUP(Ruimtestaat[[#This Row],[Code]],Locaties[#All],4,FALSE)</f>
        <v>Deken Hooijmanssingel 1</v>
      </c>
      <c r="D138" s="241" t="str">
        <f>VLOOKUP(Ruimtestaat[[#This Row],[Code]],Locaties[#All],5,FALSE)</f>
        <v>7141 EA</v>
      </c>
      <c r="E138" s="241" t="str">
        <f>VLOOKUP(Ruimtestaat[[#This Row],[Code]],Locaties[#All],6,FALSE)</f>
        <v>Groenlo</v>
      </c>
      <c r="F138" s="195" t="s">
        <v>774</v>
      </c>
      <c r="G138" s="195">
        <v>1</v>
      </c>
      <c r="H138" s="195" t="s">
        <v>483</v>
      </c>
      <c r="I138" s="242" t="s">
        <v>765</v>
      </c>
      <c r="J138" s="195">
        <v>11</v>
      </c>
      <c r="K138" s="260" t="str">
        <f>VLOOKUP(Ruimtestaat[[#This Row],[Ruimte code]],Ruimtegroepen[#All],2,FALSE)</f>
        <v>Praktijklokaal</v>
      </c>
      <c r="L138" s="211" t="s">
        <v>110</v>
      </c>
      <c r="M138" s="195" t="s">
        <v>133</v>
      </c>
      <c r="N138" s="197">
        <v>201.56</v>
      </c>
      <c r="O138" s="209"/>
      <c r="P138" s="241" t="str">
        <f>VLOOKUP(Ruimtestaat[[#This Row],[Ruimte code]],Ruimtegroepen[#All],4,FALSE)</f>
        <v>L  (Lesruimte)</v>
      </c>
      <c r="Q138" s="210"/>
      <c r="R138" s="211">
        <v>40</v>
      </c>
      <c r="S138" s="211" t="s">
        <v>2</v>
      </c>
      <c r="T138" s="211">
        <f>IF(R138&gt;0,IF(RIGHT(Ruimtestaat[[#This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138" s="211">
        <f>IF(T138&gt;0,VLOOKUP($J138,Ruimtegroepen[],3,FALSE)*VLOOKUP($L138,Vloersoorten[],3,FALSE)*VLOOKUP($S138,Frequenties[],3,FALSE)*VLOOKUP($A138,Locaties[],3,FALSE),0)</f>
        <v>100</v>
      </c>
      <c r="V138" s="211">
        <f>Ruimtestaat[[#This Row],[Uitvoeringen werkdagen]]*Ruimtestaat[[#This Row],[Oppervlak (netto)]]</f>
        <v>40312</v>
      </c>
      <c r="W138" s="257">
        <f>IF(U138&gt;0,Ruimtestaat[[#This Row],[Prest. (m2 /jaar) werkdagen]]/Ruimtestaat[[#This Row],[Norm (m2/uur) werkdagen]],0)</f>
        <v>403.12</v>
      </c>
      <c r="X138" s="258">
        <f>Ruimtestaat[[#This Row],[uren / jaar werkdagen]]*Tariefsopbouw!$D$38</f>
        <v>10078</v>
      </c>
      <c r="Y138" s="33"/>
      <c r="Z138" s="33">
        <f>IF(Ruimtestaat[[#This Row],[Frequentie weekend]]&gt;0,VALUE(LEFT(Y138,1))*R138,0)</f>
        <v>0</v>
      </c>
      <c r="AA138" s="33">
        <f>IF($Z138&gt;0,VLOOKUP($J138,Ruimtegroepen[],3,FALSE)*VLOOKUP($L138,Vloersoorten[],3,FALSE)*VLOOKUP($Y138,Frequenties[],3,FALSE)*VLOOKUP(#REF!,Locaties[],3,FALSE),0)</f>
        <v>0</v>
      </c>
      <c r="AB138" s="33"/>
      <c r="AC138" s="33"/>
      <c r="AD138" s="33">
        <f>Ruimtestaat[[#This Row],[uren / jaar weekend]]*Tariefsopbouw!$D$40</f>
        <v>0</v>
      </c>
      <c r="AE138" s="88">
        <f>Ruimtestaat[[#This Row],[Prest. (m2 /jaar) weekend]]+Ruimtestaat[[#This Row],[Prest. (m2 /jaar) werkdagen]]</f>
        <v>40312</v>
      </c>
      <c r="AF138" s="88">
        <f>Ruimtestaat[[#This Row],[uren / jaar weekend]]+Ruimtestaat[[#This Row],[uren / jaar werkdagen]]</f>
        <v>403.12</v>
      </c>
      <c r="AG138" s="89">
        <f>Ruimtestaat[[#This Row],[kosten / jaar weekend]]+Ruimtestaat[[#This Row],[kosten / jaar werkdagen]]</f>
        <v>10078</v>
      </c>
      <c r="HL138" s="87"/>
    </row>
    <row r="139" spans="1:220" ht="15" customHeight="1">
      <c r="A139" s="129">
        <v>1</v>
      </c>
      <c r="B139" s="21" t="str">
        <f>VLOOKUP(Ruimtestaat[[#This Row],[Code]],Locaties[#All],2,FALSE)</f>
        <v>Groenlo</v>
      </c>
      <c r="C139" s="21" t="str">
        <f>VLOOKUP(Ruimtestaat[[#This Row],[Code]],Locaties[#All],4,FALSE)</f>
        <v>Deken Hooijmanssingel 1</v>
      </c>
      <c r="D139" s="241" t="str">
        <f>VLOOKUP(Ruimtestaat[[#This Row],[Code]],Locaties[#All],5,FALSE)</f>
        <v>7141 EA</v>
      </c>
      <c r="E139" s="241" t="str">
        <f>VLOOKUP(Ruimtestaat[[#This Row],[Code]],Locaties[#All],6,FALSE)</f>
        <v>Groenlo</v>
      </c>
      <c r="F139" s="195" t="s">
        <v>774</v>
      </c>
      <c r="G139" s="195">
        <v>1</v>
      </c>
      <c r="H139" s="195" t="s">
        <v>484</v>
      </c>
      <c r="I139" s="242" t="s">
        <v>382</v>
      </c>
      <c r="J139" s="195">
        <v>6</v>
      </c>
      <c r="K139" s="260" t="str">
        <f>VLOOKUP(Ruimtestaat[[#This Row],[Ruimte code]],Ruimtegroepen[#All],2,FALSE)</f>
        <v>Gangen/hallen</v>
      </c>
      <c r="L139" s="211" t="s">
        <v>110</v>
      </c>
      <c r="M139" s="195" t="s">
        <v>133</v>
      </c>
      <c r="N139" s="197">
        <v>5.0199999999999996</v>
      </c>
      <c r="O139" s="209"/>
      <c r="P139" s="241" t="str">
        <f>VLOOKUP(Ruimtestaat[[#This Row],[Ruimte code]],Ruimtegroepen[#All],4,FALSE)</f>
        <v>V  (Verkeersruimte)</v>
      </c>
      <c r="Q139" s="210"/>
      <c r="R139" s="211">
        <v>40</v>
      </c>
      <c r="S139" s="211" t="s">
        <v>2</v>
      </c>
      <c r="T139" s="211">
        <f>IF(R139&gt;0,IF(RIGHT(Ruimtestaat[[#This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139" s="211">
        <f>IF(T139&gt;0,VLOOKUP($J139,Ruimtegroepen[],3,FALSE)*VLOOKUP($L139,Vloersoorten[],3,FALSE)*VLOOKUP($S139,Frequenties[],3,FALSE)*VLOOKUP($A139,Locaties[],3,FALSE),0)</f>
        <v>100</v>
      </c>
      <c r="V139" s="211">
        <f>Ruimtestaat[[#This Row],[Uitvoeringen werkdagen]]*Ruimtestaat[[#This Row],[Oppervlak (netto)]]</f>
        <v>1003.9999999999999</v>
      </c>
      <c r="W139" s="257">
        <f>IF(U139&gt;0,Ruimtestaat[[#This Row],[Prest. (m2 /jaar) werkdagen]]/Ruimtestaat[[#This Row],[Norm (m2/uur) werkdagen]],0)</f>
        <v>10.039999999999999</v>
      </c>
      <c r="X139" s="258">
        <f>Ruimtestaat[[#This Row],[uren / jaar werkdagen]]*Tariefsopbouw!$D$38</f>
        <v>250.99999999999997</v>
      </c>
      <c r="Y139" s="33"/>
      <c r="Z139" s="33">
        <f>IF(Ruimtestaat[[#This Row],[Frequentie weekend]]&gt;0,VALUE(LEFT(Y139,1))*R139,0)</f>
        <v>0</v>
      </c>
      <c r="AA139" s="33">
        <f>IF($Z139&gt;0,VLOOKUP($J139,Ruimtegroepen[],3,FALSE)*VLOOKUP($L139,Vloersoorten[],3,FALSE)*VLOOKUP($Y139,Frequenties[],3,FALSE)*VLOOKUP(#REF!,Locaties[],3,FALSE),0)</f>
        <v>0</v>
      </c>
      <c r="AB139" s="33"/>
      <c r="AC139" s="33"/>
      <c r="AD139" s="33">
        <f>Ruimtestaat[[#This Row],[uren / jaar weekend]]*Tariefsopbouw!$D$40</f>
        <v>0</v>
      </c>
      <c r="AE139" s="88">
        <f>Ruimtestaat[[#This Row],[Prest. (m2 /jaar) weekend]]+Ruimtestaat[[#This Row],[Prest. (m2 /jaar) werkdagen]]</f>
        <v>1003.9999999999999</v>
      </c>
      <c r="AF139" s="88">
        <f>Ruimtestaat[[#This Row],[uren / jaar weekend]]+Ruimtestaat[[#This Row],[uren / jaar werkdagen]]</f>
        <v>10.039999999999999</v>
      </c>
      <c r="AG139" s="89">
        <f>Ruimtestaat[[#This Row],[kosten / jaar weekend]]+Ruimtestaat[[#This Row],[kosten / jaar werkdagen]]</f>
        <v>250.99999999999997</v>
      </c>
      <c r="HL139" s="87"/>
    </row>
    <row r="140" spans="1:220" ht="15" customHeight="1">
      <c r="A140" s="129">
        <v>1</v>
      </c>
      <c r="B140" s="21" t="str">
        <f>VLOOKUP(Ruimtestaat[[#This Row],[Code]],Locaties[#All],2,FALSE)</f>
        <v>Groenlo</v>
      </c>
      <c r="C140" s="21" t="str">
        <f>VLOOKUP(Ruimtestaat[[#This Row],[Code]],Locaties[#All],4,FALSE)</f>
        <v>Deken Hooijmanssingel 1</v>
      </c>
      <c r="D140" s="241" t="str">
        <f>VLOOKUP(Ruimtestaat[[#This Row],[Code]],Locaties[#All],5,FALSE)</f>
        <v>7141 EA</v>
      </c>
      <c r="E140" s="241" t="str">
        <f>VLOOKUP(Ruimtestaat[[#This Row],[Code]],Locaties[#All],6,FALSE)</f>
        <v>Groenlo</v>
      </c>
      <c r="F140" s="195" t="s">
        <v>774</v>
      </c>
      <c r="G140" s="195">
        <v>1</v>
      </c>
      <c r="H140" s="195" t="s">
        <v>485</v>
      </c>
      <c r="I140" s="242" t="s">
        <v>441</v>
      </c>
      <c r="J140" s="195">
        <v>1</v>
      </c>
      <c r="K140" s="260" t="str">
        <f>VLOOKUP(Ruimtestaat[[#This Row],[Ruimte code]],Ruimtegroepen[#All],2,FALSE)</f>
        <v>Magazijnen/bergingen</v>
      </c>
      <c r="L140" s="211" t="s">
        <v>110</v>
      </c>
      <c r="M140" s="195" t="s">
        <v>133</v>
      </c>
      <c r="N140" s="197">
        <v>9.35</v>
      </c>
      <c r="O140" s="209"/>
      <c r="P140" s="241" t="str">
        <f>VLOOKUP(Ruimtestaat[[#This Row],[Ruimte code]],Ruimtegroepen[#All],4,FALSE)</f>
        <v>V  (Verkeersruimte)</v>
      </c>
      <c r="Q140" s="210"/>
      <c r="R140" s="211">
        <v>40</v>
      </c>
      <c r="S140" s="211" t="s">
        <v>16</v>
      </c>
      <c r="T140" s="211">
        <f>IF(R140&gt;0,IF(RIGHT(Ruimtestaat[[#This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U140" s="211">
        <f>IF(T140&gt;0,VLOOKUP($J140,Ruimtegroepen[],3,FALSE)*VLOOKUP($L140,Vloersoorten[],3,FALSE)*VLOOKUP($S140,Frequenties[],3,FALSE)*VLOOKUP($A140,Locaties[],3,FALSE),0)</f>
        <v>100</v>
      </c>
      <c r="V140" s="211">
        <f>Ruimtestaat[[#This Row],[Uitvoeringen werkdagen]]*Ruimtestaat[[#This Row],[Oppervlak (netto)]]</f>
        <v>112.19999999999999</v>
      </c>
      <c r="W140" s="257">
        <f>IF(U140&gt;0,Ruimtestaat[[#This Row],[Prest. (m2 /jaar) werkdagen]]/Ruimtestaat[[#This Row],[Norm (m2/uur) werkdagen]],0)</f>
        <v>1.1219999999999999</v>
      </c>
      <c r="X140" s="258">
        <f>Ruimtestaat[[#This Row],[uren / jaar werkdagen]]*Tariefsopbouw!$D$38</f>
        <v>28.049999999999997</v>
      </c>
      <c r="Y140" s="33"/>
      <c r="Z140" s="33">
        <f>IF(Ruimtestaat[[#This Row],[Frequentie weekend]]&gt;0,VALUE(LEFT(Y140,1))*R140,0)</f>
        <v>0</v>
      </c>
      <c r="AA140" s="33">
        <f>IF($Z140&gt;0,VLOOKUP($J140,Ruimtegroepen[],3,FALSE)*VLOOKUP($L140,Vloersoorten[],3,FALSE)*VLOOKUP($Y140,Frequenties[],3,FALSE)*VLOOKUP(#REF!,Locaties[],3,FALSE),0)</f>
        <v>0</v>
      </c>
      <c r="AB140" s="33"/>
      <c r="AC140" s="33"/>
      <c r="AD140" s="33">
        <f>Ruimtestaat[[#This Row],[uren / jaar weekend]]*Tariefsopbouw!$D$40</f>
        <v>0</v>
      </c>
      <c r="AE140" s="88">
        <f>Ruimtestaat[[#This Row],[Prest. (m2 /jaar) weekend]]+Ruimtestaat[[#This Row],[Prest. (m2 /jaar) werkdagen]]</f>
        <v>112.19999999999999</v>
      </c>
      <c r="AF140" s="88">
        <f>Ruimtestaat[[#This Row],[uren / jaar weekend]]+Ruimtestaat[[#This Row],[uren / jaar werkdagen]]</f>
        <v>1.1219999999999999</v>
      </c>
      <c r="AG140" s="89">
        <f>Ruimtestaat[[#This Row],[kosten / jaar weekend]]+Ruimtestaat[[#This Row],[kosten / jaar werkdagen]]</f>
        <v>28.049999999999997</v>
      </c>
      <c r="HL140" s="87"/>
    </row>
    <row r="141" spans="1:220" ht="15" customHeight="1">
      <c r="A141" s="129">
        <v>1</v>
      </c>
      <c r="B141" s="21" t="str">
        <f>VLOOKUP(Ruimtestaat[[#This Row],[Code]],Locaties[#All],2,FALSE)</f>
        <v>Groenlo</v>
      </c>
      <c r="C141" s="21" t="str">
        <f>VLOOKUP(Ruimtestaat[[#This Row],[Code]],Locaties[#All],4,FALSE)</f>
        <v>Deken Hooijmanssingel 1</v>
      </c>
      <c r="D141" s="241" t="str">
        <f>VLOOKUP(Ruimtestaat[[#This Row],[Code]],Locaties[#All],5,FALSE)</f>
        <v>7141 EA</v>
      </c>
      <c r="E141" s="241" t="str">
        <f>VLOOKUP(Ruimtestaat[[#This Row],[Code]],Locaties[#All],6,FALSE)</f>
        <v>Groenlo</v>
      </c>
      <c r="F141" s="195" t="s">
        <v>774</v>
      </c>
      <c r="G141" s="195">
        <v>1</v>
      </c>
      <c r="H141" s="195" t="s">
        <v>486</v>
      </c>
      <c r="I141" s="242" t="s">
        <v>382</v>
      </c>
      <c r="J141" s="195">
        <v>6</v>
      </c>
      <c r="K141" s="260" t="str">
        <f>VLOOKUP(Ruimtestaat[[#This Row],[Ruimte code]],Ruimtegroepen[#All],2,FALSE)</f>
        <v>Gangen/hallen</v>
      </c>
      <c r="L141" s="211" t="s">
        <v>110</v>
      </c>
      <c r="M141" s="195" t="s">
        <v>133</v>
      </c>
      <c r="N141" s="197">
        <v>46.93</v>
      </c>
      <c r="O141" s="209"/>
      <c r="P141" s="241" t="str">
        <f>VLOOKUP(Ruimtestaat[[#This Row],[Ruimte code]],Ruimtegroepen[#All],4,FALSE)</f>
        <v>V  (Verkeersruimte)</v>
      </c>
      <c r="Q141" s="210"/>
      <c r="R141" s="211">
        <v>40</v>
      </c>
      <c r="S141" s="211" t="s">
        <v>2</v>
      </c>
      <c r="T141" s="211">
        <f>IF(R141&gt;0,IF(RIGHT(Ruimtestaat[[#This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141" s="211">
        <f>IF(T141&gt;0,VLOOKUP($J141,Ruimtegroepen[],3,FALSE)*VLOOKUP($L141,Vloersoorten[],3,FALSE)*VLOOKUP($S141,Frequenties[],3,FALSE)*VLOOKUP($A141,Locaties[],3,FALSE),0)</f>
        <v>100</v>
      </c>
      <c r="V141" s="211">
        <f>Ruimtestaat[[#This Row],[Uitvoeringen werkdagen]]*Ruimtestaat[[#This Row],[Oppervlak (netto)]]</f>
        <v>9386</v>
      </c>
      <c r="W141" s="257">
        <f>IF(U141&gt;0,Ruimtestaat[[#This Row],[Prest. (m2 /jaar) werkdagen]]/Ruimtestaat[[#This Row],[Norm (m2/uur) werkdagen]],0)</f>
        <v>93.86</v>
      </c>
      <c r="X141" s="258">
        <f>Ruimtestaat[[#This Row],[uren / jaar werkdagen]]*Tariefsopbouw!$D$38</f>
        <v>2346.5</v>
      </c>
      <c r="Y141" s="33"/>
      <c r="Z141" s="33">
        <f>IF(Ruimtestaat[[#This Row],[Frequentie weekend]]&gt;0,VALUE(LEFT(Y141,1))*R141,0)</f>
        <v>0</v>
      </c>
      <c r="AA141" s="33">
        <f>IF($Z141&gt;0,VLOOKUP($J141,Ruimtegroepen[],3,FALSE)*VLOOKUP($L141,Vloersoorten[],3,FALSE)*VLOOKUP($Y141,Frequenties[],3,FALSE)*VLOOKUP(#REF!,Locaties[],3,FALSE),0)</f>
        <v>0</v>
      </c>
      <c r="AB141" s="33"/>
      <c r="AC141" s="33"/>
      <c r="AD141" s="33">
        <f>Ruimtestaat[[#This Row],[uren / jaar weekend]]*Tariefsopbouw!$D$40</f>
        <v>0</v>
      </c>
      <c r="AE141" s="88">
        <f>Ruimtestaat[[#This Row],[Prest. (m2 /jaar) weekend]]+Ruimtestaat[[#This Row],[Prest. (m2 /jaar) werkdagen]]</f>
        <v>9386</v>
      </c>
      <c r="AF141" s="88">
        <f>Ruimtestaat[[#This Row],[uren / jaar weekend]]+Ruimtestaat[[#This Row],[uren / jaar werkdagen]]</f>
        <v>93.86</v>
      </c>
      <c r="AG141" s="89">
        <f>Ruimtestaat[[#This Row],[kosten / jaar weekend]]+Ruimtestaat[[#This Row],[kosten / jaar werkdagen]]</f>
        <v>2346.5</v>
      </c>
      <c r="HL141" s="87"/>
    </row>
    <row r="142" spans="1:220" ht="15" customHeight="1">
      <c r="A142" s="129">
        <v>1</v>
      </c>
      <c r="B142" s="21" t="str">
        <f>VLOOKUP(Ruimtestaat[[#This Row],[Code]],Locaties[#All],2,FALSE)</f>
        <v>Groenlo</v>
      </c>
      <c r="C142" s="21" t="str">
        <f>VLOOKUP(Ruimtestaat[[#This Row],[Code]],Locaties[#All],4,FALSE)</f>
        <v>Deken Hooijmanssingel 1</v>
      </c>
      <c r="D142" s="241" t="str">
        <f>VLOOKUP(Ruimtestaat[[#This Row],[Code]],Locaties[#All],5,FALSE)</f>
        <v>7141 EA</v>
      </c>
      <c r="E142" s="241" t="str">
        <f>VLOOKUP(Ruimtestaat[[#This Row],[Code]],Locaties[#All],6,FALSE)</f>
        <v>Groenlo</v>
      </c>
      <c r="F142" s="195" t="s">
        <v>774</v>
      </c>
      <c r="G142" s="195">
        <v>1</v>
      </c>
      <c r="H142" s="195" t="s">
        <v>487</v>
      </c>
      <c r="I142" s="242" t="s">
        <v>765</v>
      </c>
      <c r="J142" s="195">
        <v>11</v>
      </c>
      <c r="K142" s="260" t="str">
        <f>VLOOKUP(Ruimtestaat[[#This Row],[Ruimte code]],Ruimtegroepen[#All],2,FALSE)</f>
        <v>Praktijklokaal</v>
      </c>
      <c r="L142" s="211" t="s">
        <v>109</v>
      </c>
      <c r="M142" s="195" t="s">
        <v>38</v>
      </c>
      <c r="N142" s="197">
        <v>27.3</v>
      </c>
      <c r="O142" s="209"/>
      <c r="P142" s="241" t="str">
        <f>VLOOKUP(Ruimtestaat[[#This Row],[Ruimte code]],Ruimtegroepen[#All],4,FALSE)</f>
        <v>L  (Lesruimte)</v>
      </c>
      <c r="Q142" s="210"/>
      <c r="R142" s="211">
        <v>40</v>
      </c>
      <c r="S142" s="211" t="s">
        <v>2</v>
      </c>
      <c r="T142" s="211">
        <f>IF(R142&gt;0,IF(RIGHT(Ruimtestaat[[#This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142" s="211">
        <f>IF(T142&gt;0,VLOOKUP($J142,Ruimtegroepen[],3,FALSE)*VLOOKUP($L142,Vloersoorten[],3,FALSE)*VLOOKUP($S142,Frequenties[],3,FALSE)*VLOOKUP($A142,Locaties[],3,FALSE),0)</f>
        <v>100</v>
      </c>
      <c r="V142" s="211">
        <f>Ruimtestaat[[#This Row],[Uitvoeringen werkdagen]]*Ruimtestaat[[#This Row],[Oppervlak (netto)]]</f>
        <v>5460</v>
      </c>
      <c r="W142" s="257">
        <f>IF(U142&gt;0,Ruimtestaat[[#This Row],[Prest. (m2 /jaar) werkdagen]]/Ruimtestaat[[#This Row],[Norm (m2/uur) werkdagen]],0)</f>
        <v>54.6</v>
      </c>
      <c r="X142" s="258">
        <f>Ruimtestaat[[#This Row],[uren / jaar werkdagen]]*Tariefsopbouw!$D$38</f>
        <v>1365</v>
      </c>
      <c r="Y142" s="33"/>
      <c r="Z142" s="33">
        <f>IF(Ruimtestaat[[#This Row],[Frequentie weekend]]&gt;0,VALUE(LEFT(Y142,1))*R142,0)</f>
        <v>0</v>
      </c>
      <c r="AA142" s="33">
        <f>IF($Z142&gt;0,VLOOKUP($J142,Ruimtegroepen[],3,FALSE)*VLOOKUP($L142,Vloersoorten[],3,FALSE)*VLOOKUP($Y142,Frequenties[],3,FALSE)*VLOOKUP(#REF!,Locaties[],3,FALSE),0)</f>
        <v>0</v>
      </c>
      <c r="AB142" s="33"/>
      <c r="AC142" s="33"/>
      <c r="AD142" s="33">
        <f>Ruimtestaat[[#This Row],[uren / jaar weekend]]*Tariefsopbouw!$D$40</f>
        <v>0</v>
      </c>
      <c r="AE142" s="88">
        <f>Ruimtestaat[[#This Row],[Prest. (m2 /jaar) weekend]]+Ruimtestaat[[#This Row],[Prest. (m2 /jaar) werkdagen]]</f>
        <v>5460</v>
      </c>
      <c r="AF142" s="88">
        <f>Ruimtestaat[[#This Row],[uren / jaar weekend]]+Ruimtestaat[[#This Row],[uren / jaar werkdagen]]</f>
        <v>54.6</v>
      </c>
      <c r="AG142" s="89">
        <f>Ruimtestaat[[#This Row],[kosten / jaar weekend]]+Ruimtestaat[[#This Row],[kosten / jaar werkdagen]]</f>
        <v>1365</v>
      </c>
      <c r="HL142" s="87"/>
    </row>
    <row r="143" spans="1:220" ht="15" customHeight="1">
      <c r="A143" s="129">
        <v>1</v>
      </c>
      <c r="B143" s="21" t="str">
        <f>VLOOKUP(Ruimtestaat[[#This Row],[Code]],Locaties[#All],2,FALSE)</f>
        <v>Groenlo</v>
      </c>
      <c r="C143" s="21" t="str">
        <f>VLOOKUP(Ruimtestaat[[#This Row],[Code]],Locaties[#All],4,FALSE)</f>
        <v>Deken Hooijmanssingel 1</v>
      </c>
      <c r="D143" s="241" t="str">
        <f>VLOOKUP(Ruimtestaat[[#This Row],[Code]],Locaties[#All],5,FALSE)</f>
        <v>7141 EA</v>
      </c>
      <c r="E143" s="241" t="str">
        <f>VLOOKUP(Ruimtestaat[[#This Row],[Code]],Locaties[#All],6,FALSE)</f>
        <v>Groenlo</v>
      </c>
      <c r="F143" s="195" t="s">
        <v>774</v>
      </c>
      <c r="G143" s="195">
        <v>1</v>
      </c>
      <c r="H143" s="195" t="s">
        <v>488</v>
      </c>
      <c r="I143" s="242" t="s">
        <v>22</v>
      </c>
      <c r="J143" s="195">
        <v>5</v>
      </c>
      <c r="K143" s="260" t="str">
        <f>VLOOKUP(Ruimtestaat[[#This Row],[Ruimte code]],Ruimtegroepen[#All],2,FALSE)</f>
        <v>Sanitair</v>
      </c>
      <c r="L143" s="211" t="s">
        <v>111</v>
      </c>
      <c r="M143" s="195" t="s">
        <v>777</v>
      </c>
      <c r="N143" s="197">
        <v>12.05</v>
      </c>
      <c r="O143" s="209"/>
      <c r="P143" s="241" t="str">
        <f>VLOOKUP(Ruimtestaat[[#This Row],[Ruimte code]],Ruimtegroepen[#All],4,FALSE)</f>
        <v>S  (Sanitair)</v>
      </c>
      <c r="Q143" s="210"/>
      <c r="R143" s="211">
        <v>40</v>
      </c>
      <c r="S143" s="211" t="s">
        <v>2</v>
      </c>
      <c r="T143" s="211">
        <f>IF(R143&gt;0,IF(RIGHT(Ruimtestaat[[#This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143" s="211">
        <f>IF(T143&gt;0,VLOOKUP($J143,Ruimtegroepen[],3,FALSE)*VLOOKUP($L143,Vloersoorten[],3,FALSE)*VLOOKUP($S143,Frequenties[],3,FALSE)*VLOOKUP($A143,Locaties[],3,FALSE),0)</f>
        <v>100</v>
      </c>
      <c r="V143" s="211">
        <f>Ruimtestaat[[#This Row],[Uitvoeringen werkdagen]]*Ruimtestaat[[#This Row],[Oppervlak (netto)]]</f>
        <v>2410</v>
      </c>
      <c r="W143" s="257">
        <f>IF(U143&gt;0,Ruimtestaat[[#This Row],[Prest. (m2 /jaar) werkdagen]]/Ruimtestaat[[#This Row],[Norm (m2/uur) werkdagen]],0)</f>
        <v>24.1</v>
      </c>
      <c r="X143" s="258">
        <f>Ruimtestaat[[#This Row],[uren / jaar werkdagen]]*Tariefsopbouw!$D$38</f>
        <v>602.5</v>
      </c>
      <c r="Y143" s="33"/>
      <c r="Z143" s="33">
        <f>IF(Ruimtestaat[[#This Row],[Frequentie weekend]]&gt;0,VALUE(LEFT(Y143,1))*R143,0)</f>
        <v>0</v>
      </c>
      <c r="AA143" s="33">
        <f>IF($Z143&gt;0,VLOOKUP($J143,Ruimtegroepen[],3,FALSE)*VLOOKUP($L143,Vloersoorten[],3,FALSE)*VLOOKUP($Y143,Frequenties[],3,FALSE)*VLOOKUP(#REF!,Locaties[],3,FALSE),0)</f>
        <v>0</v>
      </c>
      <c r="AB143" s="33"/>
      <c r="AC143" s="33"/>
      <c r="AD143" s="33">
        <f>Ruimtestaat[[#This Row],[uren / jaar weekend]]*Tariefsopbouw!$D$40</f>
        <v>0</v>
      </c>
      <c r="AE143" s="88">
        <f>Ruimtestaat[[#This Row],[Prest. (m2 /jaar) weekend]]+Ruimtestaat[[#This Row],[Prest. (m2 /jaar) werkdagen]]</f>
        <v>2410</v>
      </c>
      <c r="AF143" s="88">
        <f>Ruimtestaat[[#This Row],[uren / jaar weekend]]+Ruimtestaat[[#This Row],[uren / jaar werkdagen]]</f>
        <v>24.1</v>
      </c>
      <c r="AG143" s="89">
        <f>Ruimtestaat[[#This Row],[kosten / jaar weekend]]+Ruimtestaat[[#This Row],[kosten / jaar werkdagen]]</f>
        <v>602.5</v>
      </c>
      <c r="HL143" s="87"/>
    </row>
    <row r="144" spans="1:220" ht="15" customHeight="1">
      <c r="A144" s="129">
        <v>1</v>
      </c>
      <c r="B144" s="21" t="str">
        <f>VLOOKUP(Ruimtestaat[[#This Row],[Code]],Locaties[#All],2,FALSE)</f>
        <v>Groenlo</v>
      </c>
      <c r="C144" s="21" t="str">
        <f>VLOOKUP(Ruimtestaat[[#This Row],[Code]],Locaties[#All],4,FALSE)</f>
        <v>Deken Hooijmanssingel 1</v>
      </c>
      <c r="D144" s="241" t="str">
        <f>VLOOKUP(Ruimtestaat[[#This Row],[Code]],Locaties[#All],5,FALSE)</f>
        <v>7141 EA</v>
      </c>
      <c r="E144" s="241" t="str">
        <f>VLOOKUP(Ruimtestaat[[#This Row],[Code]],Locaties[#All],6,FALSE)</f>
        <v>Groenlo</v>
      </c>
      <c r="F144" s="195" t="s">
        <v>774</v>
      </c>
      <c r="G144" s="195">
        <v>1</v>
      </c>
      <c r="H144" s="195" t="s">
        <v>489</v>
      </c>
      <c r="I144" s="242" t="s">
        <v>22</v>
      </c>
      <c r="J144" s="195">
        <v>5</v>
      </c>
      <c r="K144" s="260" t="str">
        <f>VLOOKUP(Ruimtestaat[[#This Row],[Ruimte code]],Ruimtegroepen[#All],2,FALSE)</f>
        <v>Sanitair</v>
      </c>
      <c r="L144" s="211" t="s">
        <v>111</v>
      </c>
      <c r="M144" s="195" t="s">
        <v>777</v>
      </c>
      <c r="N144" s="197">
        <v>6.66</v>
      </c>
      <c r="O144" s="209"/>
      <c r="P144" s="241" t="str">
        <f>VLOOKUP(Ruimtestaat[[#This Row],[Ruimte code]],Ruimtegroepen[#All],4,FALSE)</f>
        <v>S  (Sanitair)</v>
      </c>
      <c r="Q144" s="210"/>
      <c r="R144" s="211">
        <v>40</v>
      </c>
      <c r="S144" s="211" t="s">
        <v>2</v>
      </c>
      <c r="T144" s="211">
        <f>IF(R144&gt;0,IF(RIGHT(Ruimtestaat[[#This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144" s="211">
        <f>IF(T144&gt;0,VLOOKUP($J144,Ruimtegroepen[],3,FALSE)*VLOOKUP($L144,Vloersoorten[],3,FALSE)*VLOOKUP($S144,Frequenties[],3,FALSE)*VLOOKUP($A144,Locaties[],3,FALSE),0)</f>
        <v>100</v>
      </c>
      <c r="V144" s="211">
        <f>Ruimtestaat[[#This Row],[Uitvoeringen werkdagen]]*Ruimtestaat[[#This Row],[Oppervlak (netto)]]</f>
        <v>1332</v>
      </c>
      <c r="W144" s="257">
        <f>IF(U144&gt;0,Ruimtestaat[[#This Row],[Prest. (m2 /jaar) werkdagen]]/Ruimtestaat[[#This Row],[Norm (m2/uur) werkdagen]],0)</f>
        <v>13.32</v>
      </c>
      <c r="X144" s="258">
        <f>Ruimtestaat[[#This Row],[uren / jaar werkdagen]]*Tariefsopbouw!$D$38</f>
        <v>333</v>
      </c>
      <c r="Y144" s="33"/>
      <c r="Z144" s="33">
        <f>IF(Ruimtestaat[[#This Row],[Frequentie weekend]]&gt;0,VALUE(LEFT(Y144,1))*R144,0)</f>
        <v>0</v>
      </c>
      <c r="AA144" s="33">
        <f>IF($Z144&gt;0,VLOOKUP($J144,Ruimtegroepen[],3,FALSE)*VLOOKUP($L144,Vloersoorten[],3,FALSE)*VLOOKUP($Y144,Frequenties[],3,FALSE)*VLOOKUP(#REF!,Locaties[],3,FALSE),0)</f>
        <v>0</v>
      </c>
      <c r="AB144" s="33"/>
      <c r="AC144" s="33"/>
      <c r="AD144" s="33">
        <f>Ruimtestaat[[#This Row],[uren / jaar weekend]]*Tariefsopbouw!$D$40</f>
        <v>0</v>
      </c>
      <c r="AE144" s="88">
        <f>Ruimtestaat[[#This Row],[Prest. (m2 /jaar) weekend]]+Ruimtestaat[[#This Row],[Prest. (m2 /jaar) werkdagen]]</f>
        <v>1332</v>
      </c>
      <c r="AF144" s="88">
        <f>Ruimtestaat[[#This Row],[uren / jaar weekend]]+Ruimtestaat[[#This Row],[uren / jaar werkdagen]]</f>
        <v>13.32</v>
      </c>
      <c r="AG144" s="89">
        <f>Ruimtestaat[[#This Row],[kosten / jaar weekend]]+Ruimtestaat[[#This Row],[kosten / jaar werkdagen]]</f>
        <v>333</v>
      </c>
      <c r="HL144" s="87"/>
    </row>
    <row r="145" spans="1:220" ht="15" customHeight="1">
      <c r="A145" s="129">
        <v>1</v>
      </c>
      <c r="B145" s="21" t="str">
        <f>VLOOKUP(Ruimtestaat[[#This Row],[Code]],Locaties[#All],2,FALSE)</f>
        <v>Groenlo</v>
      </c>
      <c r="C145" s="21" t="str">
        <f>VLOOKUP(Ruimtestaat[[#This Row],[Code]],Locaties[#All],4,FALSE)</f>
        <v>Deken Hooijmanssingel 1</v>
      </c>
      <c r="D145" s="241" t="str">
        <f>VLOOKUP(Ruimtestaat[[#This Row],[Code]],Locaties[#All],5,FALSE)</f>
        <v>7141 EA</v>
      </c>
      <c r="E145" s="241" t="str">
        <f>VLOOKUP(Ruimtestaat[[#This Row],[Code]],Locaties[#All],6,FALSE)</f>
        <v>Groenlo</v>
      </c>
      <c r="F145" s="195" t="s">
        <v>774</v>
      </c>
      <c r="G145" s="195">
        <v>1</v>
      </c>
      <c r="H145" s="195" t="s">
        <v>490</v>
      </c>
      <c r="I145" s="242" t="s">
        <v>824</v>
      </c>
      <c r="J145" s="195">
        <v>1</v>
      </c>
      <c r="K145" s="260" t="str">
        <f>VLOOKUP(Ruimtestaat[[#This Row],[Ruimte code]],Ruimtegroepen[#All],2,FALSE)</f>
        <v>Magazijnen/bergingen</v>
      </c>
      <c r="L145" s="211" t="s">
        <v>109</v>
      </c>
      <c r="M145" s="195" t="s">
        <v>38</v>
      </c>
      <c r="N145" s="197">
        <v>6.05</v>
      </c>
      <c r="O145" s="209"/>
      <c r="P145" s="241" t="str">
        <f>VLOOKUP(Ruimtestaat[[#This Row],[Ruimte code]],Ruimtegroepen[#All],4,FALSE)</f>
        <v>V  (Verkeersruimte)</v>
      </c>
      <c r="Q145" s="210"/>
      <c r="R145" s="211">
        <v>40</v>
      </c>
      <c r="S145" s="211" t="s">
        <v>16</v>
      </c>
      <c r="T145" s="211">
        <f>IF(R145&gt;0,IF(RIGHT(Ruimtestaat[[#This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U145" s="211">
        <f>IF(T145&gt;0,VLOOKUP($J145,Ruimtegroepen[],3,FALSE)*VLOOKUP($L145,Vloersoorten[],3,FALSE)*VLOOKUP($S145,Frequenties[],3,FALSE)*VLOOKUP($A145,Locaties[],3,FALSE),0)</f>
        <v>100</v>
      </c>
      <c r="V145" s="211">
        <f>Ruimtestaat[[#This Row],[Uitvoeringen werkdagen]]*Ruimtestaat[[#This Row],[Oppervlak (netto)]]</f>
        <v>72.599999999999994</v>
      </c>
      <c r="W145" s="257">
        <f>IF(U145&gt;0,Ruimtestaat[[#This Row],[Prest. (m2 /jaar) werkdagen]]/Ruimtestaat[[#This Row],[Norm (m2/uur) werkdagen]],0)</f>
        <v>0.72599999999999998</v>
      </c>
      <c r="X145" s="258">
        <f>Ruimtestaat[[#This Row],[uren / jaar werkdagen]]*Tariefsopbouw!$D$38</f>
        <v>18.149999999999999</v>
      </c>
      <c r="Y145" s="33"/>
      <c r="Z145" s="33">
        <f>IF(Ruimtestaat[[#This Row],[Frequentie weekend]]&gt;0,VALUE(LEFT(Y145,1))*R145,0)</f>
        <v>0</v>
      </c>
      <c r="AA145" s="33">
        <f>IF($Z145&gt;0,VLOOKUP($J145,Ruimtegroepen[],3,FALSE)*VLOOKUP($L145,Vloersoorten[],3,FALSE)*VLOOKUP($Y145,Frequenties[],3,FALSE)*VLOOKUP(#REF!,Locaties[],3,FALSE),0)</f>
        <v>0</v>
      </c>
      <c r="AB145" s="33"/>
      <c r="AC145" s="33"/>
      <c r="AD145" s="33">
        <f>Ruimtestaat[[#This Row],[uren / jaar weekend]]*Tariefsopbouw!$D$40</f>
        <v>0</v>
      </c>
      <c r="AE145" s="88">
        <f>Ruimtestaat[[#This Row],[Prest. (m2 /jaar) weekend]]+Ruimtestaat[[#This Row],[Prest. (m2 /jaar) werkdagen]]</f>
        <v>72.599999999999994</v>
      </c>
      <c r="AF145" s="88">
        <f>Ruimtestaat[[#This Row],[uren / jaar weekend]]+Ruimtestaat[[#This Row],[uren / jaar werkdagen]]</f>
        <v>0.72599999999999998</v>
      </c>
      <c r="AG145" s="89">
        <f>Ruimtestaat[[#This Row],[kosten / jaar weekend]]+Ruimtestaat[[#This Row],[kosten / jaar werkdagen]]</f>
        <v>18.149999999999999</v>
      </c>
      <c r="HL145" s="87"/>
    </row>
    <row r="146" spans="1:220" ht="15" customHeight="1">
      <c r="A146" s="129">
        <v>1</v>
      </c>
      <c r="B146" s="21" t="str">
        <f>VLOOKUP(Ruimtestaat[[#This Row],[Code]],Locaties[#All],2,FALSE)</f>
        <v>Groenlo</v>
      </c>
      <c r="C146" s="21" t="str">
        <f>VLOOKUP(Ruimtestaat[[#This Row],[Code]],Locaties[#All],4,FALSE)</f>
        <v>Deken Hooijmanssingel 1</v>
      </c>
      <c r="D146" s="241" t="str">
        <f>VLOOKUP(Ruimtestaat[[#This Row],[Code]],Locaties[#All],5,FALSE)</f>
        <v>7141 EA</v>
      </c>
      <c r="E146" s="241" t="str">
        <f>VLOOKUP(Ruimtestaat[[#This Row],[Code]],Locaties[#All],6,FALSE)</f>
        <v>Groenlo</v>
      </c>
      <c r="F146" s="195" t="s">
        <v>774</v>
      </c>
      <c r="G146" s="195">
        <v>1</v>
      </c>
      <c r="H146" s="195" t="s">
        <v>491</v>
      </c>
      <c r="I146" s="242" t="s">
        <v>765</v>
      </c>
      <c r="J146" s="195">
        <v>11</v>
      </c>
      <c r="K146" s="260" t="str">
        <f>VLOOKUP(Ruimtestaat[[#This Row],[Ruimte code]],Ruimtegroepen[#All],2,FALSE)</f>
        <v>Praktijklokaal</v>
      </c>
      <c r="L146" s="241" t="s">
        <v>109</v>
      </c>
      <c r="M146" s="195" t="s">
        <v>38</v>
      </c>
      <c r="N146" s="197">
        <v>73.91</v>
      </c>
      <c r="O146" s="209"/>
      <c r="P146" s="241" t="str">
        <f>VLOOKUP(Ruimtestaat[[#This Row],[Ruimte code]],Ruimtegroepen[#All],4,FALSE)</f>
        <v>L  (Lesruimte)</v>
      </c>
      <c r="Q146" s="210"/>
      <c r="R146" s="211">
        <v>40</v>
      </c>
      <c r="S146" s="211" t="s">
        <v>2</v>
      </c>
      <c r="T146" s="211">
        <f>IF(R146&gt;0,IF(RIGHT(Ruimtestaat[[#This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146" s="211">
        <f>IF(T146&gt;0,VLOOKUP($J146,Ruimtegroepen[],3,FALSE)*VLOOKUP($L146,Vloersoorten[],3,FALSE)*VLOOKUP($S146,Frequenties[],3,FALSE)*VLOOKUP($A146,Locaties[],3,FALSE),0)</f>
        <v>100</v>
      </c>
      <c r="V146" s="211">
        <f>Ruimtestaat[[#This Row],[Uitvoeringen werkdagen]]*Ruimtestaat[[#This Row],[Oppervlak (netto)]]</f>
        <v>14782</v>
      </c>
      <c r="W146" s="257">
        <f>IF(U146&gt;0,Ruimtestaat[[#This Row],[Prest. (m2 /jaar) werkdagen]]/Ruimtestaat[[#This Row],[Norm (m2/uur) werkdagen]],0)</f>
        <v>147.82</v>
      </c>
      <c r="X146" s="258">
        <f>Ruimtestaat[[#This Row],[uren / jaar werkdagen]]*Tariefsopbouw!$D$38</f>
        <v>3695.5</v>
      </c>
      <c r="Y146" s="33"/>
      <c r="Z146" s="33">
        <f>IF(Ruimtestaat[[#This Row],[Frequentie weekend]]&gt;0,VALUE(LEFT(Y146,1))*R146,0)</f>
        <v>0</v>
      </c>
      <c r="AA146" s="33">
        <f>IF($Z146&gt;0,VLOOKUP($J146,Ruimtegroepen[],3,FALSE)*VLOOKUP($L146,Vloersoorten[],3,FALSE)*VLOOKUP($Y146,Frequenties[],3,FALSE)*VLOOKUP(#REF!,Locaties[],3,FALSE),0)</f>
        <v>0</v>
      </c>
      <c r="AB146" s="33"/>
      <c r="AC146" s="33"/>
      <c r="AD146" s="33">
        <f>Ruimtestaat[[#This Row],[uren / jaar weekend]]*Tariefsopbouw!$D$40</f>
        <v>0</v>
      </c>
      <c r="AE146" s="88">
        <f>Ruimtestaat[[#This Row],[Prest. (m2 /jaar) weekend]]+Ruimtestaat[[#This Row],[Prest. (m2 /jaar) werkdagen]]</f>
        <v>14782</v>
      </c>
      <c r="AF146" s="88">
        <f>Ruimtestaat[[#This Row],[uren / jaar weekend]]+Ruimtestaat[[#This Row],[uren / jaar werkdagen]]</f>
        <v>147.82</v>
      </c>
      <c r="AG146" s="89">
        <f>Ruimtestaat[[#This Row],[kosten / jaar weekend]]+Ruimtestaat[[#This Row],[kosten / jaar werkdagen]]</f>
        <v>3695.5</v>
      </c>
      <c r="HL146" s="87"/>
    </row>
    <row r="147" spans="1:220" ht="15" customHeight="1">
      <c r="A147" s="129">
        <v>1</v>
      </c>
      <c r="B147" s="21" t="str">
        <f>VLOOKUP(Ruimtestaat[[#This Row],[Code]],Locaties[#All],2,FALSE)</f>
        <v>Groenlo</v>
      </c>
      <c r="C147" s="21" t="str">
        <f>VLOOKUP(Ruimtestaat[[#This Row],[Code]],Locaties[#All],4,FALSE)</f>
        <v>Deken Hooijmanssingel 1</v>
      </c>
      <c r="D147" s="241" t="str">
        <f>VLOOKUP(Ruimtestaat[[#This Row],[Code]],Locaties[#All],5,FALSE)</f>
        <v>7141 EA</v>
      </c>
      <c r="E147" s="241" t="str">
        <f>VLOOKUP(Ruimtestaat[[#This Row],[Code]],Locaties[#All],6,FALSE)</f>
        <v>Groenlo</v>
      </c>
      <c r="F147" s="195" t="s">
        <v>774</v>
      </c>
      <c r="G147" s="195">
        <v>1</v>
      </c>
      <c r="H147" s="195" t="s">
        <v>492</v>
      </c>
      <c r="I147" s="242" t="s">
        <v>765</v>
      </c>
      <c r="J147" s="195">
        <v>11</v>
      </c>
      <c r="K147" s="260" t="str">
        <f>VLOOKUP(Ruimtestaat[[#This Row],[Ruimte code]],Ruimtegroepen[#All],2,FALSE)</f>
        <v>Praktijklokaal</v>
      </c>
      <c r="L147" s="211" t="s">
        <v>109</v>
      </c>
      <c r="M147" s="195" t="s">
        <v>38</v>
      </c>
      <c r="N147" s="197">
        <v>11.37</v>
      </c>
      <c r="O147" s="209"/>
      <c r="P147" s="241" t="str">
        <f>VLOOKUP(Ruimtestaat[[#This Row],[Ruimte code]],Ruimtegroepen[#All],4,FALSE)</f>
        <v>L  (Lesruimte)</v>
      </c>
      <c r="Q147" s="210"/>
      <c r="R147" s="211">
        <v>40</v>
      </c>
      <c r="S147" s="211" t="s">
        <v>2</v>
      </c>
      <c r="T147" s="211">
        <f>IF(R147&gt;0,IF(RIGHT(Ruimtestaat[[#This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147" s="211">
        <f>IF(T147&gt;0,VLOOKUP($J147,Ruimtegroepen[],3,FALSE)*VLOOKUP($L147,Vloersoorten[],3,FALSE)*VLOOKUP($S147,Frequenties[],3,FALSE)*VLOOKUP($A147,Locaties[],3,FALSE),0)</f>
        <v>100</v>
      </c>
      <c r="V147" s="211">
        <f>Ruimtestaat[[#This Row],[Uitvoeringen werkdagen]]*Ruimtestaat[[#This Row],[Oppervlak (netto)]]</f>
        <v>2274</v>
      </c>
      <c r="W147" s="257">
        <f>IF(U147&gt;0,Ruimtestaat[[#This Row],[Prest. (m2 /jaar) werkdagen]]/Ruimtestaat[[#This Row],[Norm (m2/uur) werkdagen]],0)</f>
        <v>22.74</v>
      </c>
      <c r="X147" s="258">
        <f>Ruimtestaat[[#This Row],[uren / jaar werkdagen]]*Tariefsopbouw!$D$38</f>
        <v>568.5</v>
      </c>
      <c r="Y147" s="33"/>
      <c r="Z147" s="33">
        <f>IF(Ruimtestaat[[#This Row],[Frequentie weekend]]&gt;0,VALUE(LEFT(Y147,1))*R147,0)</f>
        <v>0</v>
      </c>
      <c r="AA147" s="33">
        <f>IF($Z147&gt;0,VLOOKUP($J147,Ruimtegroepen[],3,FALSE)*VLOOKUP($L147,Vloersoorten[],3,FALSE)*VLOOKUP($Y147,Frequenties[],3,FALSE)*VLOOKUP(#REF!,Locaties[],3,FALSE),0)</f>
        <v>0</v>
      </c>
      <c r="AB147" s="33"/>
      <c r="AC147" s="33"/>
      <c r="AD147" s="33">
        <f>Ruimtestaat[[#This Row],[uren / jaar weekend]]*Tariefsopbouw!$D$40</f>
        <v>0</v>
      </c>
      <c r="AE147" s="88">
        <f>Ruimtestaat[[#This Row],[Prest. (m2 /jaar) weekend]]+Ruimtestaat[[#This Row],[Prest. (m2 /jaar) werkdagen]]</f>
        <v>2274</v>
      </c>
      <c r="AF147" s="88">
        <f>Ruimtestaat[[#This Row],[uren / jaar weekend]]+Ruimtestaat[[#This Row],[uren / jaar werkdagen]]</f>
        <v>22.74</v>
      </c>
      <c r="AG147" s="89">
        <f>Ruimtestaat[[#This Row],[kosten / jaar weekend]]+Ruimtestaat[[#This Row],[kosten / jaar werkdagen]]</f>
        <v>568.5</v>
      </c>
      <c r="HL147" s="87"/>
    </row>
    <row r="148" spans="1:220" ht="15" customHeight="1">
      <c r="A148" s="129">
        <v>1</v>
      </c>
      <c r="B148" s="21" t="str">
        <f>VLOOKUP(Ruimtestaat[[#This Row],[Code]],Locaties[#All],2,FALSE)</f>
        <v>Groenlo</v>
      </c>
      <c r="C148" s="21" t="str">
        <f>VLOOKUP(Ruimtestaat[[#This Row],[Code]],Locaties[#All],4,FALSE)</f>
        <v>Deken Hooijmanssingel 1</v>
      </c>
      <c r="D148" s="241" t="str">
        <f>VLOOKUP(Ruimtestaat[[#This Row],[Code]],Locaties[#All],5,FALSE)</f>
        <v>7141 EA</v>
      </c>
      <c r="E148" s="241" t="str">
        <f>VLOOKUP(Ruimtestaat[[#This Row],[Code]],Locaties[#All],6,FALSE)</f>
        <v>Groenlo</v>
      </c>
      <c r="F148" s="195" t="s">
        <v>774</v>
      </c>
      <c r="G148" s="195">
        <v>1</v>
      </c>
      <c r="H148" s="195" t="s">
        <v>493</v>
      </c>
      <c r="I148" s="242" t="s">
        <v>765</v>
      </c>
      <c r="J148" s="195">
        <v>11</v>
      </c>
      <c r="K148" s="260" t="str">
        <f>VLOOKUP(Ruimtestaat[[#This Row],[Ruimte code]],Ruimtegroepen[#All],2,FALSE)</f>
        <v>Praktijklokaal</v>
      </c>
      <c r="L148" s="211" t="s">
        <v>109</v>
      </c>
      <c r="M148" s="195" t="s">
        <v>38</v>
      </c>
      <c r="N148" s="197">
        <v>11.14</v>
      </c>
      <c r="O148" s="209"/>
      <c r="P148" s="241" t="str">
        <f>VLOOKUP(Ruimtestaat[[#This Row],[Ruimte code]],Ruimtegroepen[#All],4,FALSE)</f>
        <v>L  (Lesruimte)</v>
      </c>
      <c r="Q148" s="210"/>
      <c r="R148" s="211">
        <v>40</v>
      </c>
      <c r="S148" s="211" t="s">
        <v>2</v>
      </c>
      <c r="T148" s="211">
        <f>IF(R148&gt;0,IF(RIGHT(Ruimtestaat[[#This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148" s="211">
        <f>IF(T148&gt;0,VLOOKUP($J148,Ruimtegroepen[],3,FALSE)*VLOOKUP($L148,Vloersoorten[],3,FALSE)*VLOOKUP($S148,Frequenties[],3,FALSE)*VLOOKUP($A148,Locaties[],3,FALSE),0)</f>
        <v>100</v>
      </c>
      <c r="V148" s="211">
        <f>Ruimtestaat[[#This Row],[Uitvoeringen werkdagen]]*Ruimtestaat[[#This Row],[Oppervlak (netto)]]</f>
        <v>2228</v>
      </c>
      <c r="W148" s="257">
        <f>IF(U148&gt;0,Ruimtestaat[[#This Row],[Prest. (m2 /jaar) werkdagen]]/Ruimtestaat[[#This Row],[Norm (m2/uur) werkdagen]],0)</f>
        <v>22.28</v>
      </c>
      <c r="X148" s="258">
        <f>Ruimtestaat[[#This Row],[uren / jaar werkdagen]]*Tariefsopbouw!$D$38</f>
        <v>557</v>
      </c>
      <c r="Y148" s="33"/>
      <c r="Z148" s="33">
        <f>IF(Ruimtestaat[[#This Row],[Frequentie weekend]]&gt;0,VALUE(LEFT(Y148,1))*R148,0)</f>
        <v>0</v>
      </c>
      <c r="AA148" s="33">
        <f>IF($Z148&gt;0,VLOOKUP($J148,Ruimtegroepen[],3,FALSE)*VLOOKUP($L148,Vloersoorten[],3,FALSE)*VLOOKUP($Y148,Frequenties[],3,FALSE)*VLOOKUP(#REF!,Locaties[],3,FALSE),0)</f>
        <v>0</v>
      </c>
      <c r="AB148" s="33"/>
      <c r="AC148" s="33"/>
      <c r="AD148" s="33">
        <f>Ruimtestaat[[#This Row],[uren / jaar weekend]]*Tariefsopbouw!$D$40</f>
        <v>0</v>
      </c>
      <c r="AE148" s="88">
        <f>Ruimtestaat[[#This Row],[Prest. (m2 /jaar) weekend]]+Ruimtestaat[[#This Row],[Prest. (m2 /jaar) werkdagen]]</f>
        <v>2228</v>
      </c>
      <c r="AF148" s="88">
        <f>Ruimtestaat[[#This Row],[uren / jaar weekend]]+Ruimtestaat[[#This Row],[uren / jaar werkdagen]]</f>
        <v>22.28</v>
      </c>
      <c r="AG148" s="89">
        <f>Ruimtestaat[[#This Row],[kosten / jaar weekend]]+Ruimtestaat[[#This Row],[kosten / jaar werkdagen]]</f>
        <v>557</v>
      </c>
      <c r="HL148" s="87"/>
    </row>
    <row r="149" spans="1:220" ht="15" customHeight="1">
      <c r="A149" s="129">
        <v>1</v>
      </c>
      <c r="B149" s="21" t="str">
        <f>VLOOKUP(Ruimtestaat[[#This Row],[Code]],Locaties[#All],2,FALSE)</f>
        <v>Groenlo</v>
      </c>
      <c r="C149" s="21" t="str">
        <f>VLOOKUP(Ruimtestaat[[#This Row],[Code]],Locaties[#All],4,FALSE)</f>
        <v>Deken Hooijmanssingel 1</v>
      </c>
      <c r="D149" s="241" t="str">
        <f>VLOOKUP(Ruimtestaat[[#This Row],[Code]],Locaties[#All],5,FALSE)</f>
        <v>7141 EA</v>
      </c>
      <c r="E149" s="241" t="str">
        <f>VLOOKUP(Ruimtestaat[[#This Row],[Code]],Locaties[#All],6,FALSE)</f>
        <v>Groenlo</v>
      </c>
      <c r="F149" s="195" t="s">
        <v>774</v>
      </c>
      <c r="G149" s="195">
        <v>1</v>
      </c>
      <c r="H149" s="195" t="s">
        <v>494</v>
      </c>
      <c r="I149" s="242" t="s">
        <v>765</v>
      </c>
      <c r="J149" s="195">
        <v>11</v>
      </c>
      <c r="K149" s="260" t="str">
        <f>VLOOKUP(Ruimtestaat[[#This Row],[Ruimte code]],Ruimtegroepen[#All],2,FALSE)</f>
        <v>Praktijklokaal</v>
      </c>
      <c r="L149" s="211" t="s">
        <v>109</v>
      </c>
      <c r="M149" s="195" t="s">
        <v>38</v>
      </c>
      <c r="N149" s="197">
        <v>11.54</v>
      </c>
      <c r="O149" s="209"/>
      <c r="P149" s="241" t="str">
        <f>VLOOKUP(Ruimtestaat[[#This Row],[Ruimte code]],Ruimtegroepen[#All],4,FALSE)</f>
        <v>L  (Lesruimte)</v>
      </c>
      <c r="Q149" s="210"/>
      <c r="R149" s="211">
        <v>40</v>
      </c>
      <c r="S149" s="211" t="s">
        <v>2</v>
      </c>
      <c r="T149" s="211">
        <f>IF(R149&gt;0,IF(RIGHT(Ruimtestaat[[#This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149" s="211">
        <f>IF(T149&gt;0,VLOOKUP($J149,Ruimtegroepen[],3,FALSE)*VLOOKUP($L149,Vloersoorten[],3,FALSE)*VLOOKUP($S149,Frequenties[],3,FALSE)*VLOOKUP($A149,Locaties[],3,FALSE),0)</f>
        <v>100</v>
      </c>
      <c r="V149" s="211">
        <f>Ruimtestaat[[#This Row],[Uitvoeringen werkdagen]]*Ruimtestaat[[#This Row],[Oppervlak (netto)]]</f>
        <v>2308</v>
      </c>
      <c r="W149" s="257">
        <f>IF(U149&gt;0,Ruimtestaat[[#This Row],[Prest. (m2 /jaar) werkdagen]]/Ruimtestaat[[#This Row],[Norm (m2/uur) werkdagen]],0)</f>
        <v>23.08</v>
      </c>
      <c r="X149" s="258">
        <f>Ruimtestaat[[#This Row],[uren / jaar werkdagen]]*Tariefsopbouw!$D$38</f>
        <v>577</v>
      </c>
      <c r="Y149" s="33"/>
      <c r="Z149" s="33">
        <f>IF(Ruimtestaat[[#This Row],[Frequentie weekend]]&gt;0,VALUE(LEFT(Y149,1))*R149,0)</f>
        <v>0</v>
      </c>
      <c r="AA149" s="33">
        <f>IF($Z149&gt;0,VLOOKUP($J149,Ruimtegroepen[],3,FALSE)*VLOOKUP($L149,Vloersoorten[],3,FALSE)*VLOOKUP($Y149,Frequenties[],3,FALSE)*VLOOKUP(#REF!,Locaties[],3,FALSE),0)</f>
        <v>0</v>
      </c>
      <c r="AB149" s="33"/>
      <c r="AC149" s="33"/>
      <c r="AD149" s="33">
        <f>Ruimtestaat[[#This Row],[uren / jaar weekend]]*Tariefsopbouw!$D$40</f>
        <v>0</v>
      </c>
      <c r="AE149" s="88">
        <f>Ruimtestaat[[#This Row],[Prest. (m2 /jaar) weekend]]+Ruimtestaat[[#This Row],[Prest. (m2 /jaar) werkdagen]]</f>
        <v>2308</v>
      </c>
      <c r="AF149" s="88">
        <f>Ruimtestaat[[#This Row],[uren / jaar weekend]]+Ruimtestaat[[#This Row],[uren / jaar werkdagen]]</f>
        <v>23.08</v>
      </c>
      <c r="AG149" s="89">
        <f>Ruimtestaat[[#This Row],[kosten / jaar weekend]]+Ruimtestaat[[#This Row],[kosten / jaar werkdagen]]</f>
        <v>577</v>
      </c>
      <c r="HL149" s="87"/>
    </row>
    <row r="150" spans="1:220" ht="15" customHeight="1">
      <c r="A150" s="129">
        <v>1</v>
      </c>
      <c r="B150" s="21" t="str">
        <f>VLOOKUP(Ruimtestaat[[#This Row],[Code]],Locaties[#All],2,FALSE)</f>
        <v>Groenlo</v>
      </c>
      <c r="C150" s="21" t="str">
        <f>VLOOKUP(Ruimtestaat[[#This Row],[Code]],Locaties[#All],4,FALSE)</f>
        <v>Deken Hooijmanssingel 1</v>
      </c>
      <c r="D150" s="241" t="str">
        <f>VLOOKUP(Ruimtestaat[[#This Row],[Code]],Locaties[#All],5,FALSE)</f>
        <v>7141 EA</v>
      </c>
      <c r="E150" s="241" t="str">
        <f>VLOOKUP(Ruimtestaat[[#This Row],[Code]],Locaties[#All],6,FALSE)</f>
        <v>Groenlo</v>
      </c>
      <c r="F150" s="195" t="s">
        <v>774</v>
      </c>
      <c r="G150" s="195">
        <v>1</v>
      </c>
      <c r="H150" s="195" t="s">
        <v>495</v>
      </c>
      <c r="I150" s="242" t="s">
        <v>382</v>
      </c>
      <c r="J150" s="195">
        <v>6</v>
      </c>
      <c r="K150" s="260" t="str">
        <f>VLOOKUP(Ruimtestaat[[#This Row],[Ruimte code]],Ruimtegroepen[#All],2,FALSE)</f>
        <v>Gangen/hallen</v>
      </c>
      <c r="L150" s="211" t="s">
        <v>110</v>
      </c>
      <c r="M150" s="195" t="s">
        <v>133</v>
      </c>
      <c r="N150" s="197">
        <v>97.06</v>
      </c>
      <c r="O150" s="209"/>
      <c r="P150" s="241" t="str">
        <f>VLOOKUP(Ruimtestaat[[#This Row],[Ruimte code]],Ruimtegroepen[#All],4,FALSE)</f>
        <v>V  (Verkeersruimte)</v>
      </c>
      <c r="Q150" s="210"/>
      <c r="R150" s="211">
        <v>40</v>
      </c>
      <c r="S150" s="211" t="s">
        <v>2</v>
      </c>
      <c r="T150" s="211">
        <f>IF(R150&gt;0,IF(RIGHT(Ruimtestaat[[#This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150" s="211">
        <f>IF(T150&gt;0,VLOOKUP($J150,Ruimtegroepen[],3,FALSE)*VLOOKUP($L150,Vloersoorten[],3,FALSE)*VLOOKUP($S150,Frequenties[],3,FALSE)*VLOOKUP($A150,Locaties[],3,FALSE),0)</f>
        <v>100</v>
      </c>
      <c r="V150" s="211">
        <f>Ruimtestaat[[#This Row],[Uitvoeringen werkdagen]]*Ruimtestaat[[#This Row],[Oppervlak (netto)]]</f>
        <v>19412</v>
      </c>
      <c r="W150" s="257">
        <f>IF(U150&gt;0,Ruimtestaat[[#This Row],[Prest. (m2 /jaar) werkdagen]]/Ruimtestaat[[#This Row],[Norm (m2/uur) werkdagen]],0)</f>
        <v>194.12</v>
      </c>
      <c r="X150" s="258">
        <f>Ruimtestaat[[#This Row],[uren / jaar werkdagen]]*Tariefsopbouw!$D$38</f>
        <v>4853</v>
      </c>
      <c r="Y150" s="33"/>
      <c r="Z150" s="33">
        <f>IF(Ruimtestaat[[#This Row],[Frequentie weekend]]&gt;0,VALUE(LEFT(Y150,1))*R150,0)</f>
        <v>0</v>
      </c>
      <c r="AA150" s="33">
        <f>IF($Z150&gt;0,VLOOKUP($J150,Ruimtegroepen[],3,FALSE)*VLOOKUP($L150,Vloersoorten[],3,FALSE)*VLOOKUP($Y150,Frequenties[],3,FALSE)*VLOOKUP(#REF!,Locaties[],3,FALSE),0)</f>
        <v>0</v>
      </c>
      <c r="AB150" s="33"/>
      <c r="AC150" s="33"/>
      <c r="AD150" s="33">
        <f>Ruimtestaat[[#This Row],[uren / jaar weekend]]*Tariefsopbouw!$D$40</f>
        <v>0</v>
      </c>
      <c r="AE150" s="88">
        <f>Ruimtestaat[[#This Row],[Prest. (m2 /jaar) weekend]]+Ruimtestaat[[#This Row],[Prest. (m2 /jaar) werkdagen]]</f>
        <v>19412</v>
      </c>
      <c r="AF150" s="88">
        <f>Ruimtestaat[[#This Row],[uren / jaar weekend]]+Ruimtestaat[[#This Row],[uren / jaar werkdagen]]</f>
        <v>194.12</v>
      </c>
      <c r="AG150" s="89">
        <f>Ruimtestaat[[#This Row],[kosten / jaar weekend]]+Ruimtestaat[[#This Row],[kosten / jaar werkdagen]]</f>
        <v>4853</v>
      </c>
      <c r="HL150" s="87"/>
    </row>
    <row r="151" spans="1:220" ht="15" customHeight="1">
      <c r="A151" s="129">
        <v>1</v>
      </c>
      <c r="B151" s="21" t="str">
        <f>VLOOKUP(Ruimtestaat[[#This Row],[Code]],Locaties[#All],2,FALSE)</f>
        <v>Groenlo</v>
      </c>
      <c r="C151" s="21" t="str">
        <f>VLOOKUP(Ruimtestaat[[#This Row],[Code]],Locaties[#All],4,FALSE)</f>
        <v>Deken Hooijmanssingel 1</v>
      </c>
      <c r="D151" s="241" t="str">
        <f>VLOOKUP(Ruimtestaat[[#This Row],[Code]],Locaties[#All],5,FALSE)</f>
        <v>7141 EA</v>
      </c>
      <c r="E151" s="241" t="str">
        <f>VLOOKUP(Ruimtestaat[[#This Row],[Code]],Locaties[#All],6,FALSE)</f>
        <v>Groenlo</v>
      </c>
      <c r="F151" s="195" t="s">
        <v>774</v>
      </c>
      <c r="G151" s="195">
        <v>1</v>
      </c>
      <c r="H151" s="195" t="s">
        <v>496</v>
      </c>
      <c r="I151" s="242" t="s">
        <v>441</v>
      </c>
      <c r="J151" s="195">
        <v>1</v>
      </c>
      <c r="K151" s="260" t="str">
        <f>VLOOKUP(Ruimtestaat[[#This Row],[Ruimte code]],Ruimtegroepen[#All],2,FALSE)</f>
        <v>Magazijnen/bergingen</v>
      </c>
      <c r="L151" s="211" t="s">
        <v>110</v>
      </c>
      <c r="M151" s="195" t="s">
        <v>133</v>
      </c>
      <c r="N151" s="197">
        <v>22.95</v>
      </c>
      <c r="O151" s="209"/>
      <c r="P151" s="241" t="str">
        <f>VLOOKUP(Ruimtestaat[[#This Row],[Ruimte code]],Ruimtegroepen[#All],4,FALSE)</f>
        <v>V  (Verkeersruimte)</v>
      </c>
      <c r="Q151" s="210"/>
      <c r="R151" s="211">
        <v>40</v>
      </c>
      <c r="S151" s="211" t="s">
        <v>16</v>
      </c>
      <c r="T151" s="211">
        <f>IF(R151&gt;0,IF(RIGHT(Ruimtestaat[[#This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U151" s="211">
        <f>IF(T151&gt;0,VLOOKUP($J151,Ruimtegroepen[],3,FALSE)*VLOOKUP($L151,Vloersoorten[],3,FALSE)*VLOOKUP($S151,Frequenties[],3,FALSE)*VLOOKUP($A151,Locaties[],3,FALSE),0)</f>
        <v>100</v>
      </c>
      <c r="V151" s="211">
        <f>Ruimtestaat[[#This Row],[Uitvoeringen werkdagen]]*Ruimtestaat[[#This Row],[Oppervlak (netto)]]</f>
        <v>275.39999999999998</v>
      </c>
      <c r="W151" s="257">
        <f>IF(U151&gt;0,Ruimtestaat[[#This Row],[Prest. (m2 /jaar) werkdagen]]/Ruimtestaat[[#This Row],[Norm (m2/uur) werkdagen]],0)</f>
        <v>2.7539999999999996</v>
      </c>
      <c r="X151" s="258">
        <f>Ruimtestaat[[#This Row],[uren / jaar werkdagen]]*Tariefsopbouw!$D$38</f>
        <v>68.849999999999994</v>
      </c>
      <c r="Y151" s="33"/>
      <c r="Z151" s="33">
        <f>IF(Ruimtestaat[[#This Row],[Frequentie weekend]]&gt;0,VALUE(LEFT(Y151,1))*R151,0)</f>
        <v>0</v>
      </c>
      <c r="AA151" s="33">
        <f>IF($Z151&gt;0,VLOOKUP($J151,Ruimtegroepen[],3,FALSE)*VLOOKUP($L151,Vloersoorten[],3,FALSE)*VLOOKUP($Y151,Frequenties[],3,FALSE)*VLOOKUP(#REF!,Locaties[],3,FALSE),0)</f>
        <v>0</v>
      </c>
      <c r="AB151" s="33"/>
      <c r="AC151" s="33"/>
      <c r="AD151" s="33">
        <f>Ruimtestaat[[#This Row],[uren / jaar weekend]]*Tariefsopbouw!$D$40</f>
        <v>0</v>
      </c>
      <c r="AE151" s="88">
        <f>Ruimtestaat[[#This Row],[Prest. (m2 /jaar) weekend]]+Ruimtestaat[[#This Row],[Prest. (m2 /jaar) werkdagen]]</f>
        <v>275.39999999999998</v>
      </c>
      <c r="AF151" s="88">
        <f>Ruimtestaat[[#This Row],[uren / jaar weekend]]+Ruimtestaat[[#This Row],[uren / jaar werkdagen]]</f>
        <v>2.7539999999999996</v>
      </c>
      <c r="AG151" s="89">
        <f>Ruimtestaat[[#This Row],[kosten / jaar weekend]]+Ruimtestaat[[#This Row],[kosten / jaar werkdagen]]</f>
        <v>68.849999999999994</v>
      </c>
      <c r="HL151" s="87"/>
    </row>
    <row r="152" spans="1:220" ht="15" customHeight="1">
      <c r="A152" s="129">
        <v>1</v>
      </c>
      <c r="B152" s="21" t="str">
        <f>VLOOKUP(Ruimtestaat[[#This Row],[Code]],Locaties[#All],2,FALSE)</f>
        <v>Groenlo</v>
      </c>
      <c r="C152" s="21" t="str">
        <f>VLOOKUP(Ruimtestaat[[#This Row],[Code]],Locaties[#All],4,FALSE)</f>
        <v>Deken Hooijmanssingel 1</v>
      </c>
      <c r="D152" s="241" t="str">
        <f>VLOOKUP(Ruimtestaat[[#This Row],[Code]],Locaties[#All],5,FALSE)</f>
        <v>7141 EA</v>
      </c>
      <c r="E152" s="241" t="str">
        <f>VLOOKUP(Ruimtestaat[[#This Row],[Code]],Locaties[#All],6,FALSE)</f>
        <v>Groenlo</v>
      </c>
      <c r="F152" s="195" t="s">
        <v>774</v>
      </c>
      <c r="G152" s="195">
        <v>1</v>
      </c>
      <c r="H152" s="195" t="s">
        <v>497</v>
      </c>
      <c r="I152" s="242" t="s">
        <v>825</v>
      </c>
      <c r="J152" s="195">
        <v>16</v>
      </c>
      <c r="K152" s="260" t="str">
        <f>VLOOKUP(Ruimtestaat[[#This Row],[Ruimte code]],Ruimtegroepen[#All],2,FALSE)</f>
        <v>Lokaal</v>
      </c>
      <c r="L152" s="211" t="s">
        <v>110</v>
      </c>
      <c r="M152" s="195" t="s">
        <v>133</v>
      </c>
      <c r="N152" s="197">
        <v>114.77</v>
      </c>
      <c r="O152" s="209"/>
      <c r="P152" s="241" t="str">
        <f>VLOOKUP(Ruimtestaat[[#This Row],[Ruimte code]],Ruimtegroepen[#All],4,FALSE)</f>
        <v>L  (Lesruimte)</v>
      </c>
      <c r="Q152" s="210"/>
      <c r="R152" s="211">
        <v>40</v>
      </c>
      <c r="S152" s="211" t="s">
        <v>2</v>
      </c>
      <c r="T152" s="211">
        <f>IF(R152&gt;0,IF(RIGHT(Ruimtestaat[[#This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152" s="211">
        <f>IF(T152&gt;0,VLOOKUP($J152,Ruimtegroepen[],3,FALSE)*VLOOKUP($L152,Vloersoorten[],3,FALSE)*VLOOKUP($S152,Frequenties[],3,FALSE)*VLOOKUP($A152,Locaties[],3,FALSE),0)</f>
        <v>100</v>
      </c>
      <c r="V152" s="211">
        <f>Ruimtestaat[[#This Row],[Uitvoeringen werkdagen]]*Ruimtestaat[[#This Row],[Oppervlak (netto)]]</f>
        <v>22954</v>
      </c>
      <c r="W152" s="257">
        <f>IF(U152&gt;0,Ruimtestaat[[#This Row],[Prest. (m2 /jaar) werkdagen]]/Ruimtestaat[[#This Row],[Norm (m2/uur) werkdagen]],0)</f>
        <v>229.54</v>
      </c>
      <c r="X152" s="258">
        <f>Ruimtestaat[[#This Row],[uren / jaar werkdagen]]*Tariefsopbouw!$D$38</f>
        <v>5738.5</v>
      </c>
      <c r="Y152" s="33"/>
      <c r="Z152" s="33">
        <f>IF(Ruimtestaat[[#This Row],[Frequentie weekend]]&gt;0,VALUE(LEFT(Y152,1))*R152,0)</f>
        <v>0</v>
      </c>
      <c r="AA152" s="33">
        <f>IF($Z152&gt;0,VLOOKUP($J152,Ruimtegroepen[],3,FALSE)*VLOOKUP($L152,Vloersoorten[],3,FALSE)*VLOOKUP($Y152,Frequenties[],3,FALSE)*VLOOKUP(#REF!,Locaties[],3,FALSE),0)</f>
        <v>0</v>
      </c>
      <c r="AB152" s="33"/>
      <c r="AC152" s="33"/>
      <c r="AD152" s="33">
        <f>Ruimtestaat[[#This Row],[uren / jaar weekend]]*Tariefsopbouw!$D$40</f>
        <v>0</v>
      </c>
      <c r="AE152" s="88">
        <f>Ruimtestaat[[#This Row],[Prest. (m2 /jaar) weekend]]+Ruimtestaat[[#This Row],[Prest. (m2 /jaar) werkdagen]]</f>
        <v>22954</v>
      </c>
      <c r="AF152" s="88">
        <f>Ruimtestaat[[#This Row],[uren / jaar weekend]]+Ruimtestaat[[#This Row],[uren / jaar werkdagen]]</f>
        <v>229.54</v>
      </c>
      <c r="AG152" s="89">
        <f>Ruimtestaat[[#This Row],[kosten / jaar weekend]]+Ruimtestaat[[#This Row],[kosten / jaar werkdagen]]</f>
        <v>5738.5</v>
      </c>
      <c r="HL152" s="87"/>
    </row>
    <row r="153" spans="1:220" ht="15" customHeight="1">
      <c r="A153" s="129">
        <v>1</v>
      </c>
      <c r="B153" s="21" t="str">
        <f>VLOOKUP(Ruimtestaat[[#This Row],[Code]],Locaties[#All],2,FALSE)</f>
        <v>Groenlo</v>
      </c>
      <c r="C153" s="21" t="str">
        <f>VLOOKUP(Ruimtestaat[[#This Row],[Code]],Locaties[#All],4,FALSE)</f>
        <v>Deken Hooijmanssingel 1</v>
      </c>
      <c r="D153" s="241" t="str">
        <f>VLOOKUP(Ruimtestaat[[#This Row],[Code]],Locaties[#All],5,FALSE)</f>
        <v>7141 EA</v>
      </c>
      <c r="E153" s="241" t="str">
        <f>VLOOKUP(Ruimtestaat[[#This Row],[Code]],Locaties[#All],6,FALSE)</f>
        <v>Groenlo</v>
      </c>
      <c r="F153" s="195" t="s">
        <v>774</v>
      </c>
      <c r="G153" s="195">
        <v>1</v>
      </c>
      <c r="H153" s="195" t="s">
        <v>498</v>
      </c>
      <c r="I153" s="242" t="s">
        <v>449</v>
      </c>
      <c r="J153" s="195">
        <v>2</v>
      </c>
      <c r="K153" s="260" t="str">
        <f>VLOOKUP(Ruimtestaat[[#This Row],[Ruimte code]],Ruimtegroepen[#All],2,FALSE)</f>
        <v>Kantoren</v>
      </c>
      <c r="L153" s="211" t="s">
        <v>110</v>
      </c>
      <c r="M153" s="195" t="s">
        <v>133</v>
      </c>
      <c r="N153" s="197">
        <v>10.29</v>
      </c>
      <c r="O153" s="209"/>
      <c r="P153" s="241" t="str">
        <f>VLOOKUP(Ruimtestaat[[#This Row],[Ruimte code]],Ruimtegroepen[#All],4,FALSE)</f>
        <v>B  (Bureauruimte)</v>
      </c>
      <c r="Q153" s="210"/>
      <c r="R153" s="211">
        <v>40</v>
      </c>
      <c r="S153" s="211" t="s">
        <v>18</v>
      </c>
      <c r="T153" s="211">
        <f>IF(R153&gt;0,IF(RIGHT(Ruimtestaat[[#This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U153" s="211">
        <f>IF(T153&gt;0,VLOOKUP($J153,Ruimtegroepen[],3,FALSE)*VLOOKUP($L153,Vloersoorten[],3,FALSE)*VLOOKUP($S153,Frequenties[],3,FALSE)*VLOOKUP($A153,Locaties[],3,FALSE),0)</f>
        <v>100</v>
      </c>
      <c r="V153" s="211">
        <f>Ruimtestaat[[#This Row],[Uitvoeringen werkdagen]]*Ruimtestaat[[#This Row],[Oppervlak (netto)]]</f>
        <v>1234.8</v>
      </c>
      <c r="W153" s="257">
        <f>IF(U153&gt;0,Ruimtestaat[[#This Row],[Prest. (m2 /jaar) werkdagen]]/Ruimtestaat[[#This Row],[Norm (m2/uur) werkdagen]],0)</f>
        <v>12.347999999999999</v>
      </c>
      <c r="X153" s="258">
        <f>Ruimtestaat[[#This Row],[uren / jaar werkdagen]]*Tariefsopbouw!$D$38</f>
        <v>308.7</v>
      </c>
      <c r="Y153" s="33"/>
      <c r="Z153" s="33">
        <f>IF(Ruimtestaat[[#This Row],[Frequentie weekend]]&gt;0,VALUE(LEFT(Y153,1))*R153,0)</f>
        <v>0</v>
      </c>
      <c r="AA153" s="33">
        <f>IF($Z153&gt;0,VLOOKUP($J153,Ruimtegroepen[],3,FALSE)*VLOOKUP($L153,Vloersoorten[],3,FALSE)*VLOOKUP($Y153,Frequenties[],3,FALSE)*VLOOKUP(#REF!,Locaties[],3,FALSE),0)</f>
        <v>0</v>
      </c>
      <c r="AB153" s="33"/>
      <c r="AC153" s="33"/>
      <c r="AD153" s="33">
        <f>Ruimtestaat[[#This Row],[uren / jaar weekend]]*Tariefsopbouw!$D$40</f>
        <v>0</v>
      </c>
      <c r="AE153" s="88">
        <f>Ruimtestaat[[#This Row],[Prest. (m2 /jaar) weekend]]+Ruimtestaat[[#This Row],[Prest. (m2 /jaar) werkdagen]]</f>
        <v>1234.8</v>
      </c>
      <c r="AF153" s="88">
        <f>Ruimtestaat[[#This Row],[uren / jaar weekend]]+Ruimtestaat[[#This Row],[uren / jaar werkdagen]]</f>
        <v>12.347999999999999</v>
      </c>
      <c r="AG153" s="89">
        <f>Ruimtestaat[[#This Row],[kosten / jaar weekend]]+Ruimtestaat[[#This Row],[kosten / jaar werkdagen]]</f>
        <v>308.7</v>
      </c>
      <c r="HL153" s="87"/>
    </row>
    <row r="154" spans="1:220" ht="15" customHeight="1">
      <c r="A154" s="129">
        <v>1</v>
      </c>
      <c r="B154" s="21" t="str">
        <f>VLOOKUP(Ruimtestaat[[#This Row],[Code]],Locaties[#All],2,FALSE)</f>
        <v>Groenlo</v>
      </c>
      <c r="C154" s="21" t="str">
        <f>VLOOKUP(Ruimtestaat[[#This Row],[Code]],Locaties[#All],4,FALSE)</f>
        <v>Deken Hooijmanssingel 1</v>
      </c>
      <c r="D154" s="241" t="str">
        <f>VLOOKUP(Ruimtestaat[[#This Row],[Code]],Locaties[#All],5,FALSE)</f>
        <v>7141 EA</v>
      </c>
      <c r="E154" s="241" t="str">
        <f>VLOOKUP(Ruimtestaat[[#This Row],[Code]],Locaties[#All],6,FALSE)</f>
        <v>Groenlo</v>
      </c>
      <c r="F154" s="195" t="s">
        <v>774</v>
      </c>
      <c r="G154" s="195">
        <v>1</v>
      </c>
      <c r="H154" s="195" t="s">
        <v>499</v>
      </c>
      <c r="I154" s="242" t="s">
        <v>382</v>
      </c>
      <c r="J154" s="211">
        <v>6</v>
      </c>
      <c r="K154" s="260" t="str">
        <f>VLOOKUP(Ruimtestaat[[#This Row],[Ruimte code]],Ruimtegroepen[#All],2,FALSE)</f>
        <v>Gangen/hallen</v>
      </c>
      <c r="L154" s="211" t="s">
        <v>110</v>
      </c>
      <c r="M154" s="195" t="s">
        <v>133</v>
      </c>
      <c r="N154" s="197">
        <v>66.19</v>
      </c>
      <c r="O154" s="209"/>
      <c r="P154" s="241" t="str">
        <f>VLOOKUP(Ruimtestaat[[#This Row],[Ruimte code]],Ruimtegroepen[#All],4,FALSE)</f>
        <v>V  (Verkeersruimte)</v>
      </c>
      <c r="Q154" s="210"/>
      <c r="R154" s="211">
        <v>40</v>
      </c>
      <c r="S154" s="211" t="s">
        <v>2</v>
      </c>
      <c r="T154" s="211">
        <f>IF(R154&gt;0,IF(RIGHT(Ruimtestaat[[#This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154" s="211">
        <f>IF(T154&gt;0,VLOOKUP($J154,Ruimtegroepen[],3,FALSE)*VLOOKUP($L154,Vloersoorten[],3,FALSE)*VLOOKUP($S154,Frequenties[],3,FALSE)*VLOOKUP($A154,Locaties[],3,FALSE),0)</f>
        <v>100</v>
      </c>
      <c r="V154" s="211">
        <f>Ruimtestaat[[#This Row],[Uitvoeringen werkdagen]]*Ruimtestaat[[#This Row],[Oppervlak (netto)]]</f>
        <v>13238</v>
      </c>
      <c r="W154" s="257">
        <f>IF(U154&gt;0,Ruimtestaat[[#This Row],[Prest. (m2 /jaar) werkdagen]]/Ruimtestaat[[#This Row],[Norm (m2/uur) werkdagen]],0)</f>
        <v>132.38</v>
      </c>
      <c r="X154" s="258">
        <f>Ruimtestaat[[#This Row],[uren / jaar werkdagen]]*Tariefsopbouw!$D$38</f>
        <v>3309.5</v>
      </c>
      <c r="Y154" s="33"/>
      <c r="Z154" s="33">
        <f>IF(Ruimtestaat[[#This Row],[Frequentie weekend]]&gt;0,VALUE(LEFT(Y154,1))*R154,0)</f>
        <v>0</v>
      </c>
      <c r="AA154" s="33">
        <f>IF($Z154&gt;0,VLOOKUP($J154,Ruimtegroepen[],3,FALSE)*VLOOKUP($L154,Vloersoorten[],3,FALSE)*VLOOKUP($Y154,Frequenties[],3,FALSE)*VLOOKUP(#REF!,Locaties[],3,FALSE),0)</f>
        <v>0</v>
      </c>
      <c r="AB154" s="33"/>
      <c r="AC154" s="33"/>
      <c r="AD154" s="33">
        <f>Ruimtestaat[[#This Row],[uren / jaar weekend]]*Tariefsopbouw!$D$40</f>
        <v>0</v>
      </c>
      <c r="AE154" s="88">
        <f>Ruimtestaat[[#This Row],[Prest. (m2 /jaar) weekend]]+Ruimtestaat[[#This Row],[Prest. (m2 /jaar) werkdagen]]</f>
        <v>13238</v>
      </c>
      <c r="AF154" s="88">
        <f>Ruimtestaat[[#This Row],[uren / jaar weekend]]+Ruimtestaat[[#This Row],[uren / jaar werkdagen]]</f>
        <v>132.38</v>
      </c>
      <c r="AG154" s="89">
        <f>Ruimtestaat[[#This Row],[kosten / jaar weekend]]+Ruimtestaat[[#This Row],[kosten / jaar werkdagen]]</f>
        <v>3309.5</v>
      </c>
      <c r="HL154" s="87"/>
    </row>
    <row r="155" spans="1:220" ht="15" customHeight="1">
      <c r="A155" s="129">
        <v>1</v>
      </c>
      <c r="B155" s="21" t="str">
        <f>VLOOKUP(Ruimtestaat[[#This Row],[Code]],Locaties[#All],2,FALSE)</f>
        <v>Groenlo</v>
      </c>
      <c r="C155" s="21" t="str">
        <f>VLOOKUP(Ruimtestaat[[#This Row],[Code]],Locaties[#All],4,FALSE)</f>
        <v>Deken Hooijmanssingel 1</v>
      </c>
      <c r="D155" s="241" t="str">
        <f>VLOOKUP(Ruimtestaat[[#This Row],[Code]],Locaties[#All],5,FALSE)</f>
        <v>7141 EA</v>
      </c>
      <c r="E155" s="241" t="str">
        <f>VLOOKUP(Ruimtestaat[[#This Row],[Code]],Locaties[#All],6,FALSE)</f>
        <v>Groenlo</v>
      </c>
      <c r="F155" s="195" t="s">
        <v>774</v>
      </c>
      <c r="G155" s="195">
        <v>1</v>
      </c>
      <c r="H155" s="195" t="s">
        <v>500</v>
      </c>
      <c r="I155" s="242" t="s">
        <v>382</v>
      </c>
      <c r="J155" s="195">
        <v>6</v>
      </c>
      <c r="K155" s="260" t="str">
        <f>VLOOKUP(Ruimtestaat[[#This Row],[Ruimte code]],Ruimtegroepen[#All],2,FALSE)</f>
        <v>Gangen/hallen</v>
      </c>
      <c r="L155" s="211" t="s">
        <v>110</v>
      </c>
      <c r="M155" s="195" t="s">
        <v>133</v>
      </c>
      <c r="N155" s="197">
        <v>91.76</v>
      </c>
      <c r="O155" s="209"/>
      <c r="P155" s="241" t="str">
        <f>VLOOKUP(Ruimtestaat[[#This Row],[Ruimte code]],Ruimtegroepen[#All],4,FALSE)</f>
        <v>V  (Verkeersruimte)</v>
      </c>
      <c r="Q155" s="210"/>
      <c r="R155" s="211">
        <v>40</v>
      </c>
      <c r="S155" s="211" t="s">
        <v>2</v>
      </c>
      <c r="T155" s="211">
        <f>IF(R155&gt;0,IF(RIGHT(Ruimtestaat[[#This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155" s="211">
        <f>IF(T155&gt;0,VLOOKUP($J155,Ruimtegroepen[],3,FALSE)*VLOOKUP($L155,Vloersoorten[],3,FALSE)*VLOOKUP($S155,Frequenties[],3,FALSE)*VLOOKUP($A155,Locaties[],3,FALSE),0)</f>
        <v>100</v>
      </c>
      <c r="V155" s="211">
        <f>Ruimtestaat[[#This Row],[Uitvoeringen werkdagen]]*Ruimtestaat[[#This Row],[Oppervlak (netto)]]</f>
        <v>18352</v>
      </c>
      <c r="W155" s="257">
        <f>IF(U155&gt;0,Ruimtestaat[[#This Row],[Prest. (m2 /jaar) werkdagen]]/Ruimtestaat[[#This Row],[Norm (m2/uur) werkdagen]],0)</f>
        <v>183.52</v>
      </c>
      <c r="X155" s="258">
        <f>Ruimtestaat[[#This Row],[uren / jaar werkdagen]]*Tariefsopbouw!$D$38</f>
        <v>4588</v>
      </c>
      <c r="Y155" s="33"/>
      <c r="Z155" s="33">
        <f>IF(Ruimtestaat[[#This Row],[Frequentie weekend]]&gt;0,VALUE(LEFT(Y155,1))*R155,0)</f>
        <v>0</v>
      </c>
      <c r="AA155" s="33">
        <f>IF($Z155&gt;0,VLOOKUP($J155,Ruimtegroepen[],3,FALSE)*VLOOKUP($L155,Vloersoorten[],3,FALSE)*VLOOKUP($Y155,Frequenties[],3,FALSE)*VLOOKUP(#REF!,Locaties[],3,FALSE),0)</f>
        <v>0</v>
      </c>
      <c r="AB155" s="33"/>
      <c r="AC155" s="33"/>
      <c r="AD155" s="33">
        <f>Ruimtestaat[[#This Row],[uren / jaar weekend]]*Tariefsopbouw!$D$40</f>
        <v>0</v>
      </c>
      <c r="AE155" s="88">
        <f>Ruimtestaat[[#This Row],[Prest. (m2 /jaar) weekend]]+Ruimtestaat[[#This Row],[Prest. (m2 /jaar) werkdagen]]</f>
        <v>18352</v>
      </c>
      <c r="AF155" s="88">
        <f>Ruimtestaat[[#This Row],[uren / jaar weekend]]+Ruimtestaat[[#This Row],[uren / jaar werkdagen]]</f>
        <v>183.52</v>
      </c>
      <c r="AG155" s="89">
        <f>Ruimtestaat[[#This Row],[kosten / jaar weekend]]+Ruimtestaat[[#This Row],[kosten / jaar werkdagen]]</f>
        <v>4588</v>
      </c>
      <c r="HL155" s="87"/>
    </row>
    <row r="156" spans="1:220" ht="15" customHeight="1">
      <c r="A156" s="129">
        <v>1</v>
      </c>
      <c r="B156" s="21" t="str">
        <f>VLOOKUP(Ruimtestaat[[#This Row],[Code]],Locaties[#All],2,FALSE)</f>
        <v>Groenlo</v>
      </c>
      <c r="C156" s="21" t="str">
        <f>VLOOKUP(Ruimtestaat[[#This Row],[Code]],Locaties[#All],4,FALSE)</f>
        <v>Deken Hooijmanssingel 1</v>
      </c>
      <c r="D156" s="241" t="str">
        <f>VLOOKUP(Ruimtestaat[[#This Row],[Code]],Locaties[#All],5,FALSE)</f>
        <v>7141 EA</v>
      </c>
      <c r="E156" s="241" t="str">
        <f>VLOOKUP(Ruimtestaat[[#This Row],[Code]],Locaties[#All],6,FALSE)</f>
        <v>Groenlo</v>
      </c>
      <c r="F156" s="195" t="s">
        <v>774</v>
      </c>
      <c r="G156" s="195">
        <v>1</v>
      </c>
      <c r="H156" s="195" t="s">
        <v>501</v>
      </c>
      <c r="I156" s="242" t="s">
        <v>382</v>
      </c>
      <c r="J156" s="195">
        <v>6</v>
      </c>
      <c r="K156" s="260" t="str">
        <f>VLOOKUP(Ruimtestaat[[#This Row],[Ruimte code]],Ruimtegroepen[#All],2,FALSE)</f>
        <v>Gangen/hallen</v>
      </c>
      <c r="L156" s="211" t="s">
        <v>110</v>
      </c>
      <c r="M156" s="195" t="s">
        <v>133</v>
      </c>
      <c r="N156" s="197">
        <v>77.180000000000007</v>
      </c>
      <c r="O156" s="209"/>
      <c r="P156" s="241" t="str">
        <f>VLOOKUP(Ruimtestaat[[#This Row],[Ruimte code]],Ruimtegroepen[#All],4,FALSE)</f>
        <v>V  (Verkeersruimte)</v>
      </c>
      <c r="Q156" s="210"/>
      <c r="R156" s="211">
        <v>40</v>
      </c>
      <c r="S156" s="211" t="s">
        <v>2</v>
      </c>
      <c r="T156" s="211">
        <f>IF(R156&gt;0,IF(RIGHT(Ruimtestaat[[#This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156" s="211">
        <f>IF(T156&gt;0,VLOOKUP($J156,Ruimtegroepen[],3,FALSE)*VLOOKUP($L156,Vloersoorten[],3,FALSE)*VLOOKUP($S156,Frequenties[],3,FALSE)*VLOOKUP($A156,Locaties[],3,FALSE),0)</f>
        <v>100</v>
      </c>
      <c r="V156" s="211">
        <f>Ruimtestaat[[#This Row],[Uitvoeringen werkdagen]]*Ruimtestaat[[#This Row],[Oppervlak (netto)]]</f>
        <v>15436.000000000002</v>
      </c>
      <c r="W156" s="257">
        <f>IF(U156&gt;0,Ruimtestaat[[#This Row],[Prest. (m2 /jaar) werkdagen]]/Ruimtestaat[[#This Row],[Norm (m2/uur) werkdagen]],0)</f>
        <v>154.36000000000001</v>
      </c>
      <c r="X156" s="258">
        <f>Ruimtestaat[[#This Row],[uren / jaar werkdagen]]*Tariefsopbouw!$D$38</f>
        <v>3859.0000000000005</v>
      </c>
      <c r="Y156" s="33"/>
      <c r="Z156" s="33">
        <f>IF(Ruimtestaat[[#This Row],[Frequentie weekend]]&gt;0,VALUE(LEFT(Y156,1))*R156,0)</f>
        <v>0</v>
      </c>
      <c r="AA156" s="33">
        <f>IF($Z156&gt;0,VLOOKUP($J156,Ruimtegroepen[],3,FALSE)*VLOOKUP($L156,Vloersoorten[],3,FALSE)*VLOOKUP($Y156,Frequenties[],3,FALSE)*VLOOKUP(#REF!,Locaties[],3,FALSE),0)</f>
        <v>0</v>
      </c>
      <c r="AB156" s="33"/>
      <c r="AC156" s="33"/>
      <c r="AD156" s="33">
        <f>Ruimtestaat[[#This Row],[uren / jaar weekend]]*Tariefsopbouw!$D$40</f>
        <v>0</v>
      </c>
      <c r="AE156" s="88">
        <f>Ruimtestaat[[#This Row],[Prest. (m2 /jaar) weekend]]+Ruimtestaat[[#This Row],[Prest. (m2 /jaar) werkdagen]]</f>
        <v>15436.000000000002</v>
      </c>
      <c r="AF156" s="88">
        <f>Ruimtestaat[[#This Row],[uren / jaar weekend]]+Ruimtestaat[[#This Row],[uren / jaar werkdagen]]</f>
        <v>154.36000000000001</v>
      </c>
      <c r="AG156" s="89">
        <f>Ruimtestaat[[#This Row],[kosten / jaar weekend]]+Ruimtestaat[[#This Row],[kosten / jaar werkdagen]]</f>
        <v>3859.0000000000005</v>
      </c>
      <c r="HL156" s="87"/>
    </row>
    <row r="157" spans="1:220" ht="15" customHeight="1">
      <c r="A157" s="129">
        <v>1</v>
      </c>
      <c r="B157" s="21" t="str">
        <f>VLOOKUP(Ruimtestaat[[#This Row],[Code]],Locaties[#All],2,FALSE)</f>
        <v>Groenlo</v>
      </c>
      <c r="C157" s="21" t="str">
        <f>VLOOKUP(Ruimtestaat[[#This Row],[Code]],Locaties[#All],4,FALSE)</f>
        <v>Deken Hooijmanssingel 1</v>
      </c>
      <c r="D157" s="241" t="str">
        <f>VLOOKUP(Ruimtestaat[[#This Row],[Code]],Locaties[#All],5,FALSE)</f>
        <v>7141 EA</v>
      </c>
      <c r="E157" s="241" t="str">
        <f>VLOOKUP(Ruimtestaat[[#This Row],[Code]],Locaties[#All],6,FALSE)</f>
        <v>Groenlo</v>
      </c>
      <c r="F157" s="195" t="s">
        <v>774</v>
      </c>
      <c r="G157" s="195">
        <v>1</v>
      </c>
      <c r="H157" s="211" t="s">
        <v>502</v>
      </c>
      <c r="I157" s="256" t="s">
        <v>395</v>
      </c>
      <c r="J157" s="195">
        <v>16</v>
      </c>
      <c r="K157" s="262" t="str">
        <f>VLOOKUP(Ruimtestaat[[#This Row],[Ruimte code]],Ruimtegroepen[#All],2,FALSE)</f>
        <v>Lokaal</v>
      </c>
      <c r="L157" s="211" t="s">
        <v>110</v>
      </c>
      <c r="M157" s="195" t="s">
        <v>133</v>
      </c>
      <c r="N157" s="197">
        <v>59</v>
      </c>
      <c r="O157" s="209"/>
      <c r="P157" s="241" t="str">
        <f>VLOOKUP(Ruimtestaat[[#This Row],[Ruimte code]],Ruimtegroepen[#All],4,FALSE)</f>
        <v>L  (Lesruimte)</v>
      </c>
      <c r="Q157" s="210"/>
      <c r="R157" s="211">
        <v>40</v>
      </c>
      <c r="S157" s="211" t="s">
        <v>2</v>
      </c>
      <c r="T157" s="211">
        <f>IF(R157&gt;0,IF(RIGHT(Ruimtestaat[[#This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157" s="211">
        <f>IF(T157&gt;0,VLOOKUP($J157,Ruimtegroepen[],3,FALSE)*VLOOKUP($L157,Vloersoorten[],3,FALSE)*VLOOKUP($S157,Frequenties[],3,FALSE)*VLOOKUP($A157,Locaties[],3,FALSE),0)</f>
        <v>100</v>
      </c>
      <c r="V157" s="211">
        <f>Ruimtestaat[[#This Row],[Uitvoeringen werkdagen]]*Ruimtestaat[[#This Row],[Oppervlak (netto)]]</f>
        <v>11800</v>
      </c>
      <c r="W157" s="257">
        <f>IF(U157&gt;0,Ruimtestaat[[#This Row],[Prest. (m2 /jaar) werkdagen]]/Ruimtestaat[[#This Row],[Norm (m2/uur) werkdagen]],0)</f>
        <v>118</v>
      </c>
      <c r="X157" s="258">
        <f>Ruimtestaat[[#This Row],[uren / jaar werkdagen]]*Tariefsopbouw!$D$38</f>
        <v>2950</v>
      </c>
      <c r="Y157" s="33"/>
      <c r="Z157" s="33">
        <f>IF(Ruimtestaat[[#This Row],[Frequentie weekend]]&gt;0,VALUE(LEFT(Y157,1))*R157,0)</f>
        <v>0</v>
      </c>
      <c r="AA157" s="33">
        <f>IF($Z157&gt;0,VLOOKUP($J157,Ruimtegroepen[],3,FALSE)*VLOOKUP($L157,Vloersoorten[],3,FALSE)*VLOOKUP($Y157,Frequenties[],3,FALSE)*VLOOKUP(#REF!,Locaties[],3,FALSE),0)</f>
        <v>0</v>
      </c>
      <c r="AB157" s="33"/>
      <c r="AC157" s="33"/>
      <c r="AD157" s="33">
        <f>Ruimtestaat[[#This Row],[uren / jaar weekend]]*Tariefsopbouw!$D$40</f>
        <v>0</v>
      </c>
      <c r="AE157" s="88">
        <f>Ruimtestaat[[#This Row],[Prest. (m2 /jaar) weekend]]+Ruimtestaat[[#This Row],[Prest. (m2 /jaar) werkdagen]]</f>
        <v>11800</v>
      </c>
      <c r="AF157" s="88">
        <f>Ruimtestaat[[#This Row],[uren / jaar weekend]]+Ruimtestaat[[#This Row],[uren / jaar werkdagen]]</f>
        <v>118</v>
      </c>
      <c r="AG157" s="89">
        <f>Ruimtestaat[[#This Row],[kosten / jaar weekend]]+Ruimtestaat[[#This Row],[kosten / jaar werkdagen]]</f>
        <v>2950</v>
      </c>
    </row>
    <row r="158" spans="1:220" ht="15" customHeight="1">
      <c r="A158" s="129">
        <v>1</v>
      </c>
      <c r="B158" s="21" t="str">
        <f>VLOOKUP(Ruimtestaat[[#This Row],[Code]],Locaties[#All],2,FALSE)</f>
        <v>Groenlo</v>
      </c>
      <c r="C158" s="21" t="str">
        <f>VLOOKUP(Ruimtestaat[[#This Row],[Code]],Locaties[#All],4,FALSE)</f>
        <v>Deken Hooijmanssingel 1</v>
      </c>
      <c r="D158" s="241" t="str">
        <f>VLOOKUP(Ruimtestaat[[#This Row],[Code]],Locaties[#All],5,FALSE)</f>
        <v>7141 EA</v>
      </c>
      <c r="E158" s="241" t="str">
        <f>VLOOKUP(Ruimtestaat[[#This Row],[Code]],Locaties[#All],6,FALSE)</f>
        <v>Groenlo</v>
      </c>
      <c r="F158" s="195" t="s">
        <v>774</v>
      </c>
      <c r="G158" s="195">
        <v>1</v>
      </c>
      <c r="H158" s="211" t="s">
        <v>503</v>
      </c>
      <c r="I158" s="256" t="s">
        <v>395</v>
      </c>
      <c r="J158" s="195">
        <v>16</v>
      </c>
      <c r="K158" s="262" t="str">
        <f>VLOOKUP(Ruimtestaat[[#This Row],[Ruimte code]],Ruimtegroepen[#All],2,FALSE)</f>
        <v>Lokaal</v>
      </c>
      <c r="L158" s="211" t="s">
        <v>110</v>
      </c>
      <c r="M158" s="195" t="s">
        <v>133</v>
      </c>
      <c r="N158" s="197">
        <v>69.180000000000007</v>
      </c>
      <c r="O158" s="209"/>
      <c r="P158" s="241" t="str">
        <f>VLOOKUP(Ruimtestaat[[#This Row],[Ruimte code]],Ruimtegroepen[#All],4,FALSE)</f>
        <v>L  (Lesruimte)</v>
      </c>
      <c r="Q158" s="210"/>
      <c r="R158" s="211">
        <v>40</v>
      </c>
      <c r="S158" s="211" t="s">
        <v>2</v>
      </c>
      <c r="T158" s="211">
        <f>IF(R158&gt;0,IF(RIGHT(Ruimtestaat[[#This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158" s="211">
        <f>IF(T158&gt;0,VLOOKUP($J158,Ruimtegroepen[],3,FALSE)*VLOOKUP($L158,Vloersoorten[],3,FALSE)*VLOOKUP($S158,Frequenties[],3,FALSE)*VLOOKUP($A158,Locaties[],3,FALSE),0)</f>
        <v>100</v>
      </c>
      <c r="V158" s="211">
        <f>Ruimtestaat[[#This Row],[Uitvoeringen werkdagen]]*Ruimtestaat[[#This Row],[Oppervlak (netto)]]</f>
        <v>13836.000000000002</v>
      </c>
      <c r="W158" s="257">
        <f>IF(U158&gt;0,Ruimtestaat[[#This Row],[Prest. (m2 /jaar) werkdagen]]/Ruimtestaat[[#This Row],[Norm (m2/uur) werkdagen]],0)</f>
        <v>138.36000000000001</v>
      </c>
      <c r="X158" s="258">
        <f>Ruimtestaat[[#This Row],[uren / jaar werkdagen]]*Tariefsopbouw!$D$38</f>
        <v>3459.0000000000005</v>
      </c>
      <c r="Y158" s="33"/>
      <c r="Z158" s="33">
        <f>IF(Ruimtestaat[[#This Row],[Frequentie weekend]]&gt;0,VALUE(LEFT(Y158,1))*R158,0)</f>
        <v>0</v>
      </c>
      <c r="AA158" s="33">
        <f>IF($Z158&gt;0,VLOOKUP($J158,Ruimtegroepen[],3,FALSE)*VLOOKUP($L158,Vloersoorten[],3,FALSE)*VLOOKUP($Y158,Frequenties[],3,FALSE)*VLOOKUP(#REF!,Locaties[],3,FALSE),0)</f>
        <v>0</v>
      </c>
      <c r="AB158" s="33"/>
      <c r="AC158" s="33"/>
      <c r="AD158" s="33">
        <f>Ruimtestaat[[#This Row],[uren / jaar weekend]]*Tariefsopbouw!$D$40</f>
        <v>0</v>
      </c>
      <c r="AE158" s="88">
        <f>Ruimtestaat[[#This Row],[Prest. (m2 /jaar) weekend]]+Ruimtestaat[[#This Row],[Prest. (m2 /jaar) werkdagen]]</f>
        <v>13836.000000000002</v>
      </c>
      <c r="AF158" s="88">
        <f>Ruimtestaat[[#This Row],[uren / jaar weekend]]+Ruimtestaat[[#This Row],[uren / jaar werkdagen]]</f>
        <v>138.36000000000001</v>
      </c>
      <c r="AG158" s="89">
        <f>Ruimtestaat[[#This Row],[kosten / jaar weekend]]+Ruimtestaat[[#This Row],[kosten / jaar werkdagen]]</f>
        <v>3459.0000000000005</v>
      </c>
    </row>
    <row r="159" spans="1:220" ht="15" customHeight="1">
      <c r="A159" s="129">
        <v>1</v>
      </c>
      <c r="B159" s="21" t="str">
        <f>VLOOKUP(Ruimtestaat[[#This Row],[Code]],Locaties[#All],2,FALSE)</f>
        <v>Groenlo</v>
      </c>
      <c r="C159" s="21" t="str">
        <f>VLOOKUP(Ruimtestaat[[#This Row],[Code]],Locaties[#All],4,FALSE)</f>
        <v>Deken Hooijmanssingel 1</v>
      </c>
      <c r="D159" s="241" t="str">
        <f>VLOOKUP(Ruimtestaat[[#This Row],[Code]],Locaties[#All],5,FALSE)</f>
        <v>7141 EA</v>
      </c>
      <c r="E159" s="241" t="str">
        <f>VLOOKUP(Ruimtestaat[[#This Row],[Code]],Locaties[#All],6,FALSE)</f>
        <v>Groenlo</v>
      </c>
      <c r="F159" s="195" t="s">
        <v>774</v>
      </c>
      <c r="G159" s="195">
        <v>1</v>
      </c>
      <c r="H159" s="195" t="s">
        <v>504</v>
      </c>
      <c r="I159" s="242" t="s">
        <v>395</v>
      </c>
      <c r="J159" s="195">
        <v>16</v>
      </c>
      <c r="K159" s="260" t="str">
        <f>VLOOKUP(Ruimtestaat[[#This Row],[Ruimte code]],Ruimtegroepen[#All],2,FALSE)</f>
        <v>Lokaal</v>
      </c>
      <c r="L159" s="241" t="s">
        <v>110</v>
      </c>
      <c r="M159" s="195" t="s">
        <v>133</v>
      </c>
      <c r="N159" s="197">
        <v>69.19</v>
      </c>
      <c r="O159" s="209"/>
      <c r="P159" s="241" t="str">
        <f>VLOOKUP(Ruimtestaat[[#This Row],[Ruimte code]],Ruimtegroepen[#All],4,FALSE)</f>
        <v>L  (Lesruimte)</v>
      </c>
      <c r="Q159" s="210"/>
      <c r="R159" s="211">
        <v>40</v>
      </c>
      <c r="S159" s="211" t="s">
        <v>2</v>
      </c>
      <c r="T159" s="211">
        <f>IF(R159&gt;0,IF(RIGHT(Ruimtestaat[[#This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159" s="211">
        <f>IF(T159&gt;0,VLOOKUP($J159,Ruimtegroepen[],3,FALSE)*VLOOKUP($L159,Vloersoorten[],3,FALSE)*VLOOKUP($S159,Frequenties[],3,FALSE)*VLOOKUP($A159,Locaties[],3,FALSE),0)</f>
        <v>100</v>
      </c>
      <c r="V159" s="211">
        <f>Ruimtestaat[[#This Row],[Uitvoeringen werkdagen]]*Ruimtestaat[[#This Row],[Oppervlak (netto)]]</f>
        <v>13838</v>
      </c>
      <c r="W159" s="257">
        <f>IF(U159&gt;0,Ruimtestaat[[#This Row],[Prest. (m2 /jaar) werkdagen]]/Ruimtestaat[[#This Row],[Norm (m2/uur) werkdagen]],0)</f>
        <v>138.38</v>
      </c>
      <c r="X159" s="258">
        <f>Ruimtestaat[[#This Row],[uren / jaar werkdagen]]*Tariefsopbouw!$D$38</f>
        <v>3459.5</v>
      </c>
      <c r="Y159" s="33"/>
      <c r="Z159" s="33">
        <f>IF(Ruimtestaat[[#This Row],[Frequentie weekend]]&gt;0,VALUE(LEFT(Y159,1))*R159,0)</f>
        <v>0</v>
      </c>
      <c r="AA159" s="33">
        <f>IF($Z159&gt;0,VLOOKUP($J159,Ruimtegroepen[],3,FALSE)*VLOOKUP($L159,Vloersoorten[],3,FALSE)*VLOOKUP($Y159,Frequenties[],3,FALSE)*VLOOKUP(#REF!,Locaties[],3,FALSE),0)</f>
        <v>0</v>
      </c>
      <c r="AB159" s="33"/>
      <c r="AC159" s="33"/>
      <c r="AD159" s="33">
        <f>Ruimtestaat[[#This Row],[uren / jaar weekend]]*Tariefsopbouw!$D$40</f>
        <v>0</v>
      </c>
      <c r="AE159" s="88">
        <f>Ruimtestaat[[#This Row],[Prest. (m2 /jaar) weekend]]+Ruimtestaat[[#This Row],[Prest. (m2 /jaar) werkdagen]]</f>
        <v>13838</v>
      </c>
      <c r="AF159" s="88">
        <f>Ruimtestaat[[#This Row],[uren / jaar weekend]]+Ruimtestaat[[#This Row],[uren / jaar werkdagen]]</f>
        <v>138.38</v>
      </c>
      <c r="AG159" s="89">
        <f>Ruimtestaat[[#This Row],[kosten / jaar weekend]]+Ruimtestaat[[#This Row],[kosten / jaar werkdagen]]</f>
        <v>3459.5</v>
      </c>
    </row>
    <row r="160" spans="1:220" ht="15" customHeight="1">
      <c r="A160" s="129">
        <v>1</v>
      </c>
      <c r="B160" s="21" t="str">
        <f>VLOOKUP(Ruimtestaat[[#This Row],[Code]],Locaties[#All],2,FALSE)</f>
        <v>Groenlo</v>
      </c>
      <c r="C160" s="21" t="str">
        <f>VLOOKUP(Ruimtestaat[[#This Row],[Code]],Locaties[#All],4,FALSE)</f>
        <v>Deken Hooijmanssingel 1</v>
      </c>
      <c r="D160" s="241" t="str">
        <f>VLOOKUP(Ruimtestaat[[#This Row],[Code]],Locaties[#All],5,FALSE)</f>
        <v>7141 EA</v>
      </c>
      <c r="E160" s="241" t="str">
        <f>VLOOKUP(Ruimtestaat[[#This Row],[Code]],Locaties[#All],6,FALSE)</f>
        <v>Groenlo</v>
      </c>
      <c r="F160" s="195" t="s">
        <v>774</v>
      </c>
      <c r="G160" s="195">
        <v>1</v>
      </c>
      <c r="H160" s="195" t="s">
        <v>505</v>
      </c>
      <c r="I160" s="242" t="s">
        <v>395</v>
      </c>
      <c r="J160" s="195">
        <v>16</v>
      </c>
      <c r="K160" s="260" t="str">
        <f>VLOOKUP(Ruimtestaat[[#This Row],[Ruimte code]],Ruimtegroepen[#All],2,FALSE)</f>
        <v>Lokaal</v>
      </c>
      <c r="L160" s="211" t="s">
        <v>110</v>
      </c>
      <c r="M160" s="195" t="s">
        <v>133</v>
      </c>
      <c r="N160" s="197">
        <v>68.64</v>
      </c>
      <c r="O160" s="209"/>
      <c r="P160" s="241" t="str">
        <f>VLOOKUP(Ruimtestaat[[#This Row],[Ruimte code]],Ruimtegroepen[#All],4,FALSE)</f>
        <v>L  (Lesruimte)</v>
      </c>
      <c r="Q160" s="210"/>
      <c r="R160" s="211">
        <v>40</v>
      </c>
      <c r="S160" s="211" t="s">
        <v>2</v>
      </c>
      <c r="T160" s="211">
        <f>IF(R160&gt;0,IF(RIGHT(Ruimtestaat[[#This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160" s="211">
        <f>IF(T160&gt;0,VLOOKUP($J160,Ruimtegroepen[],3,FALSE)*VLOOKUP($L160,Vloersoorten[],3,FALSE)*VLOOKUP($S160,Frequenties[],3,FALSE)*VLOOKUP($A160,Locaties[],3,FALSE),0)</f>
        <v>100</v>
      </c>
      <c r="V160" s="211">
        <f>Ruimtestaat[[#This Row],[Uitvoeringen werkdagen]]*Ruimtestaat[[#This Row],[Oppervlak (netto)]]</f>
        <v>13728</v>
      </c>
      <c r="W160" s="257">
        <f>IF(U160&gt;0,Ruimtestaat[[#This Row],[Prest. (m2 /jaar) werkdagen]]/Ruimtestaat[[#This Row],[Norm (m2/uur) werkdagen]],0)</f>
        <v>137.28</v>
      </c>
      <c r="X160" s="258">
        <f>Ruimtestaat[[#This Row],[uren / jaar werkdagen]]*Tariefsopbouw!$D$38</f>
        <v>3432</v>
      </c>
      <c r="Y160" s="33"/>
      <c r="Z160" s="33">
        <f>IF(Ruimtestaat[[#This Row],[Frequentie weekend]]&gt;0,VALUE(LEFT(Y160,1))*R160,0)</f>
        <v>0</v>
      </c>
      <c r="AA160" s="33">
        <f>IF($Z160&gt;0,VLOOKUP($J160,Ruimtegroepen[],3,FALSE)*VLOOKUP($L160,Vloersoorten[],3,FALSE)*VLOOKUP($Y160,Frequenties[],3,FALSE)*VLOOKUP(#REF!,Locaties[],3,FALSE),0)</f>
        <v>0</v>
      </c>
      <c r="AB160" s="33"/>
      <c r="AC160" s="33"/>
      <c r="AD160" s="33">
        <f>Ruimtestaat[[#This Row],[uren / jaar weekend]]*Tariefsopbouw!$D$40</f>
        <v>0</v>
      </c>
      <c r="AE160" s="88">
        <f>Ruimtestaat[[#This Row],[Prest. (m2 /jaar) weekend]]+Ruimtestaat[[#This Row],[Prest. (m2 /jaar) werkdagen]]</f>
        <v>13728</v>
      </c>
      <c r="AF160" s="88">
        <f>Ruimtestaat[[#This Row],[uren / jaar weekend]]+Ruimtestaat[[#This Row],[uren / jaar werkdagen]]</f>
        <v>137.28</v>
      </c>
      <c r="AG160" s="89">
        <f>Ruimtestaat[[#This Row],[kosten / jaar weekend]]+Ruimtestaat[[#This Row],[kosten / jaar werkdagen]]</f>
        <v>3432</v>
      </c>
    </row>
    <row r="161" spans="1:33" ht="15" customHeight="1">
      <c r="A161" s="129">
        <v>1</v>
      </c>
      <c r="B161" s="21" t="str">
        <f>VLOOKUP(Ruimtestaat[[#This Row],[Code]],Locaties[#All],2,FALSE)</f>
        <v>Groenlo</v>
      </c>
      <c r="C161" s="21" t="str">
        <f>VLOOKUP(Ruimtestaat[[#This Row],[Code]],Locaties[#All],4,FALSE)</f>
        <v>Deken Hooijmanssingel 1</v>
      </c>
      <c r="D161" s="241" t="str">
        <f>VLOOKUP(Ruimtestaat[[#This Row],[Code]],Locaties[#All],5,FALSE)</f>
        <v>7141 EA</v>
      </c>
      <c r="E161" s="241" t="str">
        <f>VLOOKUP(Ruimtestaat[[#This Row],[Code]],Locaties[#All],6,FALSE)</f>
        <v>Groenlo</v>
      </c>
      <c r="F161" s="195" t="s">
        <v>774</v>
      </c>
      <c r="G161" s="195">
        <v>1</v>
      </c>
      <c r="H161" s="195" t="s">
        <v>506</v>
      </c>
      <c r="I161" s="242" t="s">
        <v>395</v>
      </c>
      <c r="J161" s="195">
        <v>16</v>
      </c>
      <c r="K161" s="260" t="str">
        <f>VLOOKUP(Ruimtestaat[[#This Row],[Ruimte code]],Ruimtegroepen[#All],2,FALSE)</f>
        <v>Lokaal</v>
      </c>
      <c r="L161" s="211" t="s">
        <v>110</v>
      </c>
      <c r="M161" s="195" t="s">
        <v>133</v>
      </c>
      <c r="N161" s="197">
        <v>68.63</v>
      </c>
      <c r="O161" s="209"/>
      <c r="P161" s="241" t="str">
        <f>VLOOKUP(Ruimtestaat[[#This Row],[Ruimte code]],Ruimtegroepen[#All],4,FALSE)</f>
        <v>L  (Lesruimte)</v>
      </c>
      <c r="Q161" s="210"/>
      <c r="R161" s="211">
        <v>40</v>
      </c>
      <c r="S161" s="211" t="s">
        <v>2</v>
      </c>
      <c r="T161" s="211">
        <f>IF(R161&gt;0,IF(RIGHT(Ruimtestaat[[#This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161" s="211">
        <f>IF(T161&gt;0,VLOOKUP($J161,Ruimtegroepen[],3,FALSE)*VLOOKUP($L161,Vloersoorten[],3,FALSE)*VLOOKUP($S161,Frequenties[],3,FALSE)*VLOOKUP($A161,Locaties[],3,FALSE),0)</f>
        <v>100</v>
      </c>
      <c r="V161" s="211">
        <f>Ruimtestaat[[#This Row],[Uitvoeringen werkdagen]]*Ruimtestaat[[#This Row],[Oppervlak (netto)]]</f>
        <v>13726</v>
      </c>
      <c r="W161" s="257">
        <f>IF(U161&gt;0,Ruimtestaat[[#This Row],[Prest. (m2 /jaar) werkdagen]]/Ruimtestaat[[#This Row],[Norm (m2/uur) werkdagen]],0)</f>
        <v>137.26</v>
      </c>
      <c r="X161" s="258">
        <f>Ruimtestaat[[#This Row],[uren / jaar werkdagen]]*Tariefsopbouw!$D$38</f>
        <v>3431.5</v>
      </c>
      <c r="Y161" s="33"/>
      <c r="Z161" s="33">
        <f>IF(Ruimtestaat[[#This Row],[Frequentie weekend]]&gt;0,VALUE(LEFT(Y161,1))*R161,0)</f>
        <v>0</v>
      </c>
      <c r="AA161" s="33">
        <f>IF($Z161&gt;0,VLOOKUP($J161,Ruimtegroepen[],3,FALSE)*VLOOKUP($L161,Vloersoorten[],3,FALSE)*VLOOKUP($Y161,Frequenties[],3,FALSE)*VLOOKUP(#REF!,Locaties[],3,FALSE),0)</f>
        <v>0</v>
      </c>
      <c r="AB161" s="33"/>
      <c r="AC161" s="33"/>
      <c r="AD161" s="33">
        <f>Ruimtestaat[[#This Row],[uren / jaar weekend]]*Tariefsopbouw!$D$40</f>
        <v>0</v>
      </c>
      <c r="AE161" s="88">
        <f>Ruimtestaat[[#This Row],[Prest. (m2 /jaar) weekend]]+Ruimtestaat[[#This Row],[Prest. (m2 /jaar) werkdagen]]</f>
        <v>13726</v>
      </c>
      <c r="AF161" s="88">
        <f>Ruimtestaat[[#This Row],[uren / jaar weekend]]+Ruimtestaat[[#This Row],[uren / jaar werkdagen]]</f>
        <v>137.26</v>
      </c>
      <c r="AG161" s="89">
        <f>Ruimtestaat[[#This Row],[kosten / jaar weekend]]+Ruimtestaat[[#This Row],[kosten / jaar werkdagen]]</f>
        <v>3431.5</v>
      </c>
    </row>
    <row r="162" spans="1:33" ht="15" customHeight="1">
      <c r="A162" s="129">
        <v>1</v>
      </c>
      <c r="B162" s="21" t="str">
        <f>VLOOKUP(Ruimtestaat[[#This Row],[Code]],Locaties[#All],2,FALSE)</f>
        <v>Groenlo</v>
      </c>
      <c r="C162" s="21" t="str">
        <f>VLOOKUP(Ruimtestaat[[#This Row],[Code]],Locaties[#All],4,FALSE)</f>
        <v>Deken Hooijmanssingel 1</v>
      </c>
      <c r="D162" s="241" t="str">
        <f>VLOOKUP(Ruimtestaat[[#This Row],[Code]],Locaties[#All],5,FALSE)</f>
        <v>7141 EA</v>
      </c>
      <c r="E162" s="241" t="str">
        <f>VLOOKUP(Ruimtestaat[[#This Row],[Code]],Locaties[#All],6,FALSE)</f>
        <v>Groenlo</v>
      </c>
      <c r="F162" s="195" t="s">
        <v>774</v>
      </c>
      <c r="G162" s="195">
        <v>1</v>
      </c>
      <c r="H162" s="195" t="s">
        <v>507</v>
      </c>
      <c r="I162" s="242" t="s">
        <v>395</v>
      </c>
      <c r="J162" s="241">
        <v>16</v>
      </c>
      <c r="K162" s="260" t="str">
        <f>VLOOKUP(Ruimtestaat[[#This Row],[Ruimte code]],Ruimtegroepen[#All],2,FALSE)</f>
        <v>Lokaal</v>
      </c>
      <c r="L162" s="211" t="s">
        <v>110</v>
      </c>
      <c r="M162" s="195" t="s">
        <v>133</v>
      </c>
      <c r="N162" s="197">
        <v>69.209999999999994</v>
      </c>
      <c r="O162" s="209"/>
      <c r="P162" s="241" t="str">
        <f>VLOOKUP(Ruimtestaat[[#This Row],[Ruimte code]],Ruimtegroepen[#All],4,FALSE)</f>
        <v>L  (Lesruimte)</v>
      </c>
      <c r="Q162" s="210"/>
      <c r="R162" s="211">
        <v>40</v>
      </c>
      <c r="S162" s="211" t="s">
        <v>2</v>
      </c>
      <c r="T162" s="211">
        <f>IF(R162&gt;0,IF(RIGHT(Ruimtestaat[[#This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162" s="211">
        <f>IF(T162&gt;0,VLOOKUP($J162,Ruimtegroepen[],3,FALSE)*VLOOKUP($L162,Vloersoorten[],3,FALSE)*VLOOKUP($S162,Frequenties[],3,FALSE)*VLOOKUP($A162,Locaties[],3,FALSE),0)</f>
        <v>100</v>
      </c>
      <c r="V162" s="211">
        <f>Ruimtestaat[[#This Row],[Uitvoeringen werkdagen]]*Ruimtestaat[[#This Row],[Oppervlak (netto)]]</f>
        <v>13841.999999999998</v>
      </c>
      <c r="W162" s="257">
        <f>IF(U162&gt;0,Ruimtestaat[[#This Row],[Prest. (m2 /jaar) werkdagen]]/Ruimtestaat[[#This Row],[Norm (m2/uur) werkdagen]],0)</f>
        <v>138.41999999999999</v>
      </c>
      <c r="X162" s="258">
        <f>Ruimtestaat[[#This Row],[uren / jaar werkdagen]]*Tariefsopbouw!$D$38</f>
        <v>3460.4999999999995</v>
      </c>
      <c r="Y162" s="33"/>
      <c r="Z162" s="33">
        <f>IF(Ruimtestaat[[#This Row],[Frequentie weekend]]&gt;0,VALUE(LEFT(Y162,1))*R162,0)</f>
        <v>0</v>
      </c>
      <c r="AA162" s="33">
        <f>IF($Z162&gt;0,VLOOKUP($J162,Ruimtegroepen[],3,FALSE)*VLOOKUP($L162,Vloersoorten[],3,FALSE)*VLOOKUP($Y162,Frequenties[],3,FALSE)*VLOOKUP(#REF!,Locaties[],3,FALSE),0)</f>
        <v>0</v>
      </c>
      <c r="AB162" s="33"/>
      <c r="AC162" s="33"/>
      <c r="AD162" s="33">
        <f>Ruimtestaat[[#This Row],[uren / jaar weekend]]*Tariefsopbouw!$D$40</f>
        <v>0</v>
      </c>
      <c r="AE162" s="88">
        <f>Ruimtestaat[[#This Row],[Prest. (m2 /jaar) weekend]]+Ruimtestaat[[#This Row],[Prest. (m2 /jaar) werkdagen]]</f>
        <v>13841.999999999998</v>
      </c>
      <c r="AF162" s="88">
        <f>Ruimtestaat[[#This Row],[uren / jaar weekend]]+Ruimtestaat[[#This Row],[uren / jaar werkdagen]]</f>
        <v>138.41999999999999</v>
      </c>
      <c r="AG162" s="89">
        <f>Ruimtestaat[[#This Row],[kosten / jaar weekend]]+Ruimtestaat[[#This Row],[kosten / jaar werkdagen]]</f>
        <v>3460.4999999999995</v>
      </c>
    </row>
    <row r="163" spans="1:33" ht="15" customHeight="1">
      <c r="A163" s="129">
        <v>1</v>
      </c>
      <c r="B163" s="21" t="str">
        <f>VLOOKUP(Ruimtestaat[[#This Row],[Code]],Locaties[#All],2,FALSE)</f>
        <v>Groenlo</v>
      </c>
      <c r="C163" s="21" t="str">
        <f>VLOOKUP(Ruimtestaat[[#This Row],[Code]],Locaties[#All],4,FALSE)</f>
        <v>Deken Hooijmanssingel 1</v>
      </c>
      <c r="D163" s="241" t="str">
        <f>VLOOKUP(Ruimtestaat[[#This Row],[Code]],Locaties[#All],5,FALSE)</f>
        <v>7141 EA</v>
      </c>
      <c r="E163" s="241" t="str">
        <f>VLOOKUP(Ruimtestaat[[#This Row],[Code]],Locaties[#All],6,FALSE)</f>
        <v>Groenlo</v>
      </c>
      <c r="F163" s="195" t="s">
        <v>774</v>
      </c>
      <c r="G163" s="195">
        <v>1</v>
      </c>
      <c r="H163" s="195" t="s">
        <v>508</v>
      </c>
      <c r="I163" s="242" t="s">
        <v>395</v>
      </c>
      <c r="J163" s="195">
        <v>16</v>
      </c>
      <c r="K163" s="260" t="str">
        <f>VLOOKUP(Ruimtestaat[[#This Row],[Ruimte code]],Ruimtegroepen[#All],2,FALSE)</f>
        <v>Lokaal</v>
      </c>
      <c r="L163" s="211" t="s">
        <v>110</v>
      </c>
      <c r="M163" s="195" t="s">
        <v>133</v>
      </c>
      <c r="N163" s="197">
        <v>69.59</v>
      </c>
      <c r="O163" s="209"/>
      <c r="P163" s="241" t="str">
        <f>VLOOKUP(Ruimtestaat[[#This Row],[Ruimte code]],Ruimtegroepen[#All],4,FALSE)</f>
        <v>L  (Lesruimte)</v>
      </c>
      <c r="Q163" s="210"/>
      <c r="R163" s="211">
        <v>40</v>
      </c>
      <c r="S163" s="211" t="s">
        <v>2</v>
      </c>
      <c r="T163" s="211">
        <f>IF(R163&gt;0,IF(RIGHT(Ruimtestaat[[#This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163" s="211">
        <f>IF(T163&gt;0,VLOOKUP($J163,Ruimtegroepen[],3,FALSE)*VLOOKUP($L163,Vloersoorten[],3,FALSE)*VLOOKUP($S163,Frequenties[],3,FALSE)*VLOOKUP($A163,Locaties[],3,FALSE),0)</f>
        <v>100</v>
      </c>
      <c r="V163" s="211">
        <f>Ruimtestaat[[#This Row],[Uitvoeringen werkdagen]]*Ruimtestaat[[#This Row],[Oppervlak (netto)]]</f>
        <v>13918</v>
      </c>
      <c r="W163" s="257">
        <f>IF(U163&gt;0,Ruimtestaat[[#This Row],[Prest. (m2 /jaar) werkdagen]]/Ruimtestaat[[#This Row],[Norm (m2/uur) werkdagen]],0)</f>
        <v>139.18</v>
      </c>
      <c r="X163" s="258">
        <f>Ruimtestaat[[#This Row],[uren / jaar werkdagen]]*Tariefsopbouw!$D$38</f>
        <v>3479.5</v>
      </c>
      <c r="Y163" s="33"/>
      <c r="Z163" s="33">
        <f>IF(Ruimtestaat[[#This Row],[Frequentie weekend]]&gt;0,VALUE(LEFT(Y163,1))*R163,0)</f>
        <v>0</v>
      </c>
      <c r="AA163" s="33">
        <f>IF($Z163&gt;0,VLOOKUP($J163,Ruimtegroepen[],3,FALSE)*VLOOKUP($L163,Vloersoorten[],3,FALSE)*VLOOKUP($Y163,Frequenties[],3,FALSE)*VLOOKUP(#REF!,Locaties[],3,FALSE),0)</f>
        <v>0</v>
      </c>
      <c r="AB163" s="33"/>
      <c r="AC163" s="33"/>
      <c r="AD163" s="33">
        <f>Ruimtestaat[[#This Row],[uren / jaar weekend]]*Tariefsopbouw!$D$40</f>
        <v>0</v>
      </c>
      <c r="AE163" s="88">
        <f>Ruimtestaat[[#This Row],[Prest. (m2 /jaar) weekend]]+Ruimtestaat[[#This Row],[Prest. (m2 /jaar) werkdagen]]</f>
        <v>13918</v>
      </c>
      <c r="AF163" s="88">
        <f>Ruimtestaat[[#This Row],[uren / jaar weekend]]+Ruimtestaat[[#This Row],[uren / jaar werkdagen]]</f>
        <v>139.18</v>
      </c>
      <c r="AG163" s="89">
        <f>Ruimtestaat[[#This Row],[kosten / jaar weekend]]+Ruimtestaat[[#This Row],[kosten / jaar werkdagen]]</f>
        <v>3479.5</v>
      </c>
    </row>
    <row r="164" spans="1:33" ht="15" customHeight="1">
      <c r="A164" s="129">
        <v>1</v>
      </c>
      <c r="B164" s="21" t="str">
        <f>VLOOKUP(Ruimtestaat[[#This Row],[Code]],Locaties[#All],2,FALSE)</f>
        <v>Groenlo</v>
      </c>
      <c r="C164" s="21" t="str">
        <f>VLOOKUP(Ruimtestaat[[#This Row],[Code]],Locaties[#All],4,FALSE)</f>
        <v>Deken Hooijmanssingel 1</v>
      </c>
      <c r="D164" s="241" t="str">
        <f>VLOOKUP(Ruimtestaat[[#This Row],[Code]],Locaties[#All],5,FALSE)</f>
        <v>7141 EA</v>
      </c>
      <c r="E164" s="241" t="str">
        <f>VLOOKUP(Ruimtestaat[[#This Row],[Code]],Locaties[#All],6,FALSE)</f>
        <v>Groenlo</v>
      </c>
      <c r="F164" s="195" t="s">
        <v>774</v>
      </c>
      <c r="G164" s="195">
        <v>1</v>
      </c>
      <c r="H164" s="195" t="s">
        <v>509</v>
      </c>
      <c r="I164" s="242" t="s">
        <v>441</v>
      </c>
      <c r="J164" s="241">
        <v>1</v>
      </c>
      <c r="K164" s="260" t="str">
        <f>VLOOKUP(Ruimtestaat[[#This Row],[Ruimte code]],Ruimtegroepen[#All],2,FALSE)</f>
        <v>Magazijnen/bergingen</v>
      </c>
      <c r="L164" s="211" t="s">
        <v>110</v>
      </c>
      <c r="M164" s="195" t="s">
        <v>133</v>
      </c>
      <c r="N164" s="197">
        <v>11.94</v>
      </c>
      <c r="O164" s="209"/>
      <c r="P164" s="241" t="str">
        <f>VLOOKUP(Ruimtestaat[[#This Row],[Ruimte code]],Ruimtegroepen[#All],4,FALSE)</f>
        <v>V  (Verkeersruimte)</v>
      </c>
      <c r="Q164" s="210"/>
      <c r="R164" s="211">
        <v>40</v>
      </c>
      <c r="S164" s="211" t="s">
        <v>16</v>
      </c>
      <c r="T164" s="211">
        <f>IF(R164&gt;0,IF(RIGHT(Ruimtestaat[[#This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U164" s="211">
        <f>IF(T164&gt;0,VLOOKUP($J164,Ruimtegroepen[],3,FALSE)*VLOOKUP($L164,Vloersoorten[],3,FALSE)*VLOOKUP($S164,Frequenties[],3,FALSE)*VLOOKUP($A164,Locaties[],3,FALSE),0)</f>
        <v>100</v>
      </c>
      <c r="V164" s="211">
        <f>Ruimtestaat[[#This Row],[Uitvoeringen werkdagen]]*Ruimtestaat[[#This Row],[Oppervlak (netto)]]</f>
        <v>143.28</v>
      </c>
      <c r="W164" s="257">
        <f>IF(U164&gt;0,Ruimtestaat[[#This Row],[Prest. (m2 /jaar) werkdagen]]/Ruimtestaat[[#This Row],[Norm (m2/uur) werkdagen]],0)</f>
        <v>1.4328000000000001</v>
      </c>
      <c r="X164" s="258">
        <f>Ruimtestaat[[#This Row],[uren / jaar werkdagen]]*Tariefsopbouw!$D$38</f>
        <v>35.82</v>
      </c>
      <c r="Y164" s="33"/>
      <c r="Z164" s="33">
        <f>IF(Ruimtestaat[[#This Row],[Frequentie weekend]]&gt;0,VALUE(LEFT(Y164,1))*R164,0)</f>
        <v>0</v>
      </c>
      <c r="AA164" s="33">
        <f>IF($Z164&gt;0,VLOOKUP($J164,Ruimtegroepen[],3,FALSE)*VLOOKUP($L164,Vloersoorten[],3,FALSE)*VLOOKUP($Y164,Frequenties[],3,FALSE)*VLOOKUP(#REF!,Locaties[],3,FALSE),0)</f>
        <v>0</v>
      </c>
      <c r="AB164" s="33"/>
      <c r="AC164" s="33"/>
      <c r="AD164" s="33">
        <f>Ruimtestaat[[#This Row],[uren / jaar weekend]]*Tariefsopbouw!$D$40</f>
        <v>0</v>
      </c>
      <c r="AE164" s="88">
        <f>Ruimtestaat[[#This Row],[Prest. (m2 /jaar) weekend]]+Ruimtestaat[[#This Row],[Prest. (m2 /jaar) werkdagen]]</f>
        <v>143.28</v>
      </c>
      <c r="AF164" s="88">
        <f>Ruimtestaat[[#This Row],[uren / jaar weekend]]+Ruimtestaat[[#This Row],[uren / jaar werkdagen]]</f>
        <v>1.4328000000000001</v>
      </c>
      <c r="AG164" s="89">
        <f>Ruimtestaat[[#This Row],[kosten / jaar weekend]]+Ruimtestaat[[#This Row],[kosten / jaar werkdagen]]</f>
        <v>35.82</v>
      </c>
    </row>
    <row r="165" spans="1:33" ht="15" customHeight="1">
      <c r="A165" s="129">
        <v>1</v>
      </c>
      <c r="B165" s="21" t="str">
        <f>VLOOKUP(Ruimtestaat[[#This Row],[Code]],Locaties[#All],2,FALSE)</f>
        <v>Groenlo</v>
      </c>
      <c r="C165" s="21" t="str">
        <f>VLOOKUP(Ruimtestaat[[#This Row],[Code]],Locaties[#All],4,FALSE)</f>
        <v>Deken Hooijmanssingel 1</v>
      </c>
      <c r="D165" s="241" t="str">
        <f>VLOOKUP(Ruimtestaat[[#This Row],[Code]],Locaties[#All],5,FALSE)</f>
        <v>7141 EA</v>
      </c>
      <c r="E165" s="241" t="str">
        <f>VLOOKUP(Ruimtestaat[[#This Row],[Code]],Locaties[#All],6,FALSE)</f>
        <v>Groenlo</v>
      </c>
      <c r="F165" s="195" t="s">
        <v>774</v>
      </c>
      <c r="G165" s="195">
        <v>1</v>
      </c>
      <c r="H165" s="195" t="s">
        <v>510</v>
      </c>
      <c r="I165" s="242" t="s">
        <v>655</v>
      </c>
      <c r="J165" s="241">
        <v>1</v>
      </c>
      <c r="K165" s="260" t="str">
        <f>VLOOKUP(Ruimtestaat[[#This Row],[Ruimte code]],Ruimtegroepen[#All],2,FALSE)</f>
        <v>Magazijnen/bergingen</v>
      </c>
      <c r="L165" s="211" t="s">
        <v>110</v>
      </c>
      <c r="M165" s="195" t="s">
        <v>133</v>
      </c>
      <c r="N165" s="197">
        <v>11.21</v>
      </c>
      <c r="O165" s="209"/>
      <c r="P165" s="241" t="str">
        <f>VLOOKUP(Ruimtestaat[[#This Row],[Ruimte code]],Ruimtegroepen[#All],4,FALSE)</f>
        <v>V  (Verkeersruimte)</v>
      </c>
      <c r="Q165" s="210"/>
      <c r="R165" s="211">
        <v>40</v>
      </c>
      <c r="S165" s="211" t="s">
        <v>16</v>
      </c>
      <c r="T165" s="211">
        <f>IF(R165&gt;0,IF(RIGHT(Ruimtestaat[[#This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U165" s="211">
        <f>IF(T165&gt;0,VLOOKUP($J165,Ruimtegroepen[],3,FALSE)*VLOOKUP($L165,Vloersoorten[],3,FALSE)*VLOOKUP($S165,Frequenties[],3,FALSE)*VLOOKUP($A165,Locaties[],3,FALSE),0)</f>
        <v>100</v>
      </c>
      <c r="V165" s="211">
        <f>Ruimtestaat[[#This Row],[Uitvoeringen werkdagen]]*Ruimtestaat[[#This Row],[Oppervlak (netto)]]</f>
        <v>134.52000000000001</v>
      </c>
      <c r="W165" s="257">
        <f>IF(U165&gt;0,Ruimtestaat[[#This Row],[Prest. (m2 /jaar) werkdagen]]/Ruimtestaat[[#This Row],[Norm (m2/uur) werkdagen]],0)</f>
        <v>1.3452000000000002</v>
      </c>
      <c r="X165" s="258">
        <f>Ruimtestaat[[#This Row],[uren / jaar werkdagen]]*Tariefsopbouw!$D$38</f>
        <v>33.630000000000003</v>
      </c>
      <c r="Y165" s="33"/>
      <c r="Z165" s="33">
        <f>IF(Ruimtestaat[[#This Row],[Frequentie weekend]]&gt;0,VALUE(LEFT(Y165,1))*R165,0)</f>
        <v>0</v>
      </c>
      <c r="AA165" s="33">
        <f>IF($Z165&gt;0,VLOOKUP($J165,Ruimtegroepen[],3,FALSE)*VLOOKUP($L165,Vloersoorten[],3,FALSE)*VLOOKUP($Y165,Frequenties[],3,FALSE)*VLOOKUP(#REF!,Locaties[],3,FALSE),0)</f>
        <v>0</v>
      </c>
      <c r="AB165" s="33"/>
      <c r="AC165" s="33"/>
      <c r="AD165" s="33">
        <f>Ruimtestaat[[#This Row],[uren / jaar weekend]]*Tariefsopbouw!$D$40</f>
        <v>0</v>
      </c>
      <c r="AE165" s="88">
        <f>Ruimtestaat[[#This Row],[Prest. (m2 /jaar) weekend]]+Ruimtestaat[[#This Row],[Prest. (m2 /jaar) werkdagen]]</f>
        <v>134.52000000000001</v>
      </c>
      <c r="AF165" s="88">
        <f>Ruimtestaat[[#This Row],[uren / jaar weekend]]+Ruimtestaat[[#This Row],[uren / jaar werkdagen]]</f>
        <v>1.3452000000000002</v>
      </c>
      <c r="AG165" s="89">
        <f>Ruimtestaat[[#This Row],[kosten / jaar weekend]]+Ruimtestaat[[#This Row],[kosten / jaar werkdagen]]</f>
        <v>33.630000000000003</v>
      </c>
    </row>
    <row r="166" spans="1:33" ht="15" customHeight="1">
      <c r="A166" s="129">
        <v>1</v>
      </c>
      <c r="B166" s="21" t="str">
        <f>VLOOKUP(Ruimtestaat[[#This Row],[Code]],Locaties[#All],2,FALSE)</f>
        <v>Groenlo</v>
      </c>
      <c r="C166" s="21" t="str">
        <f>VLOOKUP(Ruimtestaat[[#This Row],[Code]],Locaties[#All],4,FALSE)</f>
        <v>Deken Hooijmanssingel 1</v>
      </c>
      <c r="D166" s="241" t="str">
        <f>VLOOKUP(Ruimtestaat[[#This Row],[Code]],Locaties[#All],5,FALSE)</f>
        <v>7141 EA</v>
      </c>
      <c r="E166" s="241" t="str">
        <f>VLOOKUP(Ruimtestaat[[#This Row],[Code]],Locaties[#All],6,FALSE)</f>
        <v>Groenlo</v>
      </c>
      <c r="F166" s="195" t="s">
        <v>774</v>
      </c>
      <c r="G166" s="195">
        <v>1</v>
      </c>
      <c r="H166" s="195" t="s">
        <v>511</v>
      </c>
      <c r="I166" s="242" t="s">
        <v>449</v>
      </c>
      <c r="J166" s="195">
        <v>2</v>
      </c>
      <c r="K166" s="260" t="str">
        <f>VLOOKUP(Ruimtestaat[[#This Row],[Ruimte code]],Ruimtegroepen[#All],2,FALSE)</f>
        <v>Kantoren</v>
      </c>
      <c r="L166" s="241" t="s">
        <v>110</v>
      </c>
      <c r="M166" s="195" t="s">
        <v>133</v>
      </c>
      <c r="N166" s="197">
        <v>10.050000000000001</v>
      </c>
      <c r="O166" s="209"/>
      <c r="P166" s="241" t="str">
        <f>VLOOKUP(Ruimtestaat[[#This Row],[Ruimte code]],Ruimtegroepen[#All],4,FALSE)</f>
        <v>B  (Bureauruimte)</v>
      </c>
      <c r="Q166" s="210"/>
      <c r="R166" s="211">
        <v>40</v>
      </c>
      <c r="S166" s="211" t="s">
        <v>18</v>
      </c>
      <c r="T166" s="211">
        <f>IF(R166&gt;0,IF(RIGHT(Ruimtestaat[[#This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U166" s="211">
        <f>IF(T166&gt;0,VLOOKUP($J166,Ruimtegroepen[],3,FALSE)*VLOOKUP($L166,Vloersoorten[],3,FALSE)*VLOOKUP($S166,Frequenties[],3,FALSE)*VLOOKUP($A166,Locaties[],3,FALSE),0)</f>
        <v>100</v>
      </c>
      <c r="V166" s="211">
        <f>Ruimtestaat[[#This Row],[Uitvoeringen werkdagen]]*Ruimtestaat[[#This Row],[Oppervlak (netto)]]</f>
        <v>1206</v>
      </c>
      <c r="W166" s="257">
        <f>IF(U166&gt;0,Ruimtestaat[[#This Row],[Prest. (m2 /jaar) werkdagen]]/Ruimtestaat[[#This Row],[Norm (m2/uur) werkdagen]],0)</f>
        <v>12.06</v>
      </c>
      <c r="X166" s="258">
        <f>Ruimtestaat[[#This Row],[uren / jaar werkdagen]]*Tariefsopbouw!$D$38</f>
        <v>301.5</v>
      </c>
      <c r="Y166" s="33"/>
      <c r="Z166" s="33">
        <f>IF(Ruimtestaat[[#This Row],[Frequentie weekend]]&gt;0,VALUE(LEFT(Y166,1))*R166,0)</f>
        <v>0</v>
      </c>
      <c r="AA166" s="33">
        <f>IF($Z166&gt;0,VLOOKUP($J166,Ruimtegroepen[],3,FALSE)*VLOOKUP($L166,Vloersoorten[],3,FALSE)*VLOOKUP($Y166,Frequenties[],3,FALSE)*VLOOKUP(#REF!,Locaties[],3,FALSE),0)</f>
        <v>0</v>
      </c>
      <c r="AB166" s="33"/>
      <c r="AC166" s="33"/>
      <c r="AD166" s="33">
        <f>Ruimtestaat[[#This Row],[uren / jaar weekend]]*Tariefsopbouw!$D$40</f>
        <v>0</v>
      </c>
      <c r="AE166" s="88">
        <f>Ruimtestaat[[#This Row],[Prest. (m2 /jaar) weekend]]+Ruimtestaat[[#This Row],[Prest. (m2 /jaar) werkdagen]]</f>
        <v>1206</v>
      </c>
      <c r="AF166" s="88">
        <f>Ruimtestaat[[#This Row],[uren / jaar weekend]]+Ruimtestaat[[#This Row],[uren / jaar werkdagen]]</f>
        <v>12.06</v>
      </c>
      <c r="AG166" s="89">
        <f>Ruimtestaat[[#This Row],[kosten / jaar weekend]]+Ruimtestaat[[#This Row],[kosten / jaar werkdagen]]</f>
        <v>301.5</v>
      </c>
    </row>
    <row r="167" spans="1:33" ht="15" customHeight="1">
      <c r="A167" s="129">
        <v>1</v>
      </c>
      <c r="B167" s="21" t="str">
        <f>VLOOKUP(Ruimtestaat[[#This Row],[Code]],Locaties[#All],2,FALSE)</f>
        <v>Groenlo</v>
      </c>
      <c r="C167" s="21" t="str">
        <f>VLOOKUP(Ruimtestaat[[#This Row],[Code]],Locaties[#All],4,FALSE)</f>
        <v>Deken Hooijmanssingel 1</v>
      </c>
      <c r="D167" s="241" t="str">
        <f>VLOOKUP(Ruimtestaat[[#This Row],[Code]],Locaties[#All],5,FALSE)</f>
        <v>7141 EA</v>
      </c>
      <c r="E167" s="241" t="str">
        <f>VLOOKUP(Ruimtestaat[[#This Row],[Code]],Locaties[#All],6,FALSE)</f>
        <v>Groenlo</v>
      </c>
      <c r="F167" s="195" t="s">
        <v>774</v>
      </c>
      <c r="G167" s="195">
        <v>1</v>
      </c>
      <c r="H167" s="195" t="s">
        <v>512</v>
      </c>
      <c r="I167" s="242" t="s">
        <v>22</v>
      </c>
      <c r="J167" s="241">
        <v>5</v>
      </c>
      <c r="K167" s="260" t="str">
        <f>VLOOKUP(Ruimtestaat[[#This Row],[Ruimte code]],Ruimtegroepen[#All],2,FALSE)</f>
        <v>Sanitair</v>
      </c>
      <c r="L167" s="211" t="s">
        <v>111</v>
      </c>
      <c r="M167" s="195" t="s">
        <v>777</v>
      </c>
      <c r="N167" s="197">
        <v>7.48</v>
      </c>
      <c r="O167" s="209"/>
      <c r="P167" s="241" t="str">
        <f>VLOOKUP(Ruimtestaat[[#This Row],[Ruimte code]],Ruimtegroepen[#All],4,FALSE)</f>
        <v>S  (Sanitair)</v>
      </c>
      <c r="Q167" s="210"/>
      <c r="R167" s="211">
        <v>40</v>
      </c>
      <c r="S167" s="211" t="s">
        <v>2</v>
      </c>
      <c r="T167" s="211">
        <f>IF(R167&gt;0,IF(RIGHT(Ruimtestaat[[#This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167" s="211">
        <f>IF(T167&gt;0,VLOOKUP($J167,Ruimtegroepen[],3,FALSE)*VLOOKUP($L167,Vloersoorten[],3,FALSE)*VLOOKUP($S167,Frequenties[],3,FALSE)*VLOOKUP($A167,Locaties[],3,FALSE),0)</f>
        <v>100</v>
      </c>
      <c r="V167" s="211">
        <f>Ruimtestaat[[#This Row],[Uitvoeringen werkdagen]]*Ruimtestaat[[#This Row],[Oppervlak (netto)]]</f>
        <v>1496</v>
      </c>
      <c r="W167" s="257">
        <f>IF(U167&gt;0,Ruimtestaat[[#This Row],[Prest. (m2 /jaar) werkdagen]]/Ruimtestaat[[#This Row],[Norm (m2/uur) werkdagen]],0)</f>
        <v>14.96</v>
      </c>
      <c r="X167" s="258">
        <f>Ruimtestaat[[#This Row],[uren / jaar werkdagen]]*Tariefsopbouw!$D$38</f>
        <v>374</v>
      </c>
      <c r="Y167" s="33"/>
      <c r="Z167" s="33">
        <f>IF(Ruimtestaat[[#This Row],[Frequentie weekend]]&gt;0,VALUE(LEFT(Y167,1))*R167,0)</f>
        <v>0</v>
      </c>
      <c r="AA167" s="33">
        <f>IF($Z167&gt;0,VLOOKUP($J167,Ruimtegroepen[],3,FALSE)*VLOOKUP($L167,Vloersoorten[],3,FALSE)*VLOOKUP($Y167,Frequenties[],3,FALSE)*VLOOKUP(#REF!,Locaties[],3,FALSE),0)</f>
        <v>0</v>
      </c>
      <c r="AB167" s="33"/>
      <c r="AC167" s="33"/>
      <c r="AD167" s="33">
        <f>Ruimtestaat[[#This Row],[uren / jaar weekend]]*Tariefsopbouw!$D$40</f>
        <v>0</v>
      </c>
      <c r="AE167" s="88">
        <f>Ruimtestaat[[#This Row],[Prest. (m2 /jaar) weekend]]+Ruimtestaat[[#This Row],[Prest. (m2 /jaar) werkdagen]]</f>
        <v>1496</v>
      </c>
      <c r="AF167" s="88">
        <f>Ruimtestaat[[#This Row],[uren / jaar weekend]]+Ruimtestaat[[#This Row],[uren / jaar werkdagen]]</f>
        <v>14.96</v>
      </c>
      <c r="AG167" s="89">
        <f>Ruimtestaat[[#This Row],[kosten / jaar weekend]]+Ruimtestaat[[#This Row],[kosten / jaar werkdagen]]</f>
        <v>374</v>
      </c>
    </row>
    <row r="168" spans="1:33" ht="15" customHeight="1">
      <c r="A168" s="129">
        <v>1</v>
      </c>
      <c r="B168" s="21" t="str">
        <f>VLOOKUP(Ruimtestaat[[#This Row],[Code]],Locaties[#All],2,FALSE)</f>
        <v>Groenlo</v>
      </c>
      <c r="C168" s="21" t="str">
        <f>VLOOKUP(Ruimtestaat[[#This Row],[Code]],Locaties[#All],4,FALSE)</f>
        <v>Deken Hooijmanssingel 1</v>
      </c>
      <c r="D168" s="241" t="str">
        <f>VLOOKUP(Ruimtestaat[[#This Row],[Code]],Locaties[#All],5,FALSE)</f>
        <v>7141 EA</v>
      </c>
      <c r="E168" s="241" t="str">
        <f>VLOOKUP(Ruimtestaat[[#This Row],[Code]],Locaties[#All],6,FALSE)</f>
        <v>Groenlo</v>
      </c>
      <c r="F168" s="195" t="s">
        <v>774</v>
      </c>
      <c r="G168" s="195">
        <v>1</v>
      </c>
      <c r="H168" s="195" t="s">
        <v>513</v>
      </c>
      <c r="I168" s="242" t="s">
        <v>22</v>
      </c>
      <c r="J168" s="241">
        <v>5</v>
      </c>
      <c r="K168" s="260" t="str">
        <f>VLOOKUP(Ruimtestaat[[#This Row],[Ruimte code]],Ruimtegroepen[#All],2,FALSE)</f>
        <v>Sanitair</v>
      </c>
      <c r="L168" s="211" t="s">
        <v>111</v>
      </c>
      <c r="M168" s="195" t="s">
        <v>777</v>
      </c>
      <c r="N168" s="197">
        <v>7.45</v>
      </c>
      <c r="O168" s="209"/>
      <c r="P168" s="241" t="str">
        <f>VLOOKUP(Ruimtestaat[[#This Row],[Ruimte code]],Ruimtegroepen[#All],4,FALSE)</f>
        <v>S  (Sanitair)</v>
      </c>
      <c r="Q168" s="210"/>
      <c r="R168" s="211">
        <v>40</v>
      </c>
      <c r="S168" s="211" t="s">
        <v>2</v>
      </c>
      <c r="T168" s="211">
        <f>IF(R168&gt;0,IF(RIGHT(Ruimtestaat[[#This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168" s="211">
        <f>IF(T168&gt;0,VLOOKUP($J168,Ruimtegroepen[],3,FALSE)*VLOOKUP($L168,Vloersoorten[],3,FALSE)*VLOOKUP($S168,Frequenties[],3,FALSE)*VLOOKUP($A168,Locaties[],3,FALSE),0)</f>
        <v>100</v>
      </c>
      <c r="V168" s="211">
        <f>Ruimtestaat[[#This Row],[Uitvoeringen werkdagen]]*Ruimtestaat[[#This Row],[Oppervlak (netto)]]</f>
        <v>1490</v>
      </c>
      <c r="W168" s="257">
        <f>IF(U168&gt;0,Ruimtestaat[[#This Row],[Prest. (m2 /jaar) werkdagen]]/Ruimtestaat[[#This Row],[Norm (m2/uur) werkdagen]],0)</f>
        <v>14.9</v>
      </c>
      <c r="X168" s="258">
        <f>Ruimtestaat[[#This Row],[uren / jaar werkdagen]]*Tariefsopbouw!$D$38</f>
        <v>372.5</v>
      </c>
      <c r="Y168" s="33"/>
      <c r="Z168" s="33">
        <f>IF(Ruimtestaat[[#This Row],[Frequentie weekend]]&gt;0,VALUE(LEFT(Y168,1))*R168,0)</f>
        <v>0</v>
      </c>
      <c r="AA168" s="33">
        <f>IF($Z168&gt;0,VLOOKUP($J168,Ruimtegroepen[],3,FALSE)*VLOOKUP($L168,Vloersoorten[],3,FALSE)*VLOOKUP($Y168,Frequenties[],3,FALSE)*VLOOKUP(#REF!,Locaties[],3,FALSE),0)</f>
        <v>0</v>
      </c>
      <c r="AB168" s="33"/>
      <c r="AC168" s="33"/>
      <c r="AD168" s="33">
        <f>Ruimtestaat[[#This Row],[uren / jaar weekend]]*Tariefsopbouw!$D$40</f>
        <v>0</v>
      </c>
      <c r="AE168" s="88">
        <f>Ruimtestaat[[#This Row],[Prest. (m2 /jaar) weekend]]+Ruimtestaat[[#This Row],[Prest. (m2 /jaar) werkdagen]]</f>
        <v>1490</v>
      </c>
      <c r="AF168" s="88">
        <f>Ruimtestaat[[#This Row],[uren / jaar weekend]]+Ruimtestaat[[#This Row],[uren / jaar werkdagen]]</f>
        <v>14.9</v>
      </c>
      <c r="AG168" s="89">
        <f>Ruimtestaat[[#This Row],[kosten / jaar weekend]]+Ruimtestaat[[#This Row],[kosten / jaar werkdagen]]</f>
        <v>372.5</v>
      </c>
    </row>
    <row r="169" spans="1:33" ht="15" customHeight="1">
      <c r="A169" s="129">
        <v>1</v>
      </c>
      <c r="B169" s="21" t="str">
        <f>VLOOKUP(Ruimtestaat[[#This Row],[Code]],Locaties[#All],2,FALSE)</f>
        <v>Groenlo</v>
      </c>
      <c r="C169" s="21" t="str">
        <f>VLOOKUP(Ruimtestaat[[#This Row],[Code]],Locaties[#All],4,FALSE)</f>
        <v>Deken Hooijmanssingel 1</v>
      </c>
      <c r="D169" s="241" t="str">
        <f>VLOOKUP(Ruimtestaat[[#This Row],[Code]],Locaties[#All],5,FALSE)</f>
        <v>7141 EA</v>
      </c>
      <c r="E169" s="241" t="str">
        <f>VLOOKUP(Ruimtestaat[[#This Row],[Code]],Locaties[#All],6,FALSE)</f>
        <v>Groenlo</v>
      </c>
      <c r="F169" s="195" t="s">
        <v>774</v>
      </c>
      <c r="G169" s="195">
        <v>1</v>
      </c>
      <c r="H169" s="195" t="s">
        <v>514</v>
      </c>
      <c r="I169" s="242" t="s">
        <v>22</v>
      </c>
      <c r="J169" s="195">
        <v>5</v>
      </c>
      <c r="K169" s="260" t="str">
        <f>VLOOKUP(Ruimtestaat[[#This Row],[Ruimte code]],Ruimtegroepen[#All],2,FALSE)</f>
        <v>Sanitair</v>
      </c>
      <c r="L169" s="211" t="s">
        <v>111</v>
      </c>
      <c r="M169" s="195" t="s">
        <v>777</v>
      </c>
      <c r="N169" s="197">
        <v>15.26</v>
      </c>
      <c r="O169" s="209"/>
      <c r="P169" s="241" t="str">
        <f>VLOOKUP(Ruimtestaat[[#This Row],[Ruimte code]],Ruimtegroepen[#All],4,FALSE)</f>
        <v>S  (Sanitair)</v>
      </c>
      <c r="Q169" s="210"/>
      <c r="R169" s="211">
        <v>40</v>
      </c>
      <c r="S169" s="211" t="s">
        <v>2</v>
      </c>
      <c r="T169" s="211">
        <f>IF(R169&gt;0,IF(RIGHT(Ruimtestaat[[#This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169" s="211">
        <f>IF(T169&gt;0,VLOOKUP($J169,Ruimtegroepen[],3,FALSE)*VLOOKUP($L169,Vloersoorten[],3,FALSE)*VLOOKUP($S169,Frequenties[],3,FALSE)*VLOOKUP($A169,Locaties[],3,FALSE),0)</f>
        <v>100</v>
      </c>
      <c r="V169" s="211">
        <f>Ruimtestaat[[#This Row],[Uitvoeringen werkdagen]]*Ruimtestaat[[#This Row],[Oppervlak (netto)]]</f>
        <v>3052</v>
      </c>
      <c r="W169" s="257">
        <f>IF(U169&gt;0,Ruimtestaat[[#This Row],[Prest. (m2 /jaar) werkdagen]]/Ruimtestaat[[#This Row],[Norm (m2/uur) werkdagen]],0)</f>
        <v>30.52</v>
      </c>
      <c r="X169" s="258">
        <f>Ruimtestaat[[#This Row],[uren / jaar werkdagen]]*Tariefsopbouw!$D$38</f>
        <v>763</v>
      </c>
      <c r="Y169" s="33"/>
      <c r="Z169" s="33">
        <f>IF(Ruimtestaat[[#This Row],[Frequentie weekend]]&gt;0,VALUE(LEFT(Y169,1))*R169,0)</f>
        <v>0</v>
      </c>
      <c r="AA169" s="33">
        <f>IF($Z169&gt;0,VLOOKUP($J169,Ruimtegroepen[],3,FALSE)*VLOOKUP($L169,Vloersoorten[],3,FALSE)*VLOOKUP($Y169,Frequenties[],3,FALSE)*VLOOKUP(#REF!,Locaties[],3,FALSE),0)</f>
        <v>0</v>
      </c>
      <c r="AB169" s="33"/>
      <c r="AC169" s="33"/>
      <c r="AD169" s="33">
        <f>Ruimtestaat[[#This Row],[uren / jaar weekend]]*Tariefsopbouw!$D$40</f>
        <v>0</v>
      </c>
      <c r="AE169" s="88">
        <f>Ruimtestaat[[#This Row],[Prest. (m2 /jaar) weekend]]+Ruimtestaat[[#This Row],[Prest. (m2 /jaar) werkdagen]]</f>
        <v>3052</v>
      </c>
      <c r="AF169" s="88">
        <f>Ruimtestaat[[#This Row],[uren / jaar weekend]]+Ruimtestaat[[#This Row],[uren / jaar werkdagen]]</f>
        <v>30.52</v>
      </c>
      <c r="AG169" s="89">
        <f>Ruimtestaat[[#This Row],[kosten / jaar weekend]]+Ruimtestaat[[#This Row],[kosten / jaar werkdagen]]</f>
        <v>763</v>
      </c>
    </row>
    <row r="170" spans="1:33" ht="15" customHeight="1">
      <c r="A170" s="129">
        <v>1</v>
      </c>
      <c r="B170" s="21" t="str">
        <f>VLOOKUP(Ruimtestaat[[#This Row],[Code]],Locaties[#All],2,FALSE)</f>
        <v>Groenlo</v>
      </c>
      <c r="C170" s="21" t="str">
        <f>VLOOKUP(Ruimtestaat[[#This Row],[Code]],Locaties[#All],4,FALSE)</f>
        <v>Deken Hooijmanssingel 1</v>
      </c>
      <c r="D170" s="241" t="str">
        <f>VLOOKUP(Ruimtestaat[[#This Row],[Code]],Locaties[#All],5,FALSE)</f>
        <v>7141 EA</v>
      </c>
      <c r="E170" s="241" t="str">
        <f>VLOOKUP(Ruimtestaat[[#This Row],[Code]],Locaties[#All],6,FALSE)</f>
        <v>Groenlo</v>
      </c>
      <c r="F170" s="195" t="s">
        <v>774</v>
      </c>
      <c r="G170" s="195">
        <v>1</v>
      </c>
      <c r="H170" s="195" t="s">
        <v>515</v>
      </c>
      <c r="I170" s="242" t="s">
        <v>639</v>
      </c>
      <c r="J170" s="195">
        <v>6</v>
      </c>
      <c r="K170" s="260" t="str">
        <f>VLOOKUP(Ruimtestaat[[#This Row],[Ruimte code]],Ruimtegroepen[#All],2,FALSE)</f>
        <v>Gangen/hallen</v>
      </c>
      <c r="L170" s="211" t="s">
        <v>111</v>
      </c>
      <c r="M170" s="195" t="s">
        <v>693</v>
      </c>
      <c r="N170" s="197">
        <v>198.48</v>
      </c>
      <c r="O170" s="209"/>
      <c r="P170" s="241" t="str">
        <f>VLOOKUP(Ruimtestaat[[#This Row],[Ruimte code]],Ruimtegroepen[#All],4,FALSE)</f>
        <v>V  (Verkeersruimte)</v>
      </c>
      <c r="Q170" s="210"/>
      <c r="R170" s="211">
        <v>40</v>
      </c>
      <c r="S170" s="211" t="s">
        <v>2</v>
      </c>
      <c r="T170" s="211">
        <f>IF(R170&gt;0,IF(RIGHT(Ruimtestaat[[#This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170" s="211">
        <f>IF(T170&gt;0,VLOOKUP($J170,Ruimtegroepen[],3,FALSE)*VLOOKUP($L170,Vloersoorten[],3,FALSE)*VLOOKUP($S170,Frequenties[],3,FALSE)*VLOOKUP($A170,Locaties[],3,FALSE),0)</f>
        <v>100</v>
      </c>
      <c r="V170" s="211">
        <f>Ruimtestaat[[#This Row],[Uitvoeringen werkdagen]]*Ruimtestaat[[#This Row],[Oppervlak (netto)]]</f>
        <v>39696</v>
      </c>
      <c r="W170" s="257">
        <f>IF(U170&gt;0,Ruimtestaat[[#This Row],[Prest. (m2 /jaar) werkdagen]]/Ruimtestaat[[#This Row],[Norm (m2/uur) werkdagen]],0)</f>
        <v>396.96</v>
      </c>
      <c r="X170" s="258">
        <f>Ruimtestaat[[#This Row],[uren / jaar werkdagen]]*Tariefsopbouw!$D$38</f>
        <v>9924</v>
      </c>
      <c r="Y170" s="33"/>
      <c r="Z170" s="33">
        <f>IF(Ruimtestaat[[#This Row],[Frequentie weekend]]&gt;0,VALUE(LEFT(Y170,1))*R170,0)</f>
        <v>0</v>
      </c>
      <c r="AA170" s="33">
        <f>IF($Z170&gt;0,VLOOKUP($J170,Ruimtegroepen[],3,FALSE)*VLOOKUP($L170,Vloersoorten[],3,FALSE)*VLOOKUP($Y170,Frequenties[],3,FALSE)*VLOOKUP(#REF!,Locaties[],3,FALSE),0)</f>
        <v>0</v>
      </c>
      <c r="AB170" s="33"/>
      <c r="AC170" s="33"/>
      <c r="AD170" s="33">
        <f>Ruimtestaat[[#This Row],[uren / jaar weekend]]*Tariefsopbouw!$D$40</f>
        <v>0</v>
      </c>
      <c r="AE170" s="88">
        <f>Ruimtestaat[[#This Row],[Prest. (m2 /jaar) weekend]]+Ruimtestaat[[#This Row],[Prest. (m2 /jaar) werkdagen]]</f>
        <v>39696</v>
      </c>
      <c r="AF170" s="88">
        <f>Ruimtestaat[[#This Row],[uren / jaar weekend]]+Ruimtestaat[[#This Row],[uren / jaar werkdagen]]</f>
        <v>396.96</v>
      </c>
      <c r="AG170" s="89">
        <f>Ruimtestaat[[#This Row],[kosten / jaar weekend]]+Ruimtestaat[[#This Row],[kosten / jaar werkdagen]]</f>
        <v>9924</v>
      </c>
    </row>
    <row r="171" spans="1:33" ht="15" customHeight="1">
      <c r="A171" s="129">
        <v>1</v>
      </c>
      <c r="B171" s="21" t="str">
        <f>VLOOKUP(Ruimtestaat[[#This Row],[Code]],Locaties[#All],2,FALSE)</f>
        <v>Groenlo</v>
      </c>
      <c r="C171" s="21" t="str">
        <f>VLOOKUP(Ruimtestaat[[#This Row],[Code]],Locaties[#All],4,FALSE)</f>
        <v>Deken Hooijmanssingel 1</v>
      </c>
      <c r="D171" s="241" t="str">
        <f>VLOOKUP(Ruimtestaat[[#This Row],[Code]],Locaties[#All],5,FALSE)</f>
        <v>7141 EA</v>
      </c>
      <c r="E171" s="241" t="str">
        <f>VLOOKUP(Ruimtestaat[[#This Row],[Code]],Locaties[#All],6,FALSE)</f>
        <v>Groenlo</v>
      </c>
      <c r="F171" s="195" t="s">
        <v>774</v>
      </c>
      <c r="G171" s="195">
        <v>1</v>
      </c>
      <c r="H171" s="195" t="s">
        <v>516</v>
      </c>
      <c r="I171" s="242" t="s">
        <v>639</v>
      </c>
      <c r="J171" s="195">
        <v>10</v>
      </c>
      <c r="K171" s="260" t="str">
        <f>VLOOKUP(Ruimtestaat[[#This Row],[Ruimte code]],Ruimtegroepen[#All],2,FALSE)</f>
        <v>Trappenhuizen/lift</v>
      </c>
      <c r="L171" s="211" t="s">
        <v>111</v>
      </c>
      <c r="M171" s="195" t="s">
        <v>779</v>
      </c>
      <c r="N171" s="197">
        <v>13.52</v>
      </c>
      <c r="O171" s="209"/>
      <c r="P171" s="241" t="str">
        <f>VLOOKUP(Ruimtestaat[[#This Row],[Ruimte code]],Ruimtegroepen[#All],4,FALSE)</f>
        <v>V  (Verkeersruimte)</v>
      </c>
      <c r="Q171" s="210"/>
      <c r="R171" s="211">
        <v>40</v>
      </c>
      <c r="S171" s="211" t="s">
        <v>2</v>
      </c>
      <c r="T171" s="211">
        <f>IF(R171&gt;0,IF(RIGHT(Ruimtestaat[[#This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171" s="211">
        <f>IF(T171&gt;0,VLOOKUP($J171,Ruimtegroepen[],3,FALSE)*VLOOKUP($L171,Vloersoorten[],3,FALSE)*VLOOKUP($S171,Frequenties[],3,FALSE)*VLOOKUP($A171,Locaties[],3,FALSE),0)</f>
        <v>100</v>
      </c>
      <c r="V171" s="211">
        <f>Ruimtestaat[[#This Row],[Uitvoeringen werkdagen]]*Ruimtestaat[[#This Row],[Oppervlak (netto)]]</f>
        <v>2704</v>
      </c>
      <c r="W171" s="257">
        <f>IF(U171&gt;0,Ruimtestaat[[#This Row],[Prest. (m2 /jaar) werkdagen]]/Ruimtestaat[[#This Row],[Norm (m2/uur) werkdagen]],0)</f>
        <v>27.04</v>
      </c>
      <c r="X171" s="258">
        <f>Ruimtestaat[[#This Row],[uren / jaar werkdagen]]*Tariefsopbouw!$D$38</f>
        <v>676</v>
      </c>
      <c r="Y171" s="33"/>
      <c r="Z171" s="33">
        <f>IF(Ruimtestaat[[#This Row],[Frequentie weekend]]&gt;0,VALUE(LEFT(Y171,1))*R171,0)</f>
        <v>0</v>
      </c>
      <c r="AA171" s="33">
        <f>IF($Z171&gt;0,VLOOKUP($J171,Ruimtegroepen[],3,FALSE)*VLOOKUP($L171,Vloersoorten[],3,FALSE)*VLOOKUP($Y171,Frequenties[],3,FALSE)*VLOOKUP(#REF!,Locaties[],3,FALSE),0)</f>
        <v>0</v>
      </c>
      <c r="AB171" s="33"/>
      <c r="AC171" s="33"/>
      <c r="AD171" s="33">
        <f>Ruimtestaat[[#This Row],[uren / jaar weekend]]*Tariefsopbouw!$D$40</f>
        <v>0</v>
      </c>
      <c r="AE171" s="88">
        <f>Ruimtestaat[[#This Row],[Prest. (m2 /jaar) weekend]]+Ruimtestaat[[#This Row],[Prest. (m2 /jaar) werkdagen]]</f>
        <v>2704</v>
      </c>
      <c r="AF171" s="88">
        <f>Ruimtestaat[[#This Row],[uren / jaar weekend]]+Ruimtestaat[[#This Row],[uren / jaar werkdagen]]</f>
        <v>27.04</v>
      </c>
      <c r="AG171" s="89">
        <f>Ruimtestaat[[#This Row],[kosten / jaar weekend]]+Ruimtestaat[[#This Row],[kosten / jaar werkdagen]]</f>
        <v>676</v>
      </c>
    </row>
    <row r="172" spans="1:33" ht="15" customHeight="1">
      <c r="A172" s="129">
        <v>1</v>
      </c>
      <c r="B172" s="21" t="str">
        <f>VLOOKUP(Ruimtestaat[[#This Row],[Code]],Locaties[#All],2,FALSE)</f>
        <v>Groenlo</v>
      </c>
      <c r="C172" s="21" t="str">
        <f>VLOOKUP(Ruimtestaat[[#This Row],[Code]],Locaties[#All],4,FALSE)</f>
        <v>Deken Hooijmanssingel 1</v>
      </c>
      <c r="D172" s="241" t="str">
        <f>VLOOKUP(Ruimtestaat[[#This Row],[Code]],Locaties[#All],5,FALSE)</f>
        <v>7141 EA</v>
      </c>
      <c r="E172" s="241" t="str">
        <f>VLOOKUP(Ruimtestaat[[#This Row],[Code]],Locaties[#All],6,FALSE)</f>
        <v>Groenlo</v>
      </c>
      <c r="F172" s="195" t="s">
        <v>774</v>
      </c>
      <c r="G172" s="195">
        <v>1</v>
      </c>
      <c r="H172" s="195" t="s">
        <v>517</v>
      </c>
      <c r="I172" s="242" t="s">
        <v>395</v>
      </c>
      <c r="J172" s="195">
        <v>16</v>
      </c>
      <c r="K172" s="260" t="str">
        <f>VLOOKUP(Ruimtestaat[[#This Row],[Ruimte code]],Ruimtegroepen[#All],2,FALSE)</f>
        <v>Lokaal</v>
      </c>
      <c r="L172" s="211" t="s">
        <v>110</v>
      </c>
      <c r="M172" s="195" t="s">
        <v>133</v>
      </c>
      <c r="N172" s="197">
        <v>200.5</v>
      </c>
      <c r="O172" s="209"/>
      <c r="P172" s="241" t="str">
        <f>VLOOKUP(Ruimtestaat[[#This Row],[Ruimte code]],Ruimtegroepen[#All],4,FALSE)</f>
        <v>L  (Lesruimte)</v>
      </c>
      <c r="Q172" s="210"/>
      <c r="R172" s="211">
        <v>40</v>
      </c>
      <c r="S172" s="211" t="s">
        <v>2</v>
      </c>
      <c r="T172" s="211">
        <f>IF(R172&gt;0,IF(RIGHT(Ruimtestaat[[#This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172" s="211">
        <f>IF(T172&gt;0,VLOOKUP($J172,Ruimtegroepen[],3,FALSE)*VLOOKUP($L172,Vloersoorten[],3,FALSE)*VLOOKUP($S172,Frequenties[],3,FALSE)*VLOOKUP($A172,Locaties[],3,FALSE),0)</f>
        <v>100</v>
      </c>
      <c r="V172" s="211">
        <f>Ruimtestaat[[#This Row],[Uitvoeringen werkdagen]]*Ruimtestaat[[#This Row],[Oppervlak (netto)]]</f>
        <v>40100</v>
      </c>
      <c r="W172" s="257">
        <f>IF(U172&gt;0,Ruimtestaat[[#This Row],[Prest. (m2 /jaar) werkdagen]]/Ruimtestaat[[#This Row],[Norm (m2/uur) werkdagen]],0)</f>
        <v>401</v>
      </c>
      <c r="X172" s="258">
        <f>Ruimtestaat[[#This Row],[uren / jaar werkdagen]]*Tariefsopbouw!$D$38</f>
        <v>10025</v>
      </c>
      <c r="Y172" s="33"/>
      <c r="Z172" s="33">
        <f>IF(Ruimtestaat[[#This Row],[Frequentie weekend]]&gt;0,VALUE(LEFT(Y172,1))*R172,0)</f>
        <v>0</v>
      </c>
      <c r="AA172" s="33">
        <f>IF($Z172&gt;0,VLOOKUP($J172,Ruimtegroepen[],3,FALSE)*VLOOKUP($L172,Vloersoorten[],3,FALSE)*VLOOKUP($Y172,Frequenties[],3,FALSE)*VLOOKUP(#REF!,Locaties[],3,FALSE),0)</f>
        <v>0</v>
      </c>
      <c r="AB172" s="33"/>
      <c r="AC172" s="33"/>
      <c r="AD172" s="33">
        <f>Ruimtestaat[[#This Row],[uren / jaar weekend]]*Tariefsopbouw!$D$40</f>
        <v>0</v>
      </c>
      <c r="AE172" s="88">
        <f>Ruimtestaat[[#This Row],[Prest. (m2 /jaar) weekend]]+Ruimtestaat[[#This Row],[Prest. (m2 /jaar) werkdagen]]</f>
        <v>40100</v>
      </c>
      <c r="AF172" s="88">
        <f>Ruimtestaat[[#This Row],[uren / jaar weekend]]+Ruimtestaat[[#This Row],[uren / jaar werkdagen]]</f>
        <v>401</v>
      </c>
      <c r="AG172" s="89">
        <f>Ruimtestaat[[#This Row],[kosten / jaar weekend]]+Ruimtestaat[[#This Row],[kosten / jaar werkdagen]]</f>
        <v>10025</v>
      </c>
    </row>
    <row r="173" spans="1:33" ht="15" customHeight="1">
      <c r="A173" s="129">
        <v>1</v>
      </c>
      <c r="B173" s="21" t="str">
        <f>VLOOKUP(Ruimtestaat[[#This Row],[Code]],Locaties[#All],2,FALSE)</f>
        <v>Groenlo</v>
      </c>
      <c r="C173" s="21" t="str">
        <f>VLOOKUP(Ruimtestaat[[#This Row],[Code]],Locaties[#All],4,FALSE)</f>
        <v>Deken Hooijmanssingel 1</v>
      </c>
      <c r="D173" s="241" t="str">
        <f>VLOOKUP(Ruimtestaat[[#This Row],[Code]],Locaties[#All],5,FALSE)</f>
        <v>7141 EA</v>
      </c>
      <c r="E173" s="241" t="str">
        <f>VLOOKUP(Ruimtestaat[[#This Row],[Code]],Locaties[#All],6,FALSE)</f>
        <v>Groenlo</v>
      </c>
      <c r="F173" s="195" t="s">
        <v>774</v>
      </c>
      <c r="G173" s="195">
        <v>1</v>
      </c>
      <c r="H173" s="195" t="s">
        <v>518</v>
      </c>
      <c r="I173" s="242" t="s">
        <v>22</v>
      </c>
      <c r="J173" s="195">
        <v>5</v>
      </c>
      <c r="K173" s="260" t="str">
        <f>VLOOKUP(Ruimtestaat[[#This Row],[Ruimte code]],Ruimtegroepen[#All],2,FALSE)</f>
        <v>Sanitair</v>
      </c>
      <c r="L173" s="211" t="s">
        <v>111</v>
      </c>
      <c r="M173" s="195" t="s">
        <v>777</v>
      </c>
      <c r="N173" s="197">
        <v>19.3</v>
      </c>
      <c r="O173" s="209"/>
      <c r="P173" s="241" t="str">
        <f>VLOOKUP(Ruimtestaat[[#This Row],[Ruimte code]],Ruimtegroepen[#All],4,FALSE)</f>
        <v>S  (Sanitair)</v>
      </c>
      <c r="Q173" s="210"/>
      <c r="R173" s="211">
        <v>40</v>
      </c>
      <c r="S173" s="211" t="s">
        <v>2</v>
      </c>
      <c r="T173" s="211">
        <f>IF(R173&gt;0,IF(RIGHT(Ruimtestaat[[#This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173" s="211">
        <f>IF(T173&gt;0,VLOOKUP($J173,Ruimtegroepen[],3,FALSE)*VLOOKUP($L173,Vloersoorten[],3,FALSE)*VLOOKUP($S173,Frequenties[],3,FALSE)*VLOOKUP($A173,Locaties[],3,FALSE),0)</f>
        <v>100</v>
      </c>
      <c r="V173" s="211">
        <f>Ruimtestaat[[#This Row],[Uitvoeringen werkdagen]]*Ruimtestaat[[#This Row],[Oppervlak (netto)]]</f>
        <v>3860</v>
      </c>
      <c r="W173" s="257">
        <f>IF(U173&gt;0,Ruimtestaat[[#This Row],[Prest. (m2 /jaar) werkdagen]]/Ruimtestaat[[#This Row],[Norm (m2/uur) werkdagen]],0)</f>
        <v>38.6</v>
      </c>
      <c r="X173" s="258">
        <f>Ruimtestaat[[#This Row],[uren / jaar werkdagen]]*Tariefsopbouw!$D$38</f>
        <v>965</v>
      </c>
      <c r="Y173" s="33"/>
      <c r="Z173" s="33">
        <f>IF(Ruimtestaat[[#This Row],[Frequentie weekend]]&gt;0,VALUE(LEFT(Y173,1))*R173,0)</f>
        <v>0</v>
      </c>
      <c r="AA173" s="33">
        <f>IF($Z173&gt;0,VLOOKUP($J173,Ruimtegroepen[],3,FALSE)*VLOOKUP($L173,Vloersoorten[],3,FALSE)*VLOOKUP($Y173,Frequenties[],3,FALSE)*VLOOKUP(#REF!,Locaties[],3,FALSE),0)</f>
        <v>0</v>
      </c>
      <c r="AB173" s="33"/>
      <c r="AC173" s="33"/>
      <c r="AD173" s="33">
        <f>Ruimtestaat[[#This Row],[uren / jaar weekend]]*Tariefsopbouw!$D$40</f>
        <v>0</v>
      </c>
      <c r="AE173" s="88">
        <f>Ruimtestaat[[#This Row],[Prest. (m2 /jaar) weekend]]+Ruimtestaat[[#This Row],[Prest. (m2 /jaar) werkdagen]]</f>
        <v>3860</v>
      </c>
      <c r="AF173" s="88">
        <f>Ruimtestaat[[#This Row],[uren / jaar weekend]]+Ruimtestaat[[#This Row],[uren / jaar werkdagen]]</f>
        <v>38.6</v>
      </c>
      <c r="AG173" s="89">
        <f>Ruimtestaat[[#This Row],[kosten / jaar weekend]]+Ruimtestaat[[#This Row],[kosten / jaar werkdagen]]</f>
        <v>965</v>
      </c>
    </row>
    <row r="174" spans="1:33" ht="15" customHeight="1">
      <c r="A174" s="129">
        <v>1</v>
      </c>
      <c r="B174" s="21" t="str">
        <f>VLOOKUP(Ruimtestaat[[#This Row],[Code]],Locaties[#All],2,FALSE)</f>
        <v>Groenlo</v>
      </c>
      <c r="C174" s="21" t="str">
        <f>VLOOKUP(Ruimtestaat[[#This Row],[Code]],Locaties[#All],4,FALSE)</f>
        <v>Deken Hooijmanssingel 1</v>
      </c>
      <c r="D174" s="241" t="str">
        <f>VLOOKUP(Ruimtestaat[[#This Row],[Code]],Locaties[#All],5,FALSE)</f>
        <v>7141 EA</v>
      </c>
      <c r="E174" s="241" t="str">
        <f>VLOOKUP(Ruimtestaat[[#This Row],[Code]],Locaties[#All],6,FALSE)</f>
        <v>Groenlo</v>
      </c>
      <c r="F174" s="195" t="s">
        <v>774</v>
      </c>
      <c r="G174" s="195">
        <v>1</v>
      </c>
      <c r="H174" s="195" t="s">
        <v>519</v>
      </c>
      <c r="I174" s="242" t="s">
        <v>395</v>
      </c>
      <c r="J174" s="195">
        <v>16</v>
      </c>
      <c r="K174" s="260" t="str">
        <f>VLOOKUP(Ruimtestaat[[#This Row],[Ruimte code]],Ruimtegroepen[#All],2,FALSE)</f>
        <v>Lokaal</v>
      </c>
      <c r="L174" s="211" t="s">
        <v>110</v>
      </c>
      <c r="M174" s="195" t="s">
        <v>133</v>
      </c>
      <c r="N174" s="197">
        <v>63.52</v>
      </c>
      <c r="O174" s="209"/>
      <c r="P174" s="241" t="str">
        <f>VLOOKUP(Ruimtestaat[[#This Row],[Ruimte code]],Ruimtegroepen[#All],4,FALSE)</f>
        <v>L  (Lesruimte)</v>
      </c>
      <c r="Q174" s="210"/>
      <c r="R174" s="211">
        <v>40</v>
      </c>
      <c r="S174" s="211" t="s">
        <v>2</v>
      </c>
      <c r="T174" s="211">
        <f>IF(R174&gt;0,IF(RIGHT(Ruimtestaat[[#This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174" s="211">
        <f>IF(T174&gt;0,VLOOKUP($J174,Ruimtegroepen[],3,FALSE)*VLOOKUP($L174,Vloersoorten[],3,FALSE)*VLOOKUP($S174,Frequenties[],3,FALSE)*VLOOKUP($A174,Locaties[],3,FALSE),0)</f>
        <v>100</v>
      </c>
      <c r="V174" s="211">
        <f>Ruimtestaat[[#This Row],[Uitvoeringen werkdagen]]*Ruimtestaat[[#This Row],[Oppervlak (netto)]]</f>
        <v>12704</v>
      </c>
      <c r="W174" s="257">
        <f>IF(U174&gt;0,Ruimtestaat[[#This Row],[Prest. (m2 /jaar) werkdagen]]/Ruimtestaat[[#This Row],[Norm (m2/uur) werkdagen]],0)</f>
        <v>127.04</v>
      </c>
      <c r="X174" s="258">
        <f>Ruimtestaat[[#This Row],[uren / jaar werkdagen]]*Tariefsopbouw!$D$38</f>
        <v>3176</v>
      </c>
      <c r="Y174" s="33"/>
      <c r="Z174" s="33">
        <f>IF(Ruimtestaat[[#This Row],[Frequentie weekend]]&gt;0,VALUE(LEFT(Y174,1))*R174,0)</f>
        <v>0</v>
      </c>
      <c r="AA174" s="33">
        <f>IF($Z174&gt;0,VLOOKUP($J174,Ruimtegroepen[],3,FALSE)*VLOOKUP($L174,Vloersoorten[],3,FALSE)*VLOOKUP($Y174,Frequenties[],3,FALSE)*VLOOKUP(#REF!,Locaties[],3,FALSE),0)</f>
        <v>0</v>
      </c>
      <c r="AB174" s="33"/>
      <c r="AC174" s="33"/>
      <c r="AD174" s="33">
        <f>Ruimtestaat[[#This Row],[uren / jaar weekend]]*Tariefsopbouw!$D$40</f>
        <v>0</v>
      </c>
      <c r="AE174" s="88">
        <f>Ruimtestaat[[#This Row],[Prest. (m2 /jaar) weekend]]+Ruimtestaat[[#This Row],[Prest. (m2 /jaar) werkdagen]]</f>
        <v>12704</v>
      </c>
      <c r="AF174" s="88">
        <f>Ruimtestaat[[#This Row],[uren / jaar weekend]]+Ruimtestaat[[#This Row],[uren / jaar werkdagen]]</f>
        <v>127.04</v>
      </c>
      <c r="AG174" s="89">
        <f>Ruimtestaat[[#This Row],[kosten / jaar weekend]]+Ruimtestaat[[#This Row],[kosten / jaar werkdagen]]</f>
        <v>3176</v>
      </c>
    </row>
    <row r="175" spans="1:33" ht="15" customHeight="1">
      <c r="A175" s="129">
        <v>1</v>
      </c>
      <c r="B175" s="21" t="str">
        <f>VLOOKUP(Ruimtestaat[[#This Row],[Code]],Locaties[#All],2,FALSE)</f>
        <v>Groenlo</v>
      </c>
      <c r="C175" s="21" t="str">
        <f>VLOOKUP(Ruimtestaat[[#This Row],[Code]],Locaties[#All],4,FALSE)</f>
        <v>Deken Hooijmanssingel 1</v>
      </c>
      <c r="D175" s="241" t="str">
        <f>VLOOKUP(Ruimtestaat[[#This Row],[Code]],Locaties[#All],5,FALSE)</f>
        <v>7141 EA</v>
      </c>
      <c r="E175" s="241" t="str">
        <f>VLOOKUP(Ruimtestaat[[#This Row],[Code]],Locaties[#All],6,FALSE)</f>
        <v>Groenlo</v>
      </c>
      <c r="F175" s="195" t="s">
        <v>774</v>
      </c>
      <c r="G175" s="195">
        <v>1</v>
      </c>
      <c r="H175" s="195" t="s">
        <v>520</v>
      </c>
      <c r="I175" s="242" t="s">
        <v>395</v>
      </c>
      <c r="J175" s="195">
        <v>16</v>
      </c>
      <c r="K175" s="260" t="str">
        <f>VLOOKUP(Ruimtestaat[[#This Row],[Ruimte code]],Ruimtegroepen[#All],2,FALSE)</f>
        <v>Lokaal</v>
      </c>
      <c r="L175" s="211" t="s">
        <v>110</v>
      </c>
      <c r="M175" s="195" t="s">
        <v>133</v>
      </c>
      <c r="N175" s="197">
        <v>68.78</v>
      </c>
      <c r="O175" s="209"/>
      <c r="P175" s="241" t="str">
        <f>VLOOKUP(Ruimtestaat[[#This Row],[Ruimte code]],Ruimtegroepen[#All],4,FALSE)</f>
        <v>L  (Lesruimte)</v>
      </c>
      <c r="Q175" s="210"/>
      <c r="R175" s="211">
        <v>40</v>
      </c>
      <c r="S175" s="211" t="s">
        <v>2</v>
      </c>
      <c r="T175" s="211">
        <f>IF(R175&gt;0,IF(RIGHT(Ruimtestaat[[#This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175" s="211">
        <f>IF(T175&gt;0,VLOOKUP($J175,Ruimtegroepen[],3,FALSE)*VLOOKUP($L175,Vloersoorten[],3,FALSE)*VLOOKUP($S175,Frequenties[],3,FALSE)*VLOOKUP($A175,Locaties[],3,FALSE),0)</f>
        <v>100</v>
      </c>
      <c r="V175" s="211">
        <f>Ruimtestaat[[#This Row],[Uitvoeringen werkdagen]]*Ruimtestaat[[#This Row],[Oppervlak (netto)]]</f>
        <v>13756</v>
      </c>
      <c r="W175" s="257">
        <f>IF(U175&gt;0,Ruimtestaat[[#This Row],[Prest. (m2 /jaar) werkdagen]]/Ruimtestaat[[#This Row],[Norm (m2/uur) werkdagen]],0)</f>
        <v>137.56</v>
      </c>
      <c r="X175" s="258">
        <f>Ruimtestaat[[#This Row],[uren / jaar werkdagen]]*Tariefsopbouw!$D$38</f>
        <v>3439</v>
      </c>
      <c r="Y175" s="33"/>
      <c r="Z175" s="33">
        <f>IF(Ruimtestaat[[#This Row],[Frequentie weekend]]&gt;0,VALUE(LEFT(Y175,1))*R175,0)</f>
        <v>0</v>
      </c>
      <c r="AA175" s="33">
        <f>IF($Z175&gt;0,VLOOKUP($J175,Ruimtegroepen[],3,FALSE)*VLOOKUP($L175,Vloersoorten[],3,FALSE)*VLOOKUP($Y175,Frequenties[],3,FALSE)*VLOOKUP(#REF!,Locaties[],3,FALSE),0)</f>
        <v>0</v>
      </c>
      <c r="AB175" s="33"/>
      <c r="AC175" s="33"/>
      <c r="AD175" s="33">
        <f>Ruimtestaat[[#This Row],[uren / jaar weekend]]*Tariefsopbouw!$D$40</f>
        <v>0</v>
      </c>
      <c r="AE175" s="88">
        <f>Ruimtestaat[[#This Row],[Prest. (m2 /jaar) weekend]]+Ruimtestaat[[#This Row],[Prest. (m2 /jaar) werkdagen]]</f>
        <v>13756</v>
      </c>
      <c r="AF175" s="88">
        <f>Ruimtestaat[[#This Row],[uren / jaar weekend]]+Ruimtestaat[[#This Row],[uren / jaar werkdagen]]</f>
        <v>137.56</v>
      </c>
      <c r="AG175" s="89">
        <f>Ruimtestaat[[#This Row],[kosten / jaar weekend]]+Ruimtestaat[[#This Row],[kosten / jaar werkdagen]]</f>
        <v>3439</v>
      </c>
    </row>
    <row r="176" spans="1:33" ht="15" customHeight="1">
      <c r="A176" s="129">
        <v>1</v>
      </c>
      <c r="B176" s="21" t="str">
        <f>VLOOKUP(Ruimtestaat[[#This Row],[Code]],Locaties[#All],2,FALSE)</f>
        <v>Groenlo</v>
      </c>
      <c r="C176" s="21" t="str">
        <f>VLOOKUP(Ruimtestaat[[#This Row],[Code]],Locaties[#All],4,FALSE)</f>
        <v>Deken Hooijmanssingel 1</v>
      </c>
      <c r="D176" s="241" t="str">
        <f>VLOOKUP(Ruimtestaat[[#This Row],[Code]],Locaties[#All],5,FALSE)</f>
        <v>7141 EA</v>
      </c>
      <c r="E176" s="241" t="str">
        <f>VLOOKUP(Ruimtestaat[[#This Row],[Code]],Locaties[#All],6,FALSE)</f>
        <v>Groenlo</v>
      </c>
      <c r="F176" s="195" t="s">
        <v>774</v>
      </c>
      <c r="G176" s="195">
        <v>1</v>
      </c>
      <c r="H176" s="195" t="s">
        <v>521</v>
      </c>
      <c r="I176" s="242" t="s">
        <v>395</v>
      </c>
      <c r="J176" s="195">
        <v>16</v>
      </c>
      <c r="K176" s="260" t="str">
        <f>VLOOKUP(Ruimtestaat[[#This Row],[Ruimte code]],Ruimtegroepen[#All],2,FALSE)</f>
        <v>Lokaal</v>
      </c>
      <c r="L176" s="211" t="s">
        <v>110</v>
      </c>
      <c r="M176" s="195" t="s">
        <v>133</v>
      </c>
      <c r="N176" s="197">
        <v>80.989999999999995</v>
      </c>
      <c r="O176" s="209"/>
      <c r="P176" s="241" t="str">
        <f>VLOOKUP(Ruimtestaat[[#This Row],[Ruimte code]],Ruimtegroepen[#All],4,FALSE)</f>
        <v>L  (Lesruimte)</v>
      </c>
      <c r="Q176" s="210"/>
      <c r="R176" s="211">
        <v>40</v>
      </c>
      <c r="S176" s="211" t="s">
        <v>2</v>
      </c>
      <c r="T176" s="211">
        <f>IF(R176&gt;0,IF(RIGHT(Ruimtestaat[[#This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176" s="211">
        <f>IF(T176&gt;0,VLOOKUP($J176,Ruimtegroepen[],3,FALSE)*VLOOKUP($L176,Vloersoorten[],3,FALSE)*VLOOKUP($S176,Frequenties[],3,FALSE)*VLOOKUP($A176,Locaties[],3,FALSE),0)</f>
        <v>100</v>
      </c>
      <c r="V176" s="211">
        <f>Ruimtestaat[[#This Row],[Uitvoeringen werkdagen]]*Ruimtestaat[[#This Row],[Oppervlak (netto)]]</f>
        <v>16197.999999999998</v>
      </c>
      <c r="W176" s="257">
        <f>IF(U176&gt;0,Ruimtestaat[[#This Row],[Prest. (m2 /jaar) werkdagen]]/Ruimtestaat[[#This Row],[Norm (m2/uur) werkdagen]],0)</f>
        <v>161.97999999999999</v>
      </c>
      <c r="X176" s="258">
        <f>Ruimtestaat[[#This Row],[uren / jaar werkdagen]]*Tariefsopbouw!$D$38</f>
        <v>4049.4999999999995</v>
      </c>
      <c r="Y176" s="33"/>
      <c r="Z176" s="33">
        <f>IF(Ruimtestaat[[#This Row],[Frequentie weekend]]&gt;0,VALUE(LEFT(Y176,1))*R176,0)</f>
        <v>0</v>
      </c>
      <c r="AA176" s="33">
        <f>IF($Z176&gt;0,VLOOKUP($J176,Ruimtegroepen[],3,FALSE)*VLOOKUP($L176,Vloersoorten[],3,FALSE)*VLOOKUP($Y176,Frequenties[],3,FALSE)*VLOOKUP(#REF!,Locaties[],3,FALSE),0)</f>
        <v>0</v>
      </c>
      <c r="AB176" s="33"/>
      <c r="AC176" s="33"/>
      <c r="AD176" s="33">
        <f>Ruimtestaat[[#This Row],[uren / jaar weekend]]*Tariefsopbouw!$D$40</f>
        <v>0</v>
      </c>
      <c r="AE176" s="88">
        <f>Ruimtestaat[[#This Row],[Prest. (m2 /jaar) weekend]]+Ruimtestaat[[#This Row],[Prest. (m2 /jaar) werkdagen]]</f>
        <v>16197.999999999998</v>
      </c>
      <c r="AF176" s="88">
        <f>Ruimtestaat[[#This Row],[uren / jaar weekend]]+Ruimtestaat[[#This Row],[uren / jaar werkdagen]]</f>
        <v>161.97999999999999</v>
      </c>
      <c r="AG176" s="89">
        <f>Ruimtestaat[[#This Row],[kosten / jaar weekend]]+Ruimtestaat[[#This Row],[kosten / jaar werkdagen]]</f>
        <v>4049.4999999999995</v>
      </c>
    </row>
    <row r="177" spans="1:33" ht="15" customHeight="1">
      <c r="A177" s="129">
        <v>1</v>
      </c>
      <c r="B177" s="21" t="str">
        <f>VLOOKUP(Ruimtestaat[[#This Row],[Code]],Locaties[#All],2,FALSE)</f>
        <v>Groenlo</v>
      </c>
      <c r="C177" s="21" t="str">
        <f>VLOOKUP(Ruimtestaat[[#This Row],[Code]],Locaties[#All],4,FALSE)</f>
        <v>Deken Hooijmanssingel 1</v>
      </c>
      <c r="D177" s="241" t="str">
        <f>VLOOKUP(Ruimtestaat[[#This Row],[Code]],Locaties[#All],5,FALSE)</f>
        <v>7141 EA</v>
      </c>
      <c r="E177" s="241" t="str">
        <f>VLOOKUP(Ruimtestaat[[#This Row],[Code]],Locaties[#All],6,FALSE)</f>
        <v>Groenlo</v>
      </c>
      <c r="F177" s="195" t="s">
        <v>774</v>
      </c>
      <c r="G177" s="195">
        <v>1</v>
      </c>
      <c r="H177" s="195" t="s">
        <v>522</v>
      </c>
      <c r="I177" s="242" t="s">
        <v>382</v>
      </c>
      <c r="J177" s="195">
        <v>6</v>
      </c>
      <c r="K177" s="260" t="str">
        <f>VLOOKUP(Ruimtestaat[[#This Row],[Ruimte code]],Ruimtegroepen[#All],2,FALSE)</f>
        <v>Gangen/hallen</v>
      </c>
      <c r="L177" s="211" t="s">
        <v>110</v>
      </c>
      <c r="M177" s="195" t="s">
        <v>133</v>
      </c>
      <c r="N177" s="197">
        <v>34.130000000000003</v>
      </c>
      <c r="O177" s="209"/>
      <c r="P177" s="241" t="str">
        <f>VLOOKUP(Ruimtestaat[[#This Row],[Ruimte code]],Ruimtegroepen[#All],4,FALSE)</f>
        <v>V  (Verkeersruimte)</v>
      </c>
      <c r="Q177" s="210"/>
      <c r="R177" s="211">
        <v>40</v>
      </c>
      <c r="S177" s="211" t="s">
        <v>2</v>
      </c>
      <c r="T177" s="211">
        <f>IF(R177&gt;0,IF(RIGHT(Ruimtestaat[[#This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177" s="211">
        <f>IF(T177&gt;0,VLOOKUP($J177,Ruimtegroepen[],3,FALSE)*VLOOKUP($L177,Vloersoorten[],3,FALSE)*VLOOKUP($S177,Frequenties[],3,FALSE)*VLOOKUP($A177,Locaties[],3,FALSE),0)</f>
        <v>100</v>
      </c>
      <c r="V177" s="211">
        <f>Ruimtestaat[[#This Row],[Uitvoeringen werkdagen]]*Ruimtestaat[[#This Row],[Oppervlak (netto)]]</f>
        <v>6826.0000000000009</v>
      </c>
      <c r="W177" s="257">
        <f>IF(U177&gt;0,Ruimtestaat[[#This Row],[Prest. (m2 /jaar) werkdagen]]/Ruimtestaat[[#This Row],[Norm (m2/uur) werkdagen]],0)</f>
        <v>68.260000000000005</v>
      </c>
      <c r="X177" s="258">
        <f>Ruimtestaat[[#This Row],[uren / jaar werkdagen]]*Tariefsopbouw!$D$38</f>
        <v>1706.5000000000002</v>
      </c>
      <c r="Y177" s="33"/>
      <c r="Z177" s="33">
        <f>IF(Ruimtestaat[[#This Row],[Frequentie weekend]]&gt;0,VALUE(LEFT(Y177,1))*R177,0)</f>
        <v>0</v>
      </c>
      <c r="AA177" s="33">
        <f>IF($Z177&gt;0,VLOOKUP($J177,Ruimtegroepen[],3,FALSE)*VLOOKUP($L177,Vloersoorten[],3,FALSE)*VLOOKUP($Y177,Frequenties[],3,FALSE)*VLOOKUP(#REF!,Locaties[],3,FALSE),0)</f>
        <v>0</v>
      </c>
      <c r="AB177" s="33"/>
      <c r="AC177" s="33"/>
      <c r="AD177" s="33">
        <f>Ruimtestaat[[#This Row],[uren / jaar weekend]]*Tariefsopbouw!$D$40</f>
        <v>0</v>
      </c>
      <c r="AE177" s="88">
        <f>Ruimtestaat[[#This Row],[Prest. (m2 /jaar) weekend]]+Ruimtestaat[[#This Row],[Prest. (m2 /jaar) werkdagen]]</f>
        <v>6826.0000000000009</v>
      </c>
      <c r="AF177" s="88">
        <f>Ruimtestaat[[#This Row],[uren / jaar weekend]]+Ruimtestaat[[#This Row],[uren / jaar werkdagen]]</f>
        <v>68.260000000000005</v>
      </c>
      <c r="AG177" s="89">
        <f>Ruimtestaat[[#This Row],[kosten / jaar weekend]]+Ruimtestaat[[#This Row],[kosten / jaar werkdagen]]</f>
        <v>1706.5000000000002</v>
      </c>
    </row>
    <row r="178" spans="1:33" ht="15" customHeight="1">
      <c r="A178" s="129">
        <v>1</v>
      </c>
      <c r="B178" s="21" t="str">
        <f>VLOOKUP(Ruimtestaat[[#This Row],[Code]],Locaties[#All],2,FALSE)</f>
        <v>Groenlo</v>
      </c>
      <c r="C178" s="21" t="str">
        <f>VLOOKUP(Ruimtestaat[[#This Row],[Code]],Locaties[#All],4,FALSE)</f>
        <v>Deken Hooijmanssingel 1</v>
      </c>
      <c r="D178" s="241" t="str">
        <f>VLOOKUP(Ruimtestaat[[#This Row],[Code]],Locaties[#All],5,FALSE)</f>
        <v>7141 EA</v>
      </c>
      <c r="E178" s="241" t="str">
        <f>VLOOKUP(Ruimtestaat[[#This Row],[Code]],Locaties[#All],6,FALSE)</f>
        <v>Groenlo</v>
      </c>
      <c r="F178" s="195" t="s">
        <v>774</v>
      </c>
      <c r="G178" s="195">
        <v>1</v>
      </c>
      <c r="H178" s="195" t="s">
        <v>523</v>
      </c>
      <c r="I178" s="242" t="s">
        <v>447</v>
      </c>
      <c r="J178" s="195">
        <v>21</v>
      </c>
      <c r="K178" s="260" t="str">
        <f>VLOOKUP(Ruimtestaat[[#This Row],[Ruimte code]],Ruimtegroepen[#All],2,FALSE)</f>
        <v>Niet in onderhoud</v>
      </c>
      <c r="L178" s="211" t="s">
        <v>111</v>
      </c>
      <c r="M178" s="195" t="s">
        <v>777</v>
      </c>
      <c r="N178" s="197"/>
      <c r="O178" s="209">
        <v>7.14</v>
      </c>
      <c r="P178" s="241" t="str">
        <f>VLOOKUP(Ruimtestaat[[#This Row],[Ruimte code]],Ruimtegroepen[#All],4,FALSE)</f>
        <v>Niet in onderhoud</v>
      </c>
      <c r="Q178" s="210"/>
      <c r="R178" s="211"/>
      <c r="S178" s="211"/>
      <c r="T178" s="211">
        <f>IF(R178&gt;0,IF(RIGHT(Ruimtestaat[[#This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178" s="211">
        <f>IF(T178&gt;0,VLOOKUP($J178,Ruimtegroepen[],3,FALSE)*VLOOKUP($L178,Vloersoorten[],3,FALSE)*VLOOKUP($S178,Frequenties[],3,FALSE)*VLOOKUP($A178,Locaties[],3,FALSE),0)</f>
        <v>0</v>
      </c>
      <c r="V178" s="211">
        <f>Ruimtestaat[[#This Row],[Uitvoeringen werkdagen]]*Ruimtestaat[[#This Row],[Oppervlak (netto)]]</f>
        <v>0</v>
      </c>
      <c r="W178" s="257">
        <f>IF(U178&gt;0,Ruimtestaat[[#This Row],[Prest. (m2 /jaar) werkdagen]]/Ruimtestaat[[#This Row],[Norm (m2/uur) werkdagen]],0)</f>
        <v>0</v>
      </c>
      <c r="X178" s="258">
        <f>Ruimtestaat[[#This Row],[uren / jaar werkdagen]]*Tariefsopbouw!$D$38</f>
        <v>0</v>
      </c>
      <c r="Y178" s="33"/>
      <c r="Z178" s="33">
        <f>IF(Ruimtestaat[[#This Row],[Frequentie weekend]]&gt;0,VALUE(LEFT(Y178,1))*R178,0)</f>
        <v>0</v>
      </c>
      <c r="AA178" s="33">
        <f>IF($Z178&gt;0,VLOOKUP($J178,Ruimtegroepen[],3,FALSE)*VLOOKUP($L178,Vloersoorten[],3,FALSE)*VLOOKUP($Y178,Frequenties[],3,FALSE)*VLOOKUP(#REF!,Locaties[],3,FALSE),0)</f>
        <v>0</v>
      </c>
      <c r="AB178" s="33"/>
      <c r="AC178" s="33"/>
      <c r="AD178" s="33">
        <f>Ruimtestaat[[#This Row],[uren / jaar weekend]]*Tariefsopbouw!$D$40</f>
        <v>0</v>
      </c>
      <c r="AE178" s="88">
        <f>Ruimtestaat[[#This Row],[Prest. (m2 /jaar) weekend]]+Ruimtestaat[[#This Row],[Prest. (m2 /jaar) werkdagen]]</f>
        <v>0</v>
      </c>
      <c r="AF178" s="88">
        <f>Ruimtestaat[[#This Row],[uren / jaar weekend]]+Ruimtestaat[[#This Row],[uren / jaar werkdagen]]</f>
        <v>0</v>
      </c>
      <c r="AG178" s="89">
        <f>Ruimtestaat[[#This Row],[kosten / jaar weekend]]+Ruimtestaat[[#This Row],[kosten / jaar werkdagen]]</f>
        <v>0</v>
      </c>
    </row>
    <row r="179" spans="1:33" ht="15" customHeight="1">
      <c r="A179" s="129">
        <v>1</v>
      </c>
      <c r="B179" s="21" t="str">
        <f>VLOOKUP(Ruimtestaat[[#This Row],[Code]],Locaties[#All],2,FALSE)</f>
        <v>Groenlo</v>
      </c>
      <c r="C179" s="21" t="str">
        <f>VLOOKUP(Ruimtestaat[[#This Row],[Code]],Locaties[#All],4,FALSE)</f>
        <v>Deken Hooijmanssingel 1</v>
      </c>
      <c r="D179" s="241" t="str">
        <f>VLOOKUP(Ruimtestaat[[#This Row],[Code]],Locaties[#All],5,FALSE)</f>
        <v>7141 EA</v>
      </c>
      <c r="E179" s="241" t="str">
        <f>VLOOKUP(Ruimtestaat[[#This Row],[Code]],Locaties[#All],6,FALSE)</f>
        <v>Groenlo</v>
      </c>
      <c r="F179" s="195" t="s">
        <v>774</v>
      </c>
      <c r="G179" s="195">
        <v>1</v>
      </c>
      <c r="H179" s="195" t="s">
        <v>524</v>
      </c>
      <c r="I179" s="242" t="s">
        <v>449</v>
      </c>
      <c r="J179" s="195">
        <v>2</v>
      </c>
      <c r="K179" s="260" t="str">
        <f>VLOOKUP(Ruimtestaat[[#This Row],[Ruimte code]],Ruimtegroepen[#All],2,FALSE)</f>
        <v>Kantoren</v>
      </c>
      <c r="L179" s="211" t="s">
        <v>110</v>
      </c>
      <c r="M179" s="195" t="s">
        <v>133</v>
      </c>
      <c r="N179" s="197">
        <v>21.17</v>
      </c>
      <c r="O179" s="209"/>
      <c r="P179" s="241" t="str">
        <f>VLOOKUP(Ruimtestaat[[#This Row],[Ruimte code]],Ruimtegroepen[#All],4,FALSE)</f>
        <v>B  (Bureauruimte)</v>
      </c>
      <c r="Q179" s="210"/>
      <c r="R179" s="211">
        <v>40</v>
      </c>
      <c r="S179" s="211" t="s">
        <v>2</v>
      </c>
      <c r="T179" s="211">
        <f>IF(R179&gt;0,IF(RIGHT(Ruimtestaat[[#This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179" s="211">
        <f>IF(T179&gt;0,VLOOKUP($J179,Ruimtegroepen[],3,FALSE)*VLOOKUP($L179,Vloersoorten[],3,FALSE)*VLOOKUP($S179,Frequenties[],3,FALSE)*VLOOKUP($A179,Locaties[],3,FALSE),0)</f>
        <v>100</v>
      </c>
      <c r="V179" s="211">
        <f>Ruimtestaat[[#This Row],[Uitvoeringen werkdagen]]*Ruimtestaat[[#This Row],[Oppervlak (netto)]]</f>
        <v>4234</v>
      </c>
      <c r="W179" s="257">
        <f>IF(U179&gt;0,Ruimtestaat[[#This Row],[Prest. (m2 /jaar) werkdagen]]/Ruimtestaat[[#This Row],[Norm (m2/uur) werkdagen]],0)</f>
        <v>42.34</v>
      </c>
      <c r="X179" s="258">
        <f>Ruimtestaat[[#This Row],[uren / jaar werkdagen]]*Tariefsopbouw!$D$38</f>
        <v>1058.5</v>
      </c>
      <c r="Y179" s="33"/>
      <c r="Z179" s="33">
        <f>IF(Ruimtestaat[[#This Row],[Frequentie weekend]]&gt;0,VALUE(LEFT(Y179,1))*R179,0)</f>
        <v>0</v>
      </c>
      <c r="AA179" s="33">
        <f>IF($Z179&gt;0,VLOOKUP($J179,Ruimtegroepen[],3,FALSE)*VLOOKUP($L179,Vloersoorten[],3,FALSE)*VLOOKUP($Y179,Frequenties[],3,FALSE)*VLOOKUP(#REF!,Locaties[],3,FALSE),0)</f>
        <v>0</v>
      </c>
      <c r="AB179" s="33"/>
      <c r="AC179" s="33"/>
      <c r="AD179" s="33">
        <f>Ruimtestaat[[#This Row],[uren / jaar weekend]]*Tariefsopbouw!$D$40</f>
        <v>0</v>
      </c>
      <c r="AE179" s="88">
        <f>Ruimtestaat[[#This Row],[Prest. (m2 /jaar) weekend]]+Ruimtestaat[[#This Row],[Prest. (m2 /jaar) werkdagen]]</f>
        <v>4234</v>
      </c>
      <c r="AF179" s="88">
        <f>Ruimtestaat[[#This Row],[uren / jaar weekend]]+Ruimtestaat[[#This Row],[uren / jaar werkdagen]]</f>
        <v>42.34</v>
      </c>
      <c r="AG179" s="89">
        <f>Ruimtestaat[[#This Row],[kosten / jaar weekend]]+Ruimtestaat[[#This Row],[kosten / jaar werkdagen]]</f>
        <v>1058.5</v>
      </c>
    </row>
    <row r="180" spans="1:33" ht="15" customHeight="1">
      <c r="A180" s="129">
        <v>1</v>
      </c>
      <c r="B180" s="21" t="str">
        <f>VLOOKUP(Ruimtestaat[[#This Row],[Code]],Locaties[#All],2,FALSE)</f>
        <v>Groenlo</v>
      </c>
      <c r="C180" s="21" t="str">
        <f>VLOOKUP(Ruimtestaat[[#This Row],[Code]],Locaties[#All],4,FALSE)</f>
        <v>Deken Hooijmanssingel 1</v>
      </c>
      <c r="D180" s="241" t="str">
        <f>VLOOKUP(Ruimtestaat[[#This Row],[Code]],Locaties[#All],5,FALSE)</f>
        <v>7141 EA</v>
      </c>
      <c r="E180" s="241" t="str">
        <f>VLOOKUP(Ruimtestaat[[#This Row],[Code]],Locaties[#All],6,FALSE)</f>
        <v>Groenlo</v>
      </c>
      <c r="F180" s="195" t="s">
        <v>774</v>
      </c>
      <c r="G180" s="195">
        <v>1</v>
      </c>
      <c r="H180" s="195" t="s">
        <v>525</v>
      </c>
      <c r="I180" s="242" t="s">
        <v>395</v>
      </c>
      <c r="J180" s="195">
        <v>16</v>
      </c>
      <c r="K180" s="260" t="str">
        <f>VLOOKUP(Ruimtestaat[[#This Row],[Ruimte code]],Ruimtegroepen[#All],2,FALSE)</f>
        <v>Lokaal</v>
      </c>
      <c r="L180" s="211" t="s">
        <v>110</v>
      </c>
      <c r="M180" s="195" t="s">
        <v>133</v>
      </c>
      <c r="N180" s="197">
        <v>70.22</v>
      </c>
      <c r="O180" s="209"/>
      <c r="P180" s="241" t="str">
        <f>VLOOKUP(Ruimtestaat[[#This Row],[Ruimte code]],Ruimtegroepen[#All],4,FALSE)</f>
        <v>L  (Lesruimte)</v>
      </c>
      <c r="Q180" s="210"/>
      <c r="R180" s="211">
        <v>40</v>
      </c>
      <c r="S180" s="211" t="s">
        <v>2</v>
      </c>
      <c r="T180" s="211">
        <f>IF(R180&gt;0,IF(RIGHT(Ruimtestaat[[#This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180" s="211">
        <f>IF(T180&gt;0,VLOOKUP($J180,Ruimtegroepen[],3,FALSE)*VLOOKUP($L180,Vloersoorten[],3,FALSE)*VLOOKUP($S180,Frequenties[],3,FALSE)*VLOOKUP($A180,Locaties[],3,FALSE),0)</f>
        <v>100</v>
      </c>
      <c r="V180" s="211">
        <f>Ruimtestaat[[#This Row],[Uitvoeringen werkdagen]]*Ruimtestaat[[#This Row],[Oppervlak (netto)]]</f>
        <v>14044</v>
      </c>
      <c r="W180" s="257">
        <f>IF(U180&gt;0,Ruimtestaat[[#This Row],[Prest. (m2 /jaar) werkdagen]]/Ruimtestaat[[#This Row],[Norm (m2/uur) werkdagen]],0)</f>
        <v>140.44</v>
      </c>
      <c r="X180" s="258">
        <f>Ruimtestaat[[#This Row],[uren / jaar werkdagen]]*Tariefsopbouw!$D$38</f>
        <v>3511</v>
      </c>
      <c r="Y180" s="33"/>
      <c r="Z180" s="33">
        <f>IF(Ruimtestaat[[#This Row],[Frequentie weekend]]&gt;0,VALUE(LEFT(Y180,1))*R180,0)</f>
        <v>0</v>
      </c>
      <c r="AA180" s="33">
        <f>IF($Z180&gt;0,VLOOKUP($J180,Ruimtegroepen[],3,FALSE)*VLOOKUP($L180,Vloersoorten[],3,FALSE)*VLOOKUP($Y180,Frequenties[],3,FALSE)*VLOOKUP(#REF!,Locaties[],3,FALSE),0)</f>
        <v>0</v>
      </c>
      <c r="AB180" s="33"/>
      <c r="AC180" s="33"/>
      <c r="AD180" s="33">
        <f>Ruimtestaat[[#This Row],[uren / jaar weekend]]*Tariefsopbouw!$D$40</f>
        <v>0</v>
      </c>
      <c r="AE180" s="88">
        <f>Ruimtestaat[[#This Row],[Prest. (m2 /jaar) weekend]]+Ruimtestaat[[#This Row],[Prest. (m2 /jaar) werkdagen]]</f>
        <v>14044</v>
      </c>
      <c r="AF180" s="88">
        <f>Ruimtestaat[[#This Row],[uren / jaar weekend]]+Ruimtestaat[[#This Row],[uren / jaar werkdagen]]</f>
        <v>140.44</v>
      </c>
      <c r="AG180" s="89">
        <f>Ruimtestaat[[#This Row],[kosten / jaar weekend]]+Ruimtestaat[[#This Row],[kosten / jaar werkdagen]]</f>
        <v>3511</v>
      </c>
    </row>
    <row r="181" spans="1:33" ht="15" customHeight="1">
      <c r="A181" s="129">
        <v>1</v>
      </c>
      <c r="B181" s="21" t="str">
        <f>VLOOKUP(Ruimtestaat[[#This Row],[Code]],Locaties[#All],2,FALSE)</f>
        <v>Groenlo</v>
      </c>
      <c r="C181" s="21" t="str">
        <f>VLOOKUP(Ruimtestaat[[#This Row],[Code]],Locaties[#All],4,FALSE)</f>
        <v>Deken Hooijmanssingel 1</v>
      </c>
      <c r="D181" s="241" t="str">
        <f>VLOOKUP(Ruimtestaat[[#This Row],[Code]],Locaties[#All],5,FALSE)</f>
        <v>7141 EA</v>
      </c>
      <c r="E181" s="241" t="str">
        <f>VLOOKUP(Ruimtestaat[[#This Row],[Code]],Locaties[#All],6,FALSE)</f>
        <v>Groenlo</v>
      </c>
      <c r="F181" s="195" t="s">
        <v>774</v>
      </c>
      <c r="G181" s="195">
        <v>1</v>
      </c>
      <c r="H181" s="195" t="s">
        <v>526</v>
      </c>
      <c r="I181" s="242" t="s">
        <v>395</v>
      </c>
      <c r="J181" s="195">
        <v>16</v>
      </c>
      <c r="K181" s="260" t="str">
        <f>VLOOKUP(Ruimtestaat[[#This Row],[Ruimte code]],Ruimtegroepen[#All],2,FALSE)</f>
        <v>Lokaal</v>
      </c>
      <c r="L181" s="211" t="s">
        <v>110</v>
      </c>
      <c r="M181" s="195" t="s">
        <v>133</v>
      </c>
      <c r="N181" s="197">
        <v>67.78</v>
      </c>
      <c r="O181" s="209"/>
      <c r="P181" s="241" t="str">
        <f>VLOOKUP(Ruimtestaat[[#This Row],[Ruimte code]],Ruimtegroepen[#All],4,FALSE)</f>
        <v>L  (Lesruimte)</v>
      </c>
      <c r="Q181" s="210"/>
      <c r="R181" s="211">
        <v>40</v>
      </c>
      <c r="S181" s="211" t="s">
        <v>2</v>
      </c>
      <c r="T181" s="211">
        <f>IF(R181&gt;0,IF(RIGHT(Ruimtestaat[[#This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181" s="211">
        <f>IF(T181&gt;0,VLOOKUP($J181,Ruimtegroepen[],3,FALSE)*VLOOKUP($L181,Vloersoorten[],3,FALSE)*VLOOKUP($S181,Frequenties[],3,FALSE)*VLOOKUP($A181,Locaties[],3,FALSE),0)</f>
        <v>100</v>
      </c>
      <c r="V181" s="211">
        <f>Ruimtestaat[[#This Row],[Uitvoeringen werkdagen]]*Ruimtestaat[[#This Row],[Oppervlak (netto)]]</f>
        <v>13556</v>
      </c>
      <c r="W181" s="257">
        <f>IF(U181&gt;0,Ruimtestaat[[#This Row],[Prest. (m2 /jaar) werkdagen]]/Ruimtestaat[[#This Row],[Norm (m2/uur) werkdagen]],0)</f>
        <v>135.56</v>
      </c>
      <c r="X181" s="258">
        <f>Ruimtestaat[[#This Row],[uren / jaar werkdagen]]*Tariefsopbouw!$D$38</f>
        <v>3389</v>
      </c>
      <c r="Y181" s="33"/>
      <c r="Z181" s="33">
        <f>IF(Ruimtestaat[[#This Row],[Frequentie weekend]]&gt;0,VALUE(LEFT(Y181,1))*R181,0)</f>
        <v>0</v>
      </c>
      <c r="AA181" s="33">
        <f>IF($Z181&gt;0,VLOOKUP($J181,Ruimtegroepen[],3,FALSE)*VLOOKUP($L181,Vloersoorten[],3,FALSE)*VLOOKUP($Y181,Frequenties[],3,FALSE)*VLOOKUP(#REF!,Locaties[],3,FALSE),0)</f>
        <v>0</v>
      </c>
      <c r="AB181" s="33"/>
      <c r="AC181" s="33"/>
      <c r="AD181" s="33">
        <f>Ruimtestaat[[#This Row],[uren / jaar weekend]]*Tariefsopbouw!$D$40</f>
        <v>0</v>
      </c>
      <c r="AE181" s="88">
        <f>Ruimtestaat[[#This Row],[Prest. (m2 /jaar) weekend]]+Ruimtestaat[[#This Row],[Prest. (m2 /jaar) werkdagen]]</f>
        <v>13556</v>
      </c>
      <c r="AF181" s="88">
        <f>Ruimtestaat[[#This Row],[uren / jaar weekend]]+Ruimtestaat[[#This Row],[uren / jaar werkdagen]]</f>
        <v>135.56</v>
      </c>
      <c r="AG181" s="89">
        <f>Ruimtestaat[[#This Row],[kosten / jaar weekend]]+Ruimtestaat[[#This Row],[kosten / jaar werkdagen]]</f>
        <v>3389</v>
      </c>
    </row>
    <row r="182" spans="1:33" ht="15" customHeight="1">
      <c r="A182" s="129">
        <v>1</v>
      </c>
      <c r="B182" s="21" t="str">
        <f>VLOOKUP(Ruimtestaat[[#This Row],[Code]],Locaties[#All],2,FALSE)</f>
        <v>Groenlo</v>
      </c>
      <c r="C182" s="21" t="str">
        <f>VLOOKUP(Ruimtestaat[[#This Row],[Code]],Locaties[#All],4,FALSE)</f>
        <v>Deken Hooijmanssingel 1</v>
      </c>
      <c r="D182" s="241" t="str">
        <f>VLOOKUP(Ruimtestaat[[#This Row],[Code]],Locaties[#All],5,FALSE)</f>
        <v>7141 EA</v>
      </c>
      <c r="E182" s="241" t="str">
        <f>VLOOKUP(Ruimtestaat[[#This Row],[Code]],Locaties[#All],6,FALSE)</f>
        <v>Groenlo</v>
      </c>
      <c r="F182" s="195" t="s">
        <v>774</v>
      </c>
      <c r="G182" s="195">
        <v>2</v>
      </c>
      <c r="H182" s="195" t="s">
        <v>528</v>
      </c>
      <c r="I182" s="242" t="s">
        <v>382</v>
      </c>
      <c r="J182" s="195">
        <v>10</v>
      </c>
      <c r="K182" s="260" t="str">
        <f>VLOOKUP(Ruimtestaat[[#This Row],[Ruimte code]],Ruimtegroepen[#All],2,FALSE)</f>
        <v>Trappenhuizen/lift</v>
      </c>
      <c r="L182" s="211" t="s">
        <v>110</v>
      </c>
      <c r="M182" s="195" t="s">
        <v>133</v>
      </c>
      <c r="N182" s="197">
        <v>45.9</v>
      </c>
      <c r="O182" s="209"/>
      <c r="P182" s="241" t="str">
        <f>VLOOKUP(Ruimtestaat[[#This Row],[Ruimte code]],Ruimtegroepen[#All],4,FALSE)</f>
        <v>V  (Verkeersruimte)</v>
      </c>
      <c r="Q182" s="210"/>
      <c r="R182" s="211">
        <v>40</v>
      </c>
      <c r="S182" s="211" t="s">
        <v>2</v>
      </c>
      <c r="T182" s="211">
        <f>IF(R182&gt;0,IF(RIGHT(Ruimtestaat[[#This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182" s="211">
        <f>IF(T182&gt;0,VLOOKUP($J182,Ruimtegroepen[],3,FALSE)*VLOOKUP($L182,Vloersoorten[],3,FALSE)*VLOOKUP($S182,Frequenties[],3,FALSE)*VLOOKUP($A182,Locaties[],3,FALSE),0)</f>
        <v>100</v>
      </c>
      <c r="V182" s="211">
        <f>Ruimtestaat[[#This Row],[Uitvoeringen werkdagen]]*Ruimtestaat[[#This Row],[Oppervlak (netto)]]</f>
        <v>9180</v>
      </c>
      <c r="W182" s="257">
        <f>IF(U182&gt;0,Ruimtestaat[[#This Row],[Prest. (m2 /jaar) werkdagen]]/Ruimtestaat[[#This Row],[Norm (m2/uur) werkdagen]],0)</f>
        <v>91.8</v>
      </c>
      <c r="X182" s="258">
        <f>Ruimtestaat[[#This Row],[uren / jaar werkdagen]]*Tariefsopbouw!$D$38</f>
        <v>2295</v>
      </c>
      <c r="Y182" s="33"/>
      <c r="Z182" s="33">
        <f>IF(Ruimtestaat[[#This Row],[Frequentie weekend]]&gt;0,VALUE(LEFT(Y182,1))*R182,0)</f>
        <v>0</v>
      </c>
      <c r="AA182" s="33">
        <f>IF($Z182&gt;0,VLOOKUP($J182,Ruimtegroepen[],3,FALSE)*VLOOKUP($L182,Vloersoorten[],3,FALSE)*VLOOKUP($Y182,Frequenties[],3,FALSE)*VLOOKUP(#REF!,Locaties[],3,FALSE),0)</f>
        <v>0</v>
      </c>
      <c r="AB182" s="33"/>
      <c r="AC182" s="33"/>
      <c r="AD182" s="33">
        <f>Ruimtestaat[[#This Row],[uren / jaar weekend]]*Tariefsopbouw!$D$40</f>
        <v>0</v>
      </c>
      <c r="AE182" s="88">
        <f>Ruimtestaat[[#This Row],[Prest. (m2 /jaar) weekend]]+Ruimtestaat[[#This Row],[Prest. (m2 /jaar) werkdagen]]</f>
        <v>9180</v>
      </c>
      <c r="AF182" s="88">
        <f>Ruimtestaat[[#This Row],[uren / jaar weekend]]+Ruimtestaat[[#This Row],[uren / jaar werkdagen]]</f>
        <v>91.8</v>
      </c>
      <c r="AG182" s="89">
        <f>Ruimtestaat[[#This Row],[kosten / jaar weekend]]+Ruimtestaat[[#This Row],[kosten / jaar werkdagen]]</f>
        <v>2295</v>
      </c>
    </row>
    <row r="183" spans="1:33" ht="15" customHeight="1">
      <c r="A183" s="129">
        <v>1</v>
      </c>
      <c r="B183" s="21" t="str">
        <f>VLOOKUP(Ruimtestaat[[#This Row],[Code]],Locaties[#All],2,FALSE)</f>
        <v>Groenlo</v>
      </c>
      <c r="C183" s="21" t="str">
        <f>VLOOKUP(Ruimtestaat[[#This Row],[Code]],Locaties[#All],4,FALSE)</f>
        <v>Deken Hooijmanssingel 1</v>
      </c>
      <c r="D183" s="241" t="str">
        <f>VLOOKUP(Ruimtestaat[[#This Row],[Code]],Locaties[#All],5,FALSE)</f>
        <v>7141 EA</v>
      </c>
      <c r="E183" s="241" t="str">
        <f>VLOOKUP(Ruimtestaat[[#This Row],[Code]],Locaties[#All],6,FALSE)</f>
        <v>Groenlo</v>
      </c>
      <c r="F183" s="195" t="s">
        <v>774</v>
      </c>
      <c r="G183" s="195">
        <v>2</v>
      </c>
      <c r="H183" s="195" t="s">
        <v>529</v>
      </c>
      <c r="I183" s="242" t="s">
        <v>22</v>
      </c>
      <c r="J183" s="195">
        <v>5</v>
      </c>
      <c r="K183" s="260" t="str">
        <f>VLOOKUP(Ruimtestaat[[#This Row],[Ruimte code]],Ruimtegroepen[#All],2,FALSE)</f>
        <v>Sanitair</v>
      </c>
      <c r="L183" s="241" t="s">
        <v>111</v>
      </c>
      <c r="M183" s="195" t="s">
        <v>777</v>
      </c>
      <c r="N183" s="197">
        <v>12.54</v>
      </c>
      <c r="O183" s="209"/>
      <c r="P183" s="241" t="str">
        <f>VLOOKUP(Ruimtestaat[[#This Row],[Ruimte code]],Ruimtegroepen[#All],4,FALSE)</f>
        <v>S  (Sanitair)</v>
      </c>
      <c r="Q183" s="210"/>
      <c r="R183" s="211">
        <v>40</v>
      </c>
      <c r="S183" s="211" t="s">
        <v>2</v>
      </c>
      <c r="T183" s="211">
        <f>IF(R183&gt;0,IF(RIGHT(Ruimtestaat[[#This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183" s="211">
        <f>IF(T183&gt;0,VLOOKUP($J183,Ruimtegroepen[],3,FALSE)*VLOOKUP($L183,Vloersoorten[],3,FALSE)*VLOOKUP($S183,Frequenties[],3,FALSE)*VLOOKUP($A183,Locaties[],3,FALSE),0)</f>
        <v>100</v>
      </c>
      <c r="V183" s="211">
        <f>Ruimtestaat[[#This Row],[Uitvoeringen werkdagen]]*Ruimtestaat[[#This Row],[Oppervlak (netto)]]</f>
        <v>2508</v>
      </c>
      <c r="W183" s="257">
        <f>IF(U183&gt;0,Ruimtestaat[[#This Row],[Prest. (m2 /jaar) werkdagen]]/Ruimtestaat[[#This Row],[Norm (m2/uur) werkdagen]],0)</f>
        <v>25.08</v>
      </c>
      <c r="X183" s="258">
        <f>Ruimtestaat[[#This Row],[uren / jaar werkdagen]]*Tariefsopbouw!$D$38</f>
        <v>627</v>
      </c>
      <c r="Y183" s="33"/>
      <c r="Z183" s="33">
        <f>IF(Ruimtestaat[[#This Row],[Frequentie weekend]]&gt;0,VALUE(LEFT(Y183,1))*R183,0)</f>
        <v>0</v>
      </c>
      <c r="AA183" s="33">
        <f>IF($Z183&gt;0,VLOOKUP($J183,Ruimtegroepen[],3,FALSE)*VLOOKUP($L183,Vloersoorten[],3,FALSE)*VLOOKUP($Y183,Frequenties[],3,FALSE)*VLOOKUP(#REF!,Locaties[],3,FALSE),0)</f>
        <v>0</v>
      </c>
      <c r="AB183" s="33"/>
      <c r="AC183" s="33"/>
      <c r="AD183" s="33">
        <f>Ruimtestaat[[#This Row],[uren / jaar weekend]]*Tariefsopbouw!$D$40</f>
        <v>0</v>
      </c>
      <c r="AE183" s="88">
        <f>Ruimtestaat[[#This Row],[Prest. (m2 /jaar) weekend]]+Ruimtestaat[[#This Row],[Prest. (m2 /jaar) werkdagen]]</f>
        <v>2508</v>
      </c>
      <c r="AF183" s="88">
        <f>Ruimtestaat[[#This Row],[uren / jaar weekend]]+Ruimtestaat[[#This Row],[uren / jaar werkdagen]]</f>
        <v>25.08</v>
      </c>
      <c r="AG183" s="89">
        <f>Ruimtestaat[[#This Row],[kosten / jaar weekend]]+Ruimtestaat[[#This Row],[kosten / jaar werkdagen]]</f>
        <v>627</v>
      </c>
    </row>
    <row r="184" spans="1:33" ht="15" customHeight="1">
      <c r="A184" s="129">
        <v>1</v>
      </c>
      <c r="B184" s="21" t="str">
        <f>VLOOKUP(Ruimtestaat[[#This Row],[Code]],Locaties[#All],2,FALSE)</f>
        <v>Groenlo</v>
      </c>
      <c r="C184" s="21" t="str">
        <f>VLOOKUP(Ruimtestaat[[#This Row],[Code]],Locaties[#All],4,FALSE)</f>
        <v>Deken Hooijmanssingel 1</v>
      </c>
      <c r="D184" s="241" t="str">
        <f>VLOOKUP(Ruimtestaat[[#This Row],[Code]],Locaties[#All],5,FALSE)</f>
        <v>7141 EA</v>
      </c>
      <c r="E184" s="241" t="str">
        <f>VLOOKUP(Ruimtestaat[[#This Row],[Code]],Locaties[#All],6,FALSE)</f>
        <v>Groenlo</v>
      </c>
      <c r="F184" s="195" t="s">
        <v>774</v>
      </c>
      <c r="G184" s="195">
        <v>2</v>
      </c>
      <c r="H184" s="195" t="s">
        <v>530</v>
      </c>
      <c r="I184" s="242" t="s">
        <v>826</v>
      </c>
      <c r="J184" s="195">
        <v>21</v>
      </c>
      <c r="K184" s="260" t="str">
        <f>VLOOKUP(Ruimtestaat[[#This Row],[Ruimte code]],Ruimtegroepen[#All],2,FALSE)</f>
        <v>Niet in onderhoud</v>
      </c>
      <c r="L184" s="241"/>
      <c r="M184" s="195"/>
      <c r="N184" s="197"/>
      <c r="O184" s="209">
        <v>3.14</v>
      </c>
      <c r="P184" s="241" t="str">
        <f>VLOOKUP(Ruimtestaat[[#This Row],[Ruimte code]],Ruimtegroepen[#All],4,FALSE)</f>
        <v>Niet in onderhoud</v>
      </c>
      <c r="Q184" s="210"/>
      <c r="R184" s="211"/>
      <c r="S184" s="211"/>
      <c r="T184" s="211">
        <f>IF(R184&gt;0,IF(RIGHT(Ruimtestaat[[#This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184" s="211">
        <f>IF(T184&gt;0,VLOOKUP($J184,Ruimtegroepen[],3,FALSE)*VLOOKUP($L184,Vloersoorten[],3,FALSE)*VLOOKUP($S184,Frequenties[],3,FALSE)*VLOOKUP($A184,Locaties[],3,FALSE),0)</f>
        <v>0</v>
      </c>
      <c r="V184" s="211">
        <f>Ruimtestaat[[#This Row],[Uitvoeringen werkdagen]]*Ruimtestaat[[#This Row],[Oppervlak (netto)]]</f>
        <v>0</v>
      </c>
      <c r="W184" s="257">
        <f>IF(U184&gt;0,Ruimtestaat[[#This Row],[Prest. (m2 /jaar) werkdagen]]/Ruimtestaat[[#This Row],[Norm (m2/uur) werkdagen]],0)</f>
        <v>0</v>
      </c>
      <c r="X184" s="258">
        <f>Ruimtestaat[[#This Row],[uren / jaar werkdagen]]*Tariefsopbouw!$D$38</f>
        <v>0</v>
      </c>
      <c r="Y184" s="33"/>
      <c r="Z184" s="33">
        <f>IF(Ruimtestaat[[#This Row],[Frequentie weekend]]&gt;0,VALUE(LEFT(Y184,1))*R184,0)</f>
        <v>0</v>
      </c>
      <c r="AA184" s="33">
        <f>IF($Z184&gt;0,VLOOKUP($J184,Ruimtegroepen[],3,FALSE)*VLOOKUP($L184,Vloersoorten[],3,FALSE)*VLOOKUP($Y184,Frequenties[],3,FALSE)*VLOOKUP(#REF!,Locaties[],3,FALSE),0)</f>
        <v>0</v>
      </c>
      <c r="AB184" s="33"/>
      <c r="AC184" s="33"/>
      <c r="AD184" s="33">
        <f>Ruimtestaat[[#This Row],[uren / jaar weekend]]*Tariefsopbouw!$D$40</f>
        <v>0</v>
      </c>
      <c r="AE184" s="88">
        <f>Ruimtestaat[[#This Row],[Prest. (m2 /jaar) weekend]]+Ruimtestaat[[#This Row],[Prest. (m2 /jaar) werkdagen]]</f>
        <v>0</v>
      </c>
      <c r="AF184" s="88">
        <f>Ruimtestaat[[#This Row],[uren / jaar weekend]]+Ruimtestaat[[#This Row],[uren / jaar werkdagen]]</f>
        <v>0</v>
      </c>
      <c r="AG184" s="89">
        <f>Ruimtestaat[[#This Row],[kosten / jaar weekend]]+Ruimtestaat[[#This Row],[kosten / jaar werkdagen]]</f>
        <v>0</v>
      </c>
    </row>
    <row r="185" spans="1:33" ht="15" customHeight="1">
      <c r="A185" s="129">
        <v>1</v>
      </c>
      <c r="B185" s="21" t="str">
        <f>VLOOKUP(Ruimtestaat[[#This Row],[Code]],Locaties[#All],2,FALSE)</f>
        <v>Groenlo</v>
      </c>
      <c r="C185" s="21" t="str">
        <f>VLOOKUP(Ruimtestaat[[#This Row],[Code]],Locaties[#All],4,FALSE)</f>
        <v>Deken Hooijmanssingel 1</v>
      </c>
      <c r="D185" s="241" t="str">
        <f>VLOOKUP(Ruimtestaat[[#This Row],[Code]],Locaties[#All],5,FALSE)</f>
        <v>7141 EA</v>
      </c>
      <c r="E185" s="241" t="str">
        <f>VLOOKUP(Ruimtestaat[[#This Row],[Code]],Locaties[#All],6,FALSE)</f>
        <v>Groenlo</v>
      </c>
      <c r="F185" s="195" t="s">
        <v>774</v>
      </c>
      <c r="G185" s="195">
        <v>2</v>
      </c>
      <c r="H185" s="195" t="s">
        <v>531</v>
      </c>
      <c r="I185" s="242" t="s">
        <v>382</v>
      </c>
      <c r="J185" s="261">
        <v>6</v>
      </c>
      <c r="K185" s="260" t="str">
        <f>VLOOKUP(Ruimtestaat[[#This Row],[Ruimte code]],Ruimtegroepen[#All],2,FALSE)</f>
        <v>Gangen/hallen</v>
      </c>
      <c r="L185" s="211" t="s">
        <v>110</v>
      </c>
      <c r="M185" s="195" t="s">
        <v>133</v>
      </c>
      <c r="N185" s="197">
        <v>43.79</v>
      </c>
      <c r="O185" s="209"/>
      <c r="P185" s="241" t="str">
        <f>VLOOKUP(Ruimtestaat[[#This Row],[Ruimte code]],Ruimtegroepen[#All],4,FALSE)</f>
        <v>V  (Verkeersruimte)</v>
      </c>
      <c r="Q185" s="210"/>
      <c r="R185" s="211">
        <v>40</v>
      </c>
      <c r="S185" s="211" t="s">
        <v>2</v>
      </c>
      <c r="T185" s="211">
        <f>IF(R185&gt;0,IF(RIGHT(Ruimtestaat[[#This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185" s="211">
        <f>IF(T185&gt;0,VLOOKUP($J185,Ruimtegroepen[],3,FALSE)*VLOOKUP($L185,Vloersoorten[],3,FALSE)*VLOOKUP($S185,Frequenties[],3,FALSE)*VLOOKUP($A185,Locaties[],3,FALSE),0)</f>
        <v>100</v>
      </c>
      <c r="V185" s="211">
        <f>Ruimtestaat[[#This Row],[Uitvoeringen werkdagen]]*Ruimtestaat[[#This Row],[Oppervlak (netto)]]</f>
        <v>8758</v>
      </c>
      <c r="W185" s="257">
        <f>IF(U185&gt;0,Ruimtestaat[[#This Row],[Prest. (m2 /jaar) werkdagen]]/Ruimtestaat[[#This Row],[Norm (m2/uur) werkdagen]],0)</f>
        <v>87.58</v>
      </c>
      <c r="X185" s="258">
        <f>Ruimtestaat[[#This Row],[uren / jaar werkdagen]]*Tariefsopbouw!$D$38</f>
        <v>2189.5</v>
      </c>
      <c r="Y185" s="33"/>
      <c r="Z185" s="33">
        <f>IF(Ruimtestaat[[#This Row],[Frequentie weekend]]&gt;0,VALUE(LEFT(Y185,1))*R185,0)</f>
        <v>0</v>
      </c>
      <c r="AA185" s="33">
        <f>IF($Z185&gt;0,VLOOKUP($J185,Ruimtegroepen[],3,FALSE)*VLOOKUP($L185,Vloersoorten[],3,FALSE)*VLOOKUP($Y185,Frequenties[],3,FALSE)*VLOOKUP(#REF!,Locaties[],3,FALSE),0)</f>
        <v>0</v>
      </c>
      <c r="AB185" s="33"/>
      <c r="AC185" s="33"/>
      <c r="AD185" s="33">
        <f>Ruimtestaat[[#This Row],[uren / jaar weekend]]*Tariefsopbouw!$D$40</f>
        <v>0</v>
      </c>
      <c r="AE185" s="88">
        <f>Ruimtestaat[[#This Row],[Prest. (m2 /jaar) weekend]]+Ruimtestaat[[#This Row],[Prest. (m2 /jaar) werkdagen]]</f>
        <v>8758</v>
      </c>
      <c r="AF185" s="88">
        <f>Ruimtestaat[[#This Row],[uren / jaar weekend]]+Ruimtestaat[[#This Row],[uren / jaar werkdagen]]</f>
        <v>87.58</v>
      </c>
      <c r="AG185" s="89">
        <f>Ruimtestaat[[#This Row],[kosten / jaar weekend]]+Ruimtestaat[[#This Row],[kosten / jaar werkdagen]]</f>
        <v>2189.5</v>
      </c>
    </row>
    <row r="186" spans="1:33" ht="15" customHeight="1">
      <c r="A186" s="129">
        <v>1</v>
      </c>
      <c r="B186" s="21" t="str">
        <f>VLOOKUP(Ruimtestaat[[#This Row],[Code]],Locaties[#All],2,FALSE)</f>
        <v>Groenlo</v>
      </c>
      <c r="C186" s="21" t="str">
        <f>VLOOKUP(Ruimtestaat[[#This Row],[Code]],Locaties[#All],4,FALSE)</f>
        <v>Deken Hooijmanssingel 1</v>
      </c>
      <c r="D186" s="241" t="str">
        <f>VLOOKUP(Ruimtestaat[[#This Row],[Code]],Locaties[#All],5,FALSE)</f>
        <v>7141 EA</v>
      </c>
      <c r="E186" s="241" t="str">
        <f>VLOOKUP(Ruimtestaat[[#This Row],[Code]],Locaties[#All],6,FALSE)</f>
        <v>Groenlo</v>
      </c>
      <c r="F186" s="195" t="s">
        <v>774</v>
      </c>
      <c r="G186" s="195">
        <v>2</v>
      </c>
      <c r="H186" s="195" t="s">
        <v>532</v>
      </c>
      <c r="I186" s="242" t="s">
        <v>22</v>
      </c>
      <c r="J186" s="195">
        <v>5</v>
      </c>
      <c r="K186" s="260" t="str">
        <f>VLOOKUP(Ruimtestaat[[#This Row],[Ruimte code]],Ruimtegroepen[#All],2,FALSE)</f>
        <v>Sanitair</v>
      </c>
      <c r="L186" s="211" t="s">
        <v>111</v>
      </c>
      <c r="M186" s="195" t="s">
        <v>777</v>
      </c>
      <c r="N186" s="197">
        <v>7.81</v>
      </c>
      <c r="O186" s="209"/>
      <c r="P186" s="241" t="str">
        <f>VLOOKUP(Ruimtestaat[[#This Row],[Ruimte code]],Ruimtegroepen[#All],4,FALSE)</f>
        <v>S  (Sanitair)</v>
      </c>
      <c r="Q186" s="210"/>
      <c r="R186" s="211">
        <v>40</v>
      </c>
      <c r="S186" s="211" t="s">
        <v>2</v>
      </c>
      <c r="T186" s="211">
        <f>IF(R186&gt;0,IF(RIGHT(Ruimtestaat[[#This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186" s="211">
        <f>IF(T186&gt;0,VLOOKUP($J186,Ruimtegroepen[],3,FALSE)*VLOOKUP($L186,Vloersoorten[],3,FALSE)*VLOOKUP($S186,Frequenties[],3,FALSE)*VLOOKUP($A186,Locaties[],3,FALSE),0)</f>
        <v>100</v>
      </c>
      <c r="V186" s="211">
        <f>Ruimtestaat[[#This Row],[Uitvoeringen werkdagen]]*Ruimtestaat[[#This Row],[Oppervlak (netto)]]</f>
        <v>1562</v>
      </c>
      <c r="W186" s="257">
        <f>IF(U186&gt;0,Ruimtestaat[[#This Row],[Prest. (m2 /jaar) werkdagen]]/Ruimtestaat[[#This Row],[Norm (m2/uur) werkdagen]],0)</f>
        <v>15.62</v>
      </c>
      <c r="X186" s="258">
        <f>Ruimtestaat[[#This Row],[uren / jaar werkdagen]]*Tariefsopbouw!$D$38</f>
        <v>390.5</v>
      </c>
      <c r="Y186" s="33"/>
      <c r="Z186" s="33">
        <f>IF(Ruimtestaat[[#This Row],[Frequentie weekend]]&gt;0,VALUE(LEFT(Y186,1))*R186,0)</f>
        <v>0</v>
      </c>
      <c r="AA186" s="33">
        <f>IF($Z186&gt;0,VLOOKUP($J186,Ruimtegroepen[],3,FALSE)*VLOOKUP($L186,Vloersoorten[],3,FALSE)*VLOOKUP($Y186,Frequenties[],3,FALSE)*VLOOKUP(#REF!,Locaties[],3,FALSE),0)</f>
        <v>0</v>
      </c>
      <c r="AB186" s="33"/>
      <c r="AC186" s="33"/>
      <c r="AD186" s="33">
        <f>Ruimtestaat[[#This Row],[uren / jaar weekend]]*Tariefsopbouw!$D$40</f>
        <v>0</v>
      </c>
      <c r="AE186" s="88">
        <f>Ruimtestaat[[#This Row],[Prest. (m2 /jaar) weekend]]+Ruimtestaat[[#This Row],[Prest. (m2 /jaar) werkdagen]]</f>
        <v>1562</v>
      </c>
      <c r="AF186" s="88">
        <f>Ruimtestaat[[#This Row],[uren / jaar weekend]]+Ruimtestaat[[#This Row],[uren / jaar werkdagen]]</f>
        <v>15.62</v>
      </c>
      <c r="AG186" s="89">
        <f>Ruimtestaat[[#This Row],[kosten / jaar weekend]]+Ruimtestaat[[#This Row],[kosten / jaar werkdagen]]</f>
        <v>390.5</v>
      </c>
    </row>
    <row r="187" spans="1:33" ht="15" customHeight="1">
      <c r="A187" s="129">
        <v>1</v>
      </c>
      <c r="B187" s="21" t="str">
        <f>VLOOKUP(Ruimtestaat[[#This Row],[Code]],Locaties[#All],2,FALSE)</f>
        <v>Groenlo</v>
      </c>
      <c r="C187" s="21" t="str">
        <f>VLOOKUP(Ruimtestaat[[#This Row],[Code]],Locaties[#All],4,FALSE)</f>
        <v>Deken Hooijmanssingel 1</v>
      </c>
      <c r="D187" s="241" t="str">
        <f>VLOOKUP(Ruimtestaat[[#This Row],[Code]],Locaties[#All],5,FALSE)</f>
        <v>7141 EA</v>
      </c>
      <c r="E187" s="241" t="str">
        <f>VLOOKUP(Ruimtestaat[[#This Row],[Code]],Locaties[#All],6,FALSE)</f>
        <v>Groenlo</v>
      </c>
      <c r="F187" s="195" t="s">
        <v>774</v>
      </c>
      <c r="G187" s="195">
        <v>2</v>
      </c>
      <c r="H187" s="195" t="s">
        <v>533</v>
      </c>
      <c r="I187" s="242" t="s">
        <v>601</v>
      </c>
      <c r="J187" s="195">
        <v>21</v>
      </c>
      <c r="K187" s="260" t="str">
        <f>VLOOKUP(Ruimtestaat[[#This Row],[Ruimte code]],Ruimtegroepen[#All],2,FALSE)</f>
        <v>Niet in onderhoud</v>
      </c>
      <c r="L187" s="211" t="s">
        <v>111</v>
      </c>
      <c r="M187" s="195" t="s">
        <v>779</v>
      </c>
      <c r="N187" s="197"/>
      <c r="O187" s="209">
        <v>26.18</v>
      </c>
      <c r="P187" s="241" t="str">
        <f>VLOOKUP(Ruimtestaat[[#This Row],[Ruimte code]],Ruimtegroepen[#All],4,FALSE)</f>
        <v>Niet in onderhoud</v>
      </c>
      <c r="Q187" s="210"/>
      <c r="R187" s="211"/>
      <c r="S187" s="211"/>
      <c r="T187" s="211">
        <f>IF(R187&gt;0,IF(RIGHT(Ruimtestaat[[#This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187" s="211">
        <f>IF(T187&gt;0,VLOOKUP($J187,Ruimtegroepen[],3,FALSE)*VLOOKUP($L187,Vloersoorten[],3,FALSE)*VLOOKUP($S187,Frequenties[],3,FALSE)*VLOOKUP($A187,Locaties[],3,FALSE),0)</f>
        <v>0</v>
      </c>
      <c r="V187" s="211">
        <f>Ruimtestaat[[#This Row],[Uitvoeringen werkdagen]]*Ruimtestaat[[#This Row],[Oppervlak (netto)]]</f>
        <v>0</v>
      </c>
      <c r="W187" s="257">
        <f>IF(U187&gt;0,Ruimtestaat[[#This Row],[Prest. (m2 /jaar) werkdagen]]/Ruimtestaat[[#This Row],[Norm (m2/uur) werkdagen]],0)</f>
        <v>0</v>
      </c>
      <c r="X187" s="258">
        <f>Ruimtestaat[[#This Row],[uren / jaar werkdagen]]*Tariefsopbouw!$D$38</f>
        <v>0</v>
      </c>
      <c r="Y187" s="33"/>
      <c r="Z187" s="33">
        <f>IF(Ruimtestaat[[#This Row],[Frequentie weekend]]&gt;0,VALUE(LEFT(Y187,1))*R187,0)</f>
        <v>0</v>
      </c>
      <c r="AA187" s="33">
        <f>IF($Z187&gt;0,VLOOKUP($J187,Ruimtegroepen[],3,FALSE)*VLOOKUP($L187,Vloersoorten[],3,FALSE)*VLOOKUP($Y187,Frequenties[],3,FALSE)*VLOOKUP(#REF!,Locaties[],3,FALSE),0)</f>
        <v>0</v>
      </c>
      <c r="AB187" s="33"/>
      <c r="AC187" s="33"/>
      <c r="AD187" s="33">
        <f>Ruimtestaat[[#This Row],[uren / jaar weekend]]*Tariefsopbouw!$D$40</f>
        <v>0</v>
      </c>
      <c r="AE187" s="88">
        <f>Ruimtestaat[[#This Row],[Prest. (m2 /jaar) weekend]]+Ruimtestaat[[#This Row],[Prest. (m2 /jaar) werkdagen]]</f>
        <v>0</v>
      </c>
      <c r="AF187" s="88">
        <f>Ruimtestaat[[#This Row],[uren / jaar weekend]]+Ruimtestaat[[#This Row],[uren / jaar werkdagen]]</f>
        <v>0</v>
      </c>
      <c r="AG187" s="89">
        <f>Ruimtestaat[[#This Row],[kosten / jaar weekend]]+Ruimtestaat[[#This Row],[kosten / jaar werkdagen]]</f>
        <v>0</v>
      </c>
    </row>
    <row r="188" spans="1:33" ht="15" customHeight="1">
      <c r="A188" s="129">
        <v>1</v>
      </c>
      <c r="B188" s="21" t="str">
        <f>VLOOKUP(Ruimtestaat[[#This Row],[Code]],Locaties[#All],2,FALSE)</f>
        <v>Groenlo</v>
      </c>
      <c r="C188" s="21" t="str">
        <f>VLOOKUP(Ruimtestaat[[#This Row],[Code]],Locaties[#All],4,FALSE)</f>
        <v>Deken Hooijmanssingel 1</v>
      </c>
      <c r="D188" s="241" t="str">
        <f>VLOOKUP(Ruimtestaat[[#This Row],[Code]],Locaties[#All],5,FALSE)</f>
        <v>7141 EA</v>
      </c>
      <c r="E188" s="241" t="str">
        <f>VLOOKUP(Ruimtestaat[[#This Row],[Code]],Locaties[#All],6,FALSE)</f>
        <v>Groenlo</v>
      </c>
      <c r="F188" s="195" t="s">
        <v>774</v>
      </c>
      <c r="G188" s="195">
        <v>2</v>
      </c>
      <c r="H188" s="195" t="s">
        <v>534</v>
      </c>
      <c r="I188" s="242" t="s">
        <v>382</v>
      </c>
      <c r="J188" s="195">
        <v>6</v>
      </c>
      <c r="K188" s="260" t="str">
        <f>VLOOKUP(Ruimtestaat[[#This Row],[Ruimte code]],Ruimtegroepen[#All],2,FALSE)</f>
        <v>Gangen/hallen</v>
      </c>
      <c r="L188" s="211" t="s">
        <v>110</v>
      </c>
      <c r="M188" s="195" t="s">
        <v>133</v>
      </c>
      <c r="N188" s="197">
        <v>1.04</v>
      </c>
      <c r="O188" s="209"/>
      <c r="P188" s="241" t="str">
        <f>VLOOKUP(Ruimtestaat[[#This Row],[Ruimte code]],Ruimtegroepen[#All],4,FALSE)</f>
        <v>V  (Verkeersruimte)</v>
      </c>
      <c r="Q188" s="210"/>
      <c r="R188" s="211">
        <v>40</v>
      </c>
      <c r="S188" s="211" t="s">
        <v>2</v>
      </c>
      <c r="T188" s="211">
        <f>IF(R188&gt;0,IF(RIGHT(Ruimtestaat[[#This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188" s="211">
        <f>IF(T188&gt;0,VLOOKUP($J188,Ruimtegroepen[],3,FALSE)*VLOOKUP($L188,Vloersoorten[],3,FALSE)*VLOOKUP($S188,Frequenties[],3,FALSE)*VLOOKUP($A188,Locaties[],3,FALSE),0)</f>
        <v>100</v>
      </c>
      <c r="V188" s="211">
        <f>Ruimtestaat[[#This Row],[Uitvoeringen werkdagen]]*Ruimtestaat[[#This Row],[Oppervlak (netto)]]</f>
        <v>208</v>
      </c>
      <c r="W188" s="257">
        <f>IF(U188&gt;0,Ruimtestaat[[#This Row],[Prest. (m2 /jaar) werkdagen]]/Ruimtestaat[[#This Row],[Norm (m2/uur) werkdagen]],0)</f>
        <v>2.08</v>
      </c>
      <c r="X188" s="258">
        <f>Ruimtestaat[[#This Row],[uren / jaar werkdagen]]*Tariefsopbouw!$D$38</f>
        <v>52</v>
      </c>
      <c r="Y188" s="33"/>
      <c r="Z188" s="33">
        <f>IF(Ruimtestaat[[#This Row],[Frequentie weekend]]&gt;0,VALUE(LEFT(Y188,1))*R188,0)</f>
        <v>0</v>
      </c>
      <c r="AA188" s="33">
        <f>IF($Z188&gt;0,VLOOKUP($J188,Ruimtegroepen[],3,FALSE)*VLOOKUP($L188,Vloersoorten[],3,FALSE)*VLOOKUP($Y188,Frequenties[],3,FALSE)*VLOOKUP(#REF!,Locaties[],3,FALSE),0)</f>
        <v>0</v>
      </c>
      <c r="AB188" s="33"/>
      <c r="AC188" s="33"/>
      <c r="AD188" s="33">
        <f>Ruimtestaat[[#This Row],[uren / jaar weekend]]*Tariefsopbouw!$D$40</f>
        <v>0</v>
      </c>
      <c r="AE188" s="88">
        <f>Ruimtestaat[[#This Row],[Prest. (m2 /jaar) weekend]]+Ruimtestaat[[#This Row],[Prest. (m2 /jaar) werkdagen]]</f>
        <v>208</v>
      </c>
      <c r="AF188" s="88">
        <f>Ruimtestaat[[#This Row],[uren / jaar weekend]]+Ruimtestaat[[#This Row],[uren / jaar werkdagen]]</f>
        <v>2.08</v>
      </c>
      <c r="AG188" s="89">
        <f>Ruimtestaat[[#This Row],[kosten / jaar weekend]]+Ruimtestaat[[#This Row],[kosten / jaar werkdagen]]</f>
        <v>52</v>
      </c>
    </row>
    <row r="189" spans="1:33" ht="15" customHeight="1">
      <c r="A189" s="129">
        <v>1</v>
      </c>
      <c r="B189" s="21" t="str">
        <f>VLOOKUP(Ruimtestaat[[#This Row],[Code]],Locaties[#All],2,FALSE)</f>
        <v>Groenlo</v>
      </c>
      <c r="C189" s="21" t="str">
        <f>VLOOKUP(Ruimtestaat[[#This Row],[Code]],Locaties[#All],4,FALSE)</f>
        <v>Deken Hooijmanssingel 1</v>
      </c>
      <c r="D189" s="241" t="str">
        <f>VLOOKUP(Ruimtestaat[[#This Row],[Code]],Locaties[#All],5,FALSE)</f>
        <v>7141 EA</v>
      </c>
      <c r="E189" s="241" t="str">
        <f>VLOOKUP(Ruimtestaat[[#This Row],[Code]],Locaties[#All],6,FALSE)</f>
        <v>Groenlo</v>
      </c>
      <c r="F189" s="195" t="s">
        <v>774</v>
      </c>
      <c r="G189" s="195">
        <v>2</v>
      </c>
      <c r="H189" s="195" t="s">
        <v>535</v>
      </c>
      <c r="I189" s="242" t="s">
        <v>827</v>
      </c>
      <c r="J189" s="195">
        <v>20</v>
      </c>
      <c r="K189" s="260" t="str">
        <f>VLOOKUP(Ruimtestaat[[#This Row],[Ruimte code]],Ruimtegroepen[#All],2,FALSE)</f>
        <v>Beroepspraktijklokalen</v>
      </c>
      <c r="L189" s="211" t="s">
        <v>110</v>
      </c>
      <c r="M189" s="195" t="s">
        <v>133</v>
      </c>
      <c r="N189" s="197">
        <v>55.64</v>
      </c>
      <c r="O189" s="209"/>
      <c r="P189" s="241" t="str">
        <f>VLOOKUP(Ruimtestaat[[#This Row],[Ruimte code]],Ruimtegroepen[#All],4,FALSE)</f>
        <v>L  (Lesruimte)</v>
      </c>
      <c r="Q189" s="210"/>
      <c r="R189" s="211">
        <v>40</v>
      </c>
      <c r="S189" s="211" t="s">
        <v>2</v>
      </c>
      <c r="T189" s="211">
        <f>IF(R189&gt;0,IF(RIGHT(Ruimtestaat[[#This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189" s="211">
        <f>IF(T189&gt;0,VLOOKUP($J189,Ruimtegroepen[],3,FALSE)*VLOOKUP($L189,Vloersoorten[],3,FALSE)*VLOOKUP($S189,Frequenties[],3,FALSE)*VLOOKUP($A189,Locaties[],3,FALSE),0)</f>
        <v>100</v>
      </c>
      <c r="V189" s="211">
        <f>Ruimtestaat[[#This Row],[Uitvoeringen werkdagen]]*Ruimtestaat[[#This Row],[Oppervlak (netto)]]</f>
        <v>11128</v>
      </c>
      <c r="W189" s="257">
        <f>IF(U189&gt;0,Ruimtestaat[[#This Row],[Prest. (m2 /jaar) werkdagen]]/Ruimtestaat[[#This Row],[Norm (m2/uur) werkdagen]],0)</f>
        <v>111.28</v>
      </c>
      <c r="X189" s="258">
        <f>Ruimtestaat[[#This Row],[uren / jaar werkdagen]]*Tariefsopbouw!$D$38</f>
        <v>2782</v>
      </c>
      <c r="Y189" s="33"/>
      <c r="Z189" s="33">
        <f>IF(Ruimtestaat[[#This Row],[Frequentie weekend]]&gt;0,VALUE(LEFT(Y189,1))*R189,0)</f>
        <v>0</v>
      </c>
      <c r="AA189" s="33">
        <f>IF($Z189&gt;0,VLOOKUP($J189,Ruimtegroepen[],3,FALSE)*VLOOKUP($L189,Vloersoorten[],3,FALSE)*VLOOKUP($Y189,Frequenties[],3,FALSE)*VLOOKUP(#REF!,Locaties[],3,FALSE),0)</f>
        <v>0</v>
      </c>
      <c r="AB189" s="33"/>
      <c r="AC189" s="33"/>
      <c r="AD189" s="33">
        <f>Ruimtestaat[[#This Row],[uren / jaar weekend]]*Tariefsopbouw!$D$40</f>
        <v>0</v>
      </c>
      <c r="AE189" s="88">
        <f>Ruimtestaat[[#This Row],[Prest. (m2 /jaar) weekend]]+Ruimtestaat[[#This Row],[Prest. (m2 /jaar) werkdagen]]</f>
        <v>11128</v>
      </c>
      <c r="AF189" s="88">
        <f>Ruimtestaat[[#This Row],[uren / jaar weekend]]+Ruimtestaat[[#This Row],[uren / jaar werkdagen]]</f>
        <v>111.28</v>
      </c>
      <c r="AG189" s="89">
        <f>Ruimtestaat[[#This Row],[kosten / jaar weekend]]+Ruimtestaat[[#This Row],[kosten / jaar werkdagen]]</f>
        <v>2782</v>
      </c>
    </row>
    <row r="190" spans="1:33" ht="15" customHeight="1">
      <c r="A190" s="129">
        <v>1</v>
      </c>
      <c r="B190" s="21" t="str">
        <f>VLOOKUP(Ruimtestaat[[#This Row],[Code]],Locaties[#All],2,FALSE)</f>
        <v>Groenlo</v>
      </c>
      <c r="C190" s="21" t="str">
        <f>VLOOKUP(Ruimtestaat[[#This Row],[Code]],Locaties[#All],4,FALSE)</f>
        <v>Deken Hooijmanssingel 1</v>
      </c>
      <c r="D190" s="241" t="str">
        <f>VLOOKUP(Ruimtestaat[[#This Row],[Code]],Locaties[#All],5,FALSE)</f>
        <v>7141 EA</v>
      </c>
      <c r="E190" s="241" t="str">
        <f>VLOOKUP(Ruimtestaat[[#This Row],[Code]],Locaties[#All],6,FALSE)</f>
        <v>Groenlo</v>
      </c>
      <c r="F190" s="195" t="s">
        <v>774</v>
      </c>
      <c r="G190" s="195">
        <v>2</v>
      </c>
      <c r="H190" s="195" t="s">
        <v>536</v>
      </c>
      <c r="I190" s="242" t="s">
        <v>827</v>
      </c>
      <c r="J190" s="195">
        <v>20</v>
      </c>
      <c r="K190" s="260" t="str">
        <f>VLOOKUP(Ruimtestaat[[#This Row],[Ruimte code]],Ruimtegroepen[#All],2,FALSE)</f>
        <v>Beroepspraktijklokalen</v>
      </c>
      <c r="L190" s="211" t="s">
        <v>110</v>
      </c>
      <c r="M190" s="195" t="s">
        <v>133</v>
      </c>
      <c r="N190" s="197">
        <v>171.72</v>
      </c>
      <c r="O190" s="209"/>
      <c r="P190" s="241" t="str">
        <f>VLOOKUP(Ruimtestaat[[#This Row],[Ruimte code]],Ruimtegroepen[#All],4,FALSE)</f>
        <v>L  (Lesruimte)</v>
      </c>
      <c r="Q190" s="210"/>
      <c r="R190" s="211">
        <v>40</v>
      </c>
      <c r="S190" s="211" t="s">
        <v>2</v>
      </c>
      <c r="T190" s="211">
        <f>IF(R190&gt;0,IF(RIGHT(Ruimtestaat[[#This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190" s="211">
        <f>IF(T190&gt;0,VLOOKUP($J190,Ruimtegroepen[],3,FALSE)*VLOOKUP($L190,Vloersoorten[],3,FALSE)*VLOOKUP($S190,Frequenties[],3,FALSE)*VLOOKUP($A190,Locaties[],3,FALSE),0)</f>
        <v>100</v>
      </c>
      <c r="V190" s="211">
        <f>Ruimtestaat[[#This Row],[Uitvoeringen werkdagen]]*Ruimtestaat[[#This Row],[Oppervlak (netto)]]</f>
        <v>34344</v>
      </c>
      <c r="W190" s="257">
        <f>IF(U190&gt;0,Ruimtestaat[[#This Row],[Prest. (m2 /jaar) werkdagen]]/Ruimtestaat[[#This Row],[Norm (m2/uur) werkdagen]],0)</f>
        <v>343.44</v>
      </c>
      <c r="X190" s="258">
        <f>Ruimtestaat[[#This Row],[uren / jaar werkdagen]]*Tariefsopbouw!$D$38</f>
        <v>8586</v>
      </c>
      <c r="Y190" s="33"/>
      <c r="Z190" s="33">
        <f>IF(Ruimtestaat[[#This Row],[Frequentie weekend]]&gt;0,VALUE(LEFT(Y190,1))*R190,0)</f>
        <v>0</v>
      </c>
      <c r="AA190" s="33">
        <f>IF($Z190&gt;0,VLOOKUP($J190,Ruimtegroepen[],3,FALSE)*VLOOKUP($L190,Vloersoorten[],3,FALSE)*VLOOKUP($Y190,Frequenties[],3,FALSE)*VLOOKUP(#REF!,Locaties[],3,FALSE),0)</f>
        <v>0</v>
      </c>
      <c r="AB190" s="33"/>
      <c r="AC190" s="33"/>
      <c r="AD190" s="33">
        <f>Ruimtestaat[[#This Row],[uren / jaar weekend]]*Tariefsopbouw!$D$40</f>
        <v>0</v>
      </c>
      <c r="AE190" s="88">
        <f>Ruimtestaat[[#This Row],[Prest. (m2 /jaar) weekend]]+Ruimtestaat[[#This Row],[Prest. (m2 /jaar) werkdagen]]</f>
        <v>34344</v>
      </c>
      <c r="AF190" s="88">
        <f>Ruimtestaat[[#This Row],[uren / jaar weekend]]+Ruimtestaat[[#This Row],[uren / jaar werkdagen]]</f>
        <v>343.44</v>
      </c>
      <c r="AG190" s="89">
        <f>Ruimtestaat[[#This Row],[kosten / jaar weekend]]+Ruimtestaat[[#This Row],[kosten / jaar werkdagen]]</f>
        <v>8586</v>
      </c>
    </row>
    <row r="191" spans="1:33" ht="15" customHeight="1">
      <c r="A191" s="129">
        <v>1</v>
      </c>
      <c r="B191" s="21" t="str">
        <f>VLOOKUP(Ruimtestaat[[#This Row],[Code]],Locaties[#All],2,FALSE)</f>
        <v>Groenlo</v>
      </c>
      <c r="C191" s="21" t="str">
        <f>VLOOKUP(Ruimtestaat[[#This Row],[Code]],Locaties[#All],4,FALSE)</f>
        <v>Deken Hooijmanssingel 1</v>
      </c>
      <c r="D191" s="241" t="str">
        <f>VLOOKUP(Ruimtestaat[[#This Row],[Code]],Locaties[#All],5,FALSE)</f>
        <v>7141 EA</v>
      </c>
      <c r="E191" s="241" t="str">
        <f>VLOOKUP(Ruimtestaat[[#This Row],[Code]],Locaties[#All],6,FALSE)</f>
        <v>Groenlo</v>
      </c>
      <c r="F191" s="195" t="s">
        <v>774</v>
      </c>
      <c r="G191" s="195">
        <v>2</v>
      </c>
      <c r="H191" s="195" t="s">
        <v>537</v>
      </c>
      <c r="I191" s="242" t="s">
        <v>828</v>
      </c>
      <c r="J191" s="195">
        <v>11</v>
      </c>
      <c r="K191" s="260" t="str">
        <f>VLOOKUP(Ruimtestaat[[#This Row],[Ruimte code]],Ruimtegroepen[#All],2,FALSE)</f>
        <v>Praktijklokaal</v>
      </c>
      <c r="L191" s="211" t="s">
        <v>111</v>
      </c>
      <c r="M191" s="195" t="s">
        <v>829</v>
      </c>
      <c r="N191" s="197">
        <v>34.49</v>
      </c>
      <c r="O191" s="209"/>
      <c r="P191" s="241" t="str">
        <f>VLOOKUP(Ruimtestaat[[#This Row],[Ruimte code]],Ruimtegroepen[#All],4,FALSE)</f>
        <v>L  (Lesruimte)</v>
      </c>
      <c r="Q191" s="210"/>
      <c r="R191" s="211">
        <v>40</v>
      </c>
      <c r="S191" s="211" t="s">
        <v>16</v>
      </c>
      <c r="T191" s="211">
        <f>IF(R191&gt;0,IF(RIGHT(Ruimtestaat[[#This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U191" s="211">
        <f>IF(T191&gt;0,VLOOKUP($J191,Ruimtegroepen[],3,FALSE)*VLOOKUP($L191,Vloersoorten[],3,FALSE)*VLOOKUP($S191,Frequenties[],3,FALSE)*VLOOKUP($A191,Locaties[],3,FALSE),0)</f>
        <v>100</v>
      </c>
      <c r="V191" s="211">
        <f>Ruimtestaat[[#This Row],[Uitvoeringen werkdagen]]*Ruimtestaat[[#This Row],[Oppervlak (netto)]]</f>
        <v>413.88</v>
      </c>
      <c r="W191" s="257">
        <f>IF(U191&gt;0,Ruimtestaat[[#This Row],[Prest. (m2 /jaar) werkdagen]]/Ruimtestaat[[#This Row],[Norm (m2/uur) werkdagen]],0)</f>
        <v>4.1387999999999998</v>
      </c>
      <c r="X191" s="258">
        <f>Ruimtestaat[[#This Row],[uren / jaar werkdagen]]*Tariefsopbouw!$D$38</f>
        <v>103.47</v>
      </c>
      <c r="Y191" s="33"/>
      <c r="Z191" s="33">
        <f>IF(Ruimtestaat[[#This Row],[Frequentie weekend]]&gt;0,VALUE(LEFT(Y191,1))*R191,0)</f>
        <v>0</v>
      </c>
      <c r="AA191" s="33">
        <f>IF($Z191&gt;0,VLOOKUP($J191,Ruimtegroepen[],3,FALSE)*VLOOKUP($L191,Vloersoorten[],3,FALSE)*VLOOKUP($Y191,Frequenties[],3,FALSE)*VLOOKUP(#REF!,Locaties[],3,FALSE),0)</f>
        <v>0</v>
      </c>
      <c r="AB191" s="33"/>
      <c r="AC191" s="33"/>
      <c r="AD191" s="33">
        <f>Ruimtestaat[[#This Row],[uren / jaar weekend]]*Tariefsopbouw!$D$40</f>
        <v>0</v>
      </c>
      <c r="AE191" s="88">
        <f>Ruimtestaat[[#This Row],[Prest. (m2 /jaar) weekend]]+Ruimtestaat[[#This Row],[Prest. (m2 /jaar) werkdagen]]</f>
        <v>413.88</v>
      </c>
      <c r="AF191" s="88">
        <f>Ruimtestaat[[#This Row],[uren / jaar weekend]]+Ruimtestaat[[#This Row],[uren / jaar werkdagen]]</f>
        <v>4.1387999999999998</v>
      </c>
      <c r="AG191" s="89">
        <f>Ruimtestaat[[#This Row],[kosten / jaar weekend]]+Ruimtestaat[[#This Row],[kosten / jaar werkdagen]]</f>
        <v>103.47</v>
      </c>
    </row>
    <row r="192" spans="1:33" ht="15" customHeight="1">
      <c r="A192" s="129">
        <v>1</v>
      </c>
      <c r="B192" s="21" t="str">
        <f>VLOOKUP(Ruimtestaat[[#This Row],[Code]],Locaties[#All],2,FALSE)</f>
        <v>Groenlo</v>
      </c>
      <c r="C192" s="21" t="str">
        <f>VLOOKUP(Ruimtestaat[[#This Row],[Code]],Locaties[#All],4,FALSE)</f>
        <v>Deken Hooijmanssingel 1</v>
      </c>
      <c r="D192" s="241" t="str">
        <f>VLOOKUP(Ruimtestaat[[#This Row],[Code]],Locaties[#All],5,FALSE)</f>
        <v>7141 EA</v>
      </c>
      <c r="E192" s="241" t="str">
        <f>VLOOKUP(Ruimtestaat[[#This Row],[Code]],Locaties[#All],6,FALSE)</f>
        <v>Groenlo</v>
      </c>
      <c r="F192" s="195" t="s">
        <v>774</v>
      </c>
      <c r="G192" s="195">
        <v>2</v>
      </c>
      <c r="H192" s="195" t="s">
        <v>538</v>
      </c>
      <c r="I192" s="242" t="s">
        <v>765</v>
      </c>
      <c r="J192" s="195">
        <v>11</v>
      </c>
      <c r="K192" s="260" t="str">
        <f>VLOOKUP(Ruimtestaat[[#This Row],[Ruimte code]],Ruimtegroepen[#All],2,FALSE)</f>
        <v>Praktijklokaal</v>
      </c>
      <c r="L192" s="211" t="s">
        <v>110</v>
      </c>
      <c r="M192" s="195" t="s">
        <v>133</v>
      </c>
      <c r="N192" s="197">
        <v>16.36</v>
      </c>
      <c r="O192" s="209"/>
      <c r="P192" s="241" t="str">
        <f>VLOOKUP(Ruimtestaat[[#This Row],[Ruimte code]],Ruimtegroepen[#All],4,FALSE)</f>
        <v>L  (Lesruimte)</v>
      </c>
      <c r="Q192" s="210"/>
      <c r="R192" s="211">
        <v>40</v>
      </c>
      <c r="S192" s="211" t="s">
        <v>2</v>
      </c>
      <c r="T192" s="211">
        <f>IF(R192&gt;0,IF(RIGHT(Ruimtestaat[[#This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192" s="211">
        <f>IF(T192&gt;0,VLOOKUP($J192,Ruimtegroepen[],3,FALSE)*VLOOKUP($L192,Vloersoorten[],3,FALSE)*VLOOKUP($S192,Frequenties[],3,FALSE)*VLOOKUP($A192,Locaties[],3,FALSE),0)</f>
        <v>100</v>
      </c>
      <c r="V192" s="211">
        <f>Ruimtestaat[[#This Row],[Uitvoeringen werkdagen]]*Ruimtestaat[[#This Row],[Oppervlak (netto)]]</f>
        <v>3272</v>
      </c>
      <c r="W192" s="257">
        <f>IF(U192&gt;0,Ruimtestaat[[#This Row],[Prest. (m2 /jaar) werkdagen]]/Ruimtestaat[[#This Row],[Norm (m2/uur) werkdagen]],0)</f>
        <v>32.72</v>
      </c>
      <c r="X192" s="258">
        <f>Ruimtestaat[[#This Row],[uren / jaar werkdagen]]*Tariefsopbouw!$D$38</f>
        <v>818</v>
      </c>
      <c r="Y192" s="33"/>
      <c r="Z192" s="33">
        <f>IF(Ruimtestaat[[#This Row],[Frequentie weekend]]&gt;0,VALUE(LEFT(Y192,1))*R192,0)</f>
        <v>0</v>
      </c>
      <c r="AA192" s="33">
        <f>IF($Z192&gt;0,VLOOKUP($J192,Ruimtegroepen[],3,FALSE)*VLOOKUP($L192,Vloersoorten[],3,FALSE)*VLOOKUP($Y192,Frequenties[],3,FALSE)*VLOOKUP(#REF!,Locaties[],3,FALSE),0)</f>
        <v>0</v>
      </c>
      <c r="AB192" s="33"/>
      <c r="AC192" s="33"/>
      <c r="AD192" s="33">
        <f>Ruimtestaat[[#This Row],[uren / jaar weekend]]*Tariefsopbouw!$D$40</f>
        <v>0</v>
      </c>
      <c r="AE192" s="88">
        <f>Ruimtestaat[[#This Row],[Prest. (m2 /jaar) weekend]]+Ruimtestaat[[#This Row],[Prest. (m2 /jaar) werkdagen]]</f>
        <v>3272</v>
      </c>
      <c r="AF192" s="88">
        <f>Ruimtestaat[[#This Row],[uren / jaar weekend]]+Ruimtestaat[[#This Row],[uren / jaar werkdagen]]</f>
        <v>32.72</v>
      </c>
      <c r="AG192" s="89">
        <f>Ruimtestaat[[#This Row],[kosten / jaar weekend]]+Ruimtestaat[[#This Row],[kosten / jaar werkdagen]]</f>
        <v>818</v>
      </c>
    </row>
    <row r="193" spans="1:33" ht="15" customHeight="1">
      <c r="A193" s="129">
        <v>1</v>
      </c>
      <c r="B193" s="21" t="str">
        <f>VLOOKUP(Ruimtestaat[[#This Row],[Code]],Locaties[#All],2,FALSE)</f>
        <v>Groenlo</v>
      </c>
      <c r="C193" s="21" t="str">
        <f>VLOOKUP(Ruimtestaat[[#This Row],[Code]],Locaties[#All],4,FALSE)</f>
        <v>Deken Hooijmanssingel 1</v>
      </c>
      <c r="D193" s="241" t="str">
        <f>VLOOKUP(Ruimtestaat[[#This Row],[Code]],Locaties[#All],5,FALSE)</f>
        <v>7141 EA</v>
      </c>
      <c r="E193" s="241" t="str">
        <f>VLOOKUP(Ruimtestaat[[#This Row],[Code]],Locaties[#All],6,FALSE)</f>
        <v>Groenlo</v>
      </c>
      <c r="F193" s="195" t="s">
        <v>774</v>
      </c>
      <c r="G193" s="195">
        <v>2</v>
      </c>
      <c r="H193" s="195" t="s">
        <v>539</v>
      </c>
      <c r="I193" s="242" t="s">
        <v>765</v>
      </c>
      <c r="J193" s="195">
        <v>11</v>
      </c>
      <c r="K193" s="260" t="str">
        <f>VLOOKUP(Ruimtestaat[[#This Row],[Ruimte code]],Ruimtegroepen[#All],2,FALSE)</f>
        <v>Praktijklokaal</v>
      </c>
      <c r="L193" s="211" t="s">
        <v>110</v>
      </c>
      <c r="M193" s="195" t="s">
        <v>133</v>
      </c>
      <c r="N193" s="197">
        <v>14.01</v>
      </c>
      <c r="O193" s="209"/>
      <c r="P193" s="241" t="str">
        <f>VLOOKUP(Ruimtestaat[[#This Row],[Ruimte code]],Ruimtegroepen[#All],4,FALSE)</f>
        <v>L  (Lesruimte)</v>
      </c>
      <c r="Q193" s="210"/>
      <c r="R193" s="211">
        <v>40</v>
      </c>
      <c r="S193" s="211" t="s">
        <v>15</v>
      </c>
      <c r="T193" s="211">
        <f>IF(R193&gt;0,IF(RIGHT(Ruimtestaat[[#This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U193" s="211">
        <f>IF(T193&gt;0,VLOOKUP($J193,Ruimtegroepen[],3,FALSE)*VLOOKUP($L193,Vloersoorten[],3,FALSE)*VLOOKUP($S193,Frequenties[],3,FALSE)*VLOOKUP($A193,Locaties[],3,FALSE),0)</f>
        <v>100</v>
      </c>
      <c r="V193" s="211">
        <f>Ruimtestaat[[#This Row],[Uitvoeringen werkdagen]]*Ruimtestaat[[#This Row],[Oppervlak (netto)]]</f>
        <v>560.4</v>
      </c>
      <c r="W193" s="257">
        <f>IF(U193&gt;0,Ruimtestaat[[#This Row],[Prest. (m2 /jaar) werkdagen]]/Ruimtestaat[[#This Row],[Norm (m2/uur) werkdagen]],0)</f>
        <v>5.6040000000000001</v>
      </c>
      <c r="X193" s="258">
        <f>Ruimtestaat[[#This Row],[uren / jaar werkdagen]]*Tariefsopbouw!$D$38</f>
        <v>140.1</v>
      </c>
      <c r="Y193" s="33"/>
      <c r="Z193" s="33">
        <f>IF(Ruimtestaat[[#This Row],[Frequentie weekend]]&gt;0,VALUE(LEFT(Y193,1))*R193,0)</f>
        <v>0</v>
      </c>
      <c r="AA193" s="33">
        <f>IF($Z193&gt;0,VLOOKUP($J193,Ruimtegroepen[],3,FALSE)*VLOOKUP($L193,Vloersoorten[],3,FALSE)*VLOOKUP($Y193,Frequenties[],3,FALSE)*VLOOKUP(#REF!,Locaties[],3,FALSE),0)</f>
        <v>0</v>
      </c>
      <c r="AB193" s="33"/>
      <c r="AC193" s="33"/>
      <c r="AD193" s="33">
        <f>Ruimtestaat[[#This Row],[uren / jaar weekend]]*Tariefsopbouw!$D$40</f>
        <v>0</v>
      </c>
      <c r="AE193" s="88">
        <f>Ruimtestaat[[#This Row],[Prest. (m2 /jaar) weekend]]+Ruimtestaat[[#This Row],[Prest. (m2 /jaar) werkdagen]]</f>
        <v>560.4</v>
      </c>
      <c r="AF193" s="88">
        <f>Ruimtestaat[[#This Row],[uren / jaar weekend]]+Ruimtestaat[[#This Row],[uren / jaar werkdagen]]</f>
        <v>5.6040000000000001</v>
      </c>
      <c r="AG193" s="89">
        <f>Ruimtestaat[[#This Row],[kosten / jaar weekend]]+Ruimtestaat[[#This Row],[kosten / jaar werkdagen]]</f>
        <v>140.1</v>
      </c>
    </row>
    <row r="194" spans="1:33" ht="15" customHeight="1">
      <c r="A194" s="129">
        <v>1</v>
      </c>
      <c r="B194" s="21" t="str">
        <f>VLOOKUP(Ruimtestaat[[#This Row],[Code]],Locaties[#All],2,FALSE)</f>
        <v>Groenlo</v>
      </c>
      <c r="C194" s="21" t="str">
        <f>VLOOKUP(Ruimtestaat[[#This Row],[Code]],Locaties[#All],4,FALSE)</f>
        <v>Deken Hooijmanssingel 1</v>
      </c>
      <c r="D194" s="241" t="str">
        <f>VLOOKUP(Ruimtestaat[[#This Row],[Code]],Locaties[#All],5,FALSE)</f>
        <v>7141 EA</v>
      </c>
      <c r="E194" s="241" t="str">
        <f>VLOOKUP(Ruimtestaat[[#This Row],[Code]],Locaties[#All],6,FALSE)</f>
        <v>Groenlo</v>
      </c>
      <c r="F194" s="195" t="s">
        <v>774</v>
      </c>
      <c r="G194" s="195">
        <v>2</v>
      </c>
      <c r="H194" s="195" t="s">
        <v>540</v>
      </c>
      <c r="I194" s="242" t="s">
        <v>765</v>
      </c>
      <c r="J194" s="195">
        <v>11</v>
      </c>
      <c r="K194" s="260" t="str">
        <f>VLOOKUP(Ruimtestaat[[#This Row],[Ruimte code]],Ruimtegroepen[#All],2,FALSE)</f>
        <v>Praktijklokaal</v>
      </c>
      <c r="L194" s="211" t="s">
        <v>110</v>
      </c>
      <c r="M194" s="195" t="s">
        <v>133</v>
      </c>
      <c r="N194" s="197">
        <v>92.92</v>
      </c>
      <c r="O194" s="209"/>
      <c r="P194" s="241" t="str">
        <f>VLOOKUP(Ruimtestaat[[#This Row],[Ruimte code]],Ruimtegroepen[#All],4,FALSE)</f>
        <v>L  (Lesruimte)</v>
      </c>
      <c r="Q194" s="210"/>
      <c r="R194" s="211">
        <v>40</v>
      </c>
      <c r="S194" s="211" t="s">
        <v>2</v>
      </c>
      <c r="T194" s="211">
        <f>IF(R194&gt;0,IF(RIGHT(Ruimtestaat[[#This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194" s="211">
        <f>IF(T194&gt;0,VLOOKUP($J194,Ruimtegroepen[],3,FALSE)*VLOOKUP($L194,Vloersoorten[],3,FALSE)*VLOOKUP($S194,Frequenties[],3,FALSE)*VLOOKUP($A194,Locaties[],3,FALSE),0)</f>
        <v>100</v>
      </c>
      <c r="V194" s="211">
        <f>Ruimtestaat[[#This Row],[Uitvoeringen werkdagen]]*Ruimtestaat[[#This Row],[Oppervlak (netto)]]</f>
        <v>18584</v>
      </c>
      <c r="W194" s="257">
        <f>IF(U194&gt;0,Ruimtestaat[[#This Row],[Prest. (m2 /jaar) werkdagen]]/Ruimtestaat[[#This Row],[Norm (m2/uur) werkdagen]],0)</f>
        <v>185.84</v>
      </c>
      <c r="X194" s="258">
        <f>Ruimtestaat[[#This Row],[uren / jaar werkdagen]]*Tariefsopbouw!$D$38</f>
        <v>4646</v>
      </c>
      <c r="Y194" s="33"/>
      <c r="Z194" s="33">
        <f>IF(Ruimtestaat[[#This Row],[Frequentie weekend]]&gt;0,VALUE(LEFT(Y194,1))*R194,0)</f>
        <v>0</v>
      </c>
      <c r="AA194" s="33">
        <f>IF($Z194&gt;0,VLOOKUP($J194,Ruimtegroepen[],3,FALSE)*VLOOKUP($L194,Vloersoorten[],3,FALSE)*VLOOKUP($Y194,Frequenties[],3,FALSE)*VLOOKUP(#REF!,Locaties[],3,FALSE),0)</f>
        <v>0</v>
      </c>
      <c r="AB194" s="33"/>
      <c r="AC194" s="33"/>
      <c r="AD194" s="33">
        <f>Ruimtestaat[[#This Row],[uren / jaar weekend]]*Tariefsopbouw!$D$40</f>
        <v>0</v>
      </c>
      <c r="AE194" s="88">
        <f>Ruimtestaat[[#This Row],[Prest. (m2 /jaar) weekend]]+Ruimtestaat[[#This Row],[Prest. (m2 /jaar) werkdagen]]</f>
        <v>18584</v>
      </c>
      <c r="AF194" s="88">
        <f>Ruimtestaat[[#This Row],[uren / jaar weekend]]+Ruimtestaat[[#This Row],[uren / jaar werkdagen]]</f>
        <v>185.84</v>
      </c>
      <c r="AG194" s="89">
        <f>Ruimtestaat[[#This Row],[kosten / jaar weekend]]+Ruimtestaat[[#This Row],[kosten / jaar werkdagen]]</f>
        <v>4646</v>
      </c>
    </row>
    <row r="195" spans="1:33" ht="15" customHeight="1">
      <c r="A195" s="129">
        <v>1</v>
      </c>
      <c r="B195" s="21" t="str">
        <f>VLOOKUP(Ruimtestaat[[#This Row],[Code]],Locaties[#All],2,FALSE)</f>
        <v>Groenlo</v>
      </c>
      <c r="C195" s="21" t="str">
        <f>VLOOKUP(Ruimtestaat[[#This Row],[Code]],Locaties[#All],4,FALSE)</f>
        <v>Deken Hooijmanssingel 1</v>
      </c>
      <c r="D195" s="241" t="str">
        <f>VLOOKUP(Ruimtestaat[[#This Row],[Code]],Locaties[#All],5,FALSE)</f>
        <v>7141 EA</v>
      </c>
      <c r="E195" s="241" t="str">
        <f>VLOOKUP(Ruimtestaat[[#This Row],[Code]],Locaties[#All],6,FALSE)</f>
        <v>Groenlo</v>
      </c>
      <c r="F195" s="195" t="s">
        <v>774</v>
      </c>
      <c r="G195" s="195">
        <v>2</v>
      </c>
      <c r="H195" s="195" t="s">
        <v>541</v>
      </c>
      <c r="I195" s="242" t="s">
        <v>382</v>
      </c>
      <c r="J195" s="195">
        <v>6</v>
      </c>
      <c r="K195" s="260" t="str">
        <f>VLOOKUP(Ruimtestaat[[#This Row],[Ruimte code]],Ruimtegroepen[#All],2,FALSE)</f>
        <v>Gangen/hallen</v>
      </c>
      <c r="L195" s="211" t="s">
        <v>110</v>
      </c>
      <c r="M195" s="195" t="s">
        <v>133</v>
      </c>
      <c r="N195" s="197">
        <v>80.19</v>
      </c>
      <c r="O195" s="209"/>
      <c r="P195" s="241" t="str">
        <f>VLOOKUP(Ruimtestaat[[#This Row],[Ruimte code]],Ruimtegroepen[#All],4,FALSE)</f>
        <v>V  (Verkeersruimte)</v>
      </c>
      <c r="Q195" s="210"/>
      <c r="R195" s="211">
        <v>40</v>
      </c>
      <c r="S195" s="211" t="s">
        <v>2</v>
      </c>
      <c r="T195" s="211">
        <f>IF(R195&gt;0,IF(RIGHT(Ruimtestaat[[#This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195" s="211">
        <f>IF(T195&gt;0,VLOOKUP($J195,Ruimtegroepen[],3,FALSE)*VLOOKUP($L195,Vloersoorten[],3,FALSE)*VLOOKUP($S195,Frequenties[],3,FALSE)*VLOOKUP($A195,Locaties[],3,FALSE),0)</f>
        <v>100</v>
      </c>
      <c r="V195" s="211">
        <f>Ruimtestaat[[#This Row],[Uitvoeringen werkdagen]]*Ruimtestaat[[#This Row],[Oppervlak (netto)]]</f>
        <v>16038</v>
      </c>
      <c r="W195" s="257">
        <f>IF(U195&gt;0,Ruimtestaat[[#This Row],[Prest. (m2 /jaar) werkdagen]]/Ruimtestaat[[#This Row],[Norm (m2/uur) werkdagen]],0)</f>
        <v>160.38</v>
      </c>
      <c r="X195" s="258">
        <f>Ruimtestaat[[#This Row],[uren / jaar werkdagen]]*Tariefsopbouw!$D$38</f>
        <v>4009.5</v>
      </c>
      <c r="Y195" s="33"/>
      <c r="Z195" s="33">
        <f>IF(Ruimtestaat[[#This Row],[Frequentie weekend]]&gt;0,VALUE(LEFT(Y195,1))*R195,0)</f>
        <v>0</v>
      </c>
      <c r="AA195" s="33">
        <f>IF($Z195&gt;0,VLOOKUP($J195,Ruimtegroepen[],3,FALSE)*VLOOKUP($L195,Vloersoorten[],3,FALSE)*VLOOKUP($Y195,Frequenties[],3,FALSE)*VLOOKUP(#REF!,Locaties[],3,FALSE),0)</f>
        <v>0</v>
      </c>
      <c r="AB195" s="33"/>
      <c r="AC195" s="33"/>
      <c r="AD195" s="33">
        <f>Ruimtestaat[[#This Row],[uren / jaar weekend]]*Tariefsopbouw!$D$40</f>
        <v>0</v>
      </c>
      <c r="AE195" s="88">
        <f>Ruimtestaat[[#This Row],[Prest. (m2 /jaar) weekend]]+Ruimtestaat[[#This Row],[Prest. (m2 /jaar) werkdagen]]</f>
        <v>16038</v>
      </c>
      <c r="AF195" s="88">
        <f>Ruimtestaat[[#This Row],[uren / jaar weekend]]+Ruimtestaat[[#This Row],[uren / jaar werkdagen]]</f>
        <v>160.38</v>
      </c>
      <c r="AG195" s="89">
        <f>Ruimtestaat[[#This Row],[kosten / jaar weekend]]+Ruimtestaat[[#This Row],[kosten / jaar werkdagen]]</f>
        <v>4009.5</v>
      </c>
    </row>
    <row r="196" spans="1:33" ht="15" customHeight="1">
      <c r="A196" s="129">
        <v>1</v>
      </c>
      <c r="B196" s="21" t="str">
        <f>VLOOKUP(Ruimtestaat[[#This Row],[Code]],Locaties[#All],2,FALSE)</f>
        <v>Groenlo</v>
      </c>
      <c r="C196" s="21" t="str">
        <f>VLOOKUP(Ruimtestaat[[#This Row],[Code]],Locaties[#All],4,FALSE)</f>
        <v>Deken Hooijmanssingel 1</v>
      </c>
      <c r="D196" s="241" t="str">
        <f>VLOOKUP(Ruimtestaat[[#This Row],[Code]],Locaties[#All],5,FALSE)</f>
        <v>7141 EA</v>
      </c>
      <c r="E196" s="241" t="str">
        <f>VLOOKUP(Ruimtestaat[[#This Row],[Code]],Locaties[#All],6,FALSE)</f>
        <v>Groenlo</v>
      </c>
      <c r="F196" s="195" t="s">
        <v>774</v>
      </c>
      <c r="G196" s="195">
        <v>2</v>
      </c>
      <c r="H196" s="195" t="s">
        <v>542</v>
      </c>
      <c r="I196" s="242" t="s">
        <v>447</v>
      </c>
      <c r="J196" s="195">
        <v>21</v>
      </c>
      <c r="K196" s="260" t="str">
        <f>VLOOKUP(Ruimtestaat[[#This Row],[Ruimte code]],Ruimtegroepen[#All],2,FALSE)</f>
        <v>Niet in onderhoud</v>
      </c>
      <c r="L196" s="211" t="s">
        <v>110</v>
      </c>
      <c r="M196" s="195" t="s">
        <v>133</v>
      </c>
      <c r="N196" s="197"/>
      <c r="O196" s="209">
        <v>2.86</v>
      </c>
      <c r="P196" s="241" t="str">
        <f>VLOOKUP(Ruimtestaat[[#This Row],[Ruimte code]],Ruimtegroepen[#All],4,FALSE)</f>
        <v>Niet in onderhoud</v>
      </c>
      <c r="Q196" s="210"/>
      <c r="R196" s="211"/>
      <c r="S196" s="211"/>
      <c r="T196" s="211">
        <f>IF(R196&gt;0,IF(RIGHT(Ruimtestaat[[#This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196" s="211">
        <f>IF(T196&gt;0,VLOOKUP($J196,Ruimtegroepen[],3,FALSE)*VLOOKUP($L196,Vloersoorten[],3,FALSE)*VLOOKUP($S196,Frequenties[],3,FALSE)*VLOOKUP($A196,Locaties[],3,FALSE),0)</f>
        <v>0</v>
      </c>
      <c r="V196" s="211">
        <f>Ruimtestaat[[#This Row],[Uitvoeringen werkdagen]]*Ruimtestaat[[#This Row],[Oppervlak (netto)]]</f>
        <v>0</v>
      </c>
      <c r="W196" s="257">
        <f>IF(U196&gt;0,Ruimtestaat[[#This Row],[Prest. (m2 /jaar) werkdagen]]/Ruimtestaat[[#This Row],[Norm (m2/uur) werkdagen]],0)</f>
        <v>0</v>
      </c>
      <c r="X196" s="258">
        <f>Ruimtestaat[[#This Row],[uren / jaar werkdagen]]*Tariefsopbouw!$D$38</f>
        <v>0</v>
      </c>
      <c r="Y196" s="33"/>
      <c r="Z196" s="33">
        <f>IF(Ruimtestaat[[#This Row],[Frequentie weekend]]&gt;0,VALUE(LEFT(Y196,1))*R196,0)</f>
        <v>0</v>
      </c>
      <c r="AA196" s="33">
        <f>IF($Z196&gt;0,VLOOKUP($J196,Ruimtegroepen[],3,FALSE)*VLOOKUP($L196,Vloersoorten[],3,FALSE)*VLOOKUP($Y196,Frequenties[],3,FALSE)*VLOOKUP(#REF!,Locaties[],3,FALSE),0)</f>
        <v>0</v>
      </c>
      <c r="AB196" s="33"/>
      <c r="AC196" s="33"/>
      <c r="AD196" s="33">
        <f>Ruimtestaat[[#This Row],[uren / jaar weekend]]*Tariefsopbouw!$D$40</f>
        <v>0</v>
      </c>
      <c r="AE196" s="88">
        <f>Ruimtestaat[[#This Row],[Prest. (m2 /jaar) weekend]]+Ruimtestaat[[#This Row],[Prest. (m2 /jaar) werkdagen]]</f>
        <v>0</v>
      </c>
      <c r="AF196" s="88">
        <f>Ruimtestaat[[#This Row],[uren / jaar weekend]]+Ruimtestaat[[#This Row],[uren / jaar werkdagen]]</f>
        <v>0</v>
      </c>
      <c r="AG196" s="89">
        <f>Ruimtestaat[[#This Row],[kosten / jaar weekend]]+Ruimtestaat[[#This Row],[kosten / jaar werkdagen]]</f>
        <v>0</v>
      </c>
    </row>
    <row r="197" spans="1:33" ht="15" customHeight="1">
      <c r="A197" s="129">
        <v>1</v>
      </c>
      <c r="B197" s="21" t="str">
        <f>VLOOKUP(Ruimtestaat[[#This Row],[Code]],Locaties[#All],2,FALSE)</f>
        <v>Groenlo</v>
      </c>
      <c r="C197" s="21" t="str">
        <f>VLOOKUP(Ruimtestaat[[#This Row],[Code]],Locaties[#All],4,FALSE)</f>
        <v>Deken Hooijmanssingel 1</v>
      </c>
      <c r="D197" s="241" t="str">
        <f>VLOOKUP(Ruimtestaat[[#This Row],[Code]],Locaties[#All],5,FALSE)</f>
        <v>7141 EA</v>
      </c>
      <c r="E197" s="241" t="str">
        <f>VLOOKUP(Ruimtestaat[[#This Row],[Code]],Locaties[#All],6,FALSE)</f>
        <v>Groenlo</v>
      </c>
      <c r="F197" s="195" t="s">
        <v>774</v>
      </c>
      <c r="G197" s="195">
        <v>2</v>
      </c>
      <c r="H197" s="195" t="s">
        <v>543</v>
      </c>
      <c r="I197" s="242" t="s">
        <v>765</v>
      </c>
      <c r="J197" s="195">
        <v>11</v>
      </c>
      <c r="K197" s="260" t="str">
        <f>VLOOKUP(Ruimtestaat[[#This Row],[Ruimte code]],Ruimtegroepen[#All],2,FALSE)</f>
        <v>Praktijklokaal</v>
      </c>
      <c r="L197" s="211" t="s">
        <v>110</v>
      </c>
      <c r="M197" s="195" t="s">
        <v>133</v>
      </c>
      <c r="N197" s="197">
        <v>92.92</v>
      </c>
      <c r="O197" s="209"/>
      <c r="P197" s="241" t="str">
        <f>VLOOKUP(Ruimtestaat[[#This Row],[Ruimte code]],Ruimtegroepen[#All],4,FALSE)</f>
        <v>L  (Lesruimte)</v>
      </c>
      <c r="Q197" s="210"/>
      <c r="R197" s="211">
        <v>40</v>
      </c>
      <c r="S197" s="211" t="s">
        <v>2</v>
      </c>
      <c r="T197" s="211">
        <f>IF(R197&gt;0,IF(RIGHT(Ruimtestaat[[#This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197" s="211">
        <f>IF(T197&gt;0,VLOOKUP($J197,Ruimtegroepen[],3,FALSE)*VLOOKUP($L197,Vloersoorten[],3,FALSE)*VLOOKUP($S197,Frequenties[],3,FALSE)*VLOOKUP($A197,Locaties[],3,FALSE),0)</f>
        <v>100</v>
      </c>
      <c r="V197" s="211">
        <f>Ruimtestaat[[#This Row],[Uitvoeringen werkdagen]]*Ruimtestaat[[#This Row],[Oppervlak (netto)]]</f>
        <v>18584</v>
      </c>
      <c r="W197" s="257">
        <f>IF(U197&gt;0,Ruimtestaat[[#This Row],[Prest. (m2 /jaar) werkdagen]]/Ruimtestaat[[#This Row],[Norm (m2/uur) werkdagen]],0)</f>
        <v>185.84</v>
      </c>
      <c r="X197" s="258">
        <f>Ruimtestaat[[#This Row],[uren / jaar werkdagen]]*Tariefsopbouw!$D$38</f>
        <v>4646</v>
      </c>
      <c r="Y197" s="33"/>
      <c r="Z197" s="33">
        <f>IF(Ruimtestaat[[#This Row],[Frequentie weekend]]&gt;0,VALUE(LEFT(Y197,1))*R197,0)</f>
        <v>0</v>
      </c>
      <c r="AA197" s="33">
        <f>IF($Z197&gt;0,VLOOKUP($J197,Ruimtegroepen[],3,FALSE)*VLOOKUP($L197,Vloersoorten[],3,FALSE)*VLOOKUP($Y197,Frequenties[],3,FALSE)*VLOOKUP(#REF!,Locaties[],3,FALSE),0)</f>
        <v>0</v>
      </c>
      <c r="AB197" s="33"/>
      <c r="AC197" s="33"/>
      <c r="AD197" s="33">
        <f>Ruimtestaat[[#This Row],[uren / jaar weekend]]*Tariefsopbouw!$D$40</f>
        <v>0</v>
      </c>
      <c r="AE197" s="88">
        <f>Ruimtestaat[[#This Row],[Prest. (m2 /jaar) weekend]]+Ruimtestaat[[#This Row],[Prest. (m2 /jaar) werkdagen]]</f>
        <v>18584</v>
      </c>
      <c r="AF197" s="88">
        <f>Ruimtestaat[[#This Row],[uren / jaar weekend]]+Ruimtestaat[[#This Row],[uren / jaar werkdagen]]</f>
        <v>185.84</v>
      </c>
      <c r="AG197" s="89">
        <f>Ruimtestaat[[#This Row],[kosten / jaar weekend]]+Ruimtestaat[[#This Row],[kosten / jaar werkdagen]]</f>
        <v>4646</v>
      </c>
    </row>
    <row r="198" spans="1:33" ht="15" customHeight="1">
      <c r="A198" s="129">
        <v>1</v>
      </c>
      <c r="B198" s="21" t="str">
        <f>VLOOKUP(Ruimtestaat[[#This Row],[Code]],Locaties[#All],2,FALSE)</f>
        <v>Groenlo</v>
      </c>
      <c r="C198" s="21" t="str">
        <f>VLOOKUP(Ruimtestaat[[#This Row],[Code]],Locaties[#All],4,FALSE)</f>
        <v>Deken Hooijmanssingel 1</v>
      </c>
      <c r="D198" s="241" t="str">
        <f>VLOOKUP(Ruimtestaat[[#This Row],[Code]],Locaties[#All],5,FALSE)</f>
        <v>7141 EA</v>
      </c>
      <c r="E198" s="241" t="str">
        <f>VLOOKUP(Ruimtestaat[[#This Row],[Code]],Locaties[#All],6,FALSE)</f>
        <v>Groenlo</v>
      </c>
      <c r="F198" s="195" t="s">
        <v>774</v>
      </c>
      <c r="G198" s="195">
        <v>2</v>
      </c>
      <c r="H198" s="195" t="s">
        <v>544</v>
      </c>
      <c r="I198" s="242" t="s">
        <v>765</v>
      </c>
      <c r="J198" s="195">
        <v>11</v>
      </c>
      <c r="K198" s="260" t="str">
        <f>VLOOKUP(Ruimtestaat[[#This Row],[Ruimte code]],Ruimtegroepen[#All],2,FALSE)</f>
        <v>Praktijklokaal</v>
      </c>
      <c r="L198" s="211" t="s">
        <v>110</v>
      </c>
      <c r="M198" s="195" t="s">
        <v>133</v>
      </c>
      <c r="N198" s="197">
        <v>77.099999999999994</v>
      </c>
      <c r="O198" s="209"/>
      <c r="P198" s="241" t="str">
        <f>VLOOKUP(Ruimtestaat[[#This Row],[Ruimte code]],Ruimtegroepen[#All],4,FALSE)</f>
        <v>L  (Lesruimte)</v>
      </c>
      <c r="Q198" s="210"/>
      <c r="R198" s="211">
        <v>40</v>
      </c>
      <c r="S198" s="211" t="s">
        <v>2</v>
      </c>
      <c r="T198" s="211">
        <f>IF(R198&gt;0,IF(RIGHT(Ruimtestaat[[#This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198" s="211">
        <f>IF(T198&gt;0,VLOOKUP($J198,Ruimtegroepen[],3,FALSE)*VLOOKUP($L198,Vloersoorten[],3,FALSE)*VLOOKUP($S198,Frequenties[],3,FALSE)*VLOOKUP($A198,Locaties[],3,FALSE),0)</f>
        <v>100</v>
      </c>
      <c r="V198" s="211">
        <f>Ruimtestaat[[#This Row],[Uitvoeringen werkdagen]]*Ruimtestaat[[#This Row],[Oppervlak (netto)]]</f>
        <v>15419.999999999998</v>
      </c>
      <c r="W198" s="257">
        <f>IF(U198&gt;0,Ruimtestaat[[#This Row],[Prest. (m2 /jaar) werkdagen]]/Ruimtestaat[[#This Row],[Norm (m2/uur) werkdagen]],0)</f>
        <v>154.19999999999999</v>
      </c>
      <c r="X198" s="258">
        <f>Ruimtestaat[[#This Row],[uren / jaar werkdagen]]*Tariefsopbouw!$D$38</f>
        <v>3854.9999999999995</v>
      </c>
      <c r="Y198" s="33"/>
      <c r="Z198" s="33">
        <f>IF(Ruimtestaat[[#This Row],[Frequentie weekend]]&gt;0,VALUE(LEFT(Y198,1))*R198,0)</f>
        <v>0</v>
      </c>
      <c r="AA198" s="33">
        <f>IF($Z198&gt;0,VLOOKUP($J198,Ruimtegroepen[],3,FALSE)*VLOOKUP($L198,Vloersoorten[],3,FALSE)*VLOOKUP($Y198,Frequenties[],3,FALSE)*VLOOKUP(#REF!,Locaties[],3,FALSE),0)</f>
        <v>0</v>
      </c>
      <c r="AB198" s="33"/>
      <c r="AC198" s="33"/>
      <c r="AD198" s="33">
        <f>Ruimtestaat[[#This Row],[uren / jaar weekend]]*Tariefsopbouw!$D$40</f>
        <v>0</v>
      </c>
      <c r="AE198" s="88">
        <f>Ruimtestaat[[#This Row],[Prest. (m2 /jaar) weekend]]+Ruimtestaat[[#This Row],[Prest. (m2 /jaar) werkdagen]]</f>
        <v>15419.999999999998</v>
      </c>
      <c r="AF198" s="88">
        <f>Ruimtestaat[[#This Row],[uren / jaar weekend]]+Ruimtestaat[[#This Row],[uren / jaar werkdagen]]</f>
        <v>154.19999999999999</v>
      </c>
      <c r="AG198" s="89">
        <f>Ruimtestaat[[#This Row],[kosten / jaar weekend]]+Ruimtestaat[[#This Row],[kosten / jaar werkdagen]]</f>
        <v>3854.9999999999995</v>
      </c>
    </row>
    <row r="199" spans="1:33" ht="15" customHeight="1">
      <c r="A199" s="129">
        <v>1</v>
      </c>
      <c r="B199" s="21" t="str">
        <f>VLOOKUP(Ruimtestaat[[#This Row],[Code]],Locaties[#All],2,FALSE)</f>
        <v>Groenlo</v>
      </c>
      <c r="C199" s="21" t="str">
        <f>VLOOKUP(Ruimtestaat[[#This Row],[Code]],Locaties[#All],4,FALSE)</f>
        <v>Deken Hooijmanssingel 1</v>
      </c>
      <c r="D199" s="241" t="str">
        <f>VLOOKUP(Ruimtestaat[[#This Row],[Code]],Locaties[#All],5,FALSE)</f>
        <v>7141 EA</v>
      </c>
      <c r="E199" s="241" t="str">
        <f>VLOOKUP(Ruimtestaat[[#This Row],[Code]],Locaties[#All],6,FALSE)</f>
        <v>Groenlo</v>
      </c>
      <c r="F199" s="195" t="s">
        <v>774</v>
      </c>
      <c r="G199" s="195">
        <v>2</v>
      </c>
      <c r="H199" s="195" t="s">
        <v>545</v>
      </c>
      <c r="I199" s="242" t="s">
        <v>765</v>
      </c>
      <c r="J199" s="195">
        <v>11</v>
      </c>
      <c r="K199" s="260" t="str">
        <f>VLOOKUP(Ruimtestaat[[#This Row],[Ruimte code]],Ruimtegroepen[#All],2,FALSE)</f>
        <v>Praktijklokaal</v>
      </c>
      <c r="L199" s="211" t="s">
        <v>110</v>
      </c>
      <c r="M199" s="195" t="s">
        <v>133</v>
      </c>
      <c r="N199" s="197">
        <v>76.150000000000006</v>
      </c>
      <c r="O199" s="209"/>
      <c r="P199" s="241" t="str">
        <f>VLOOKUP(Ruimtestaat[[#This Row],[Ruimte code]],Ruimtegroepen[#All],4,FALSE)</f>
        <v>L  (Lesruimte)</v>
      </c>
      <c r="Q199" s="210"/>
      <c r="R199" s="211">
        <v>40</v>
      </c>
      <c r="S199" s="211" t="s">
        <v>2</v>
      </c>
      <c r="T199" s="211">
        <f>IF(R199&gt;0,IF(RIGHT(Ruimtestaat[[#This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199" s="211">
        <f>IF(T199&gt;0,VLOOKUP($J199,Ruimtegroepen[],3,FALSE)*VLOOKUP($L199,Vloersoorten[],3,FALSE)*VLOOKUP($S199,Frequenties[],3,FALSE)*VLOOKUP($A199,Locaties[],3,FALSE),0)</f>
        <v>100</v>
      </c>
      <c r="V199" s="211">
        <f>Ruimtestaat[[#This Row],[Uitvoeringen werkdagen]]*Ruimtestaat[[#This Row],[Oppervlak (netto)]]</f>
        <v>15230.000000000002</v>
      </c>
      <c r="W199" s="257">
        <f>IF(U199&gt;0,Ruimtestaat[[#This Row],[Prest. (m2 /jaar) werkdagen]]/Ruimtestaat[[#This Row],[Norm (m2/uur) werkdagen]],0)</f>
        <v>152.30000000000001</v>
      </c>
      <c r="X199" s="258">
        <f>Ruimtestaat[[#This Row],[uren / jaar werkdagen]]*Tariefsopbouw!$D$38</f>
        <v>3807.5000000000005</v>
      </c>
      <c r="Y199" s="33"/>
      <c r="Z199" s="33">
        <f>IF(Ruimtestaat[[#This Row],[Frequentie weekend]]&gt;0,VALUE(LEFT(Y199,1))*R199,0)</f>
        <v>0</v>
      </c>
      <c r="AA199" s="33">
        <f>IF($Z199&gt;0,VLOOKUP($J199,Ruimtegroepen[],3,FALSE)*VLOOKUP($L199,Vloersoorten[],3,FALSE)*VLOOKUP($Y199,Frequenties[],3,FALSE)*VLOOKUP(#REF!,Locaties[],3,FALSE),0)</f>
        <v>0</v>
      </c>
      <c r="AB199" s="33"/>
      <c r="AC199" s="33"/>
      <c r="AD199" s="33">
        <f>Ruimtestaat[[#This Row],[uren / jaar weekend]]*Tariefsopbouw!$D$40</f>
        <v>0</v>
      </c>
      <c r="AE199" s="88">
        <f>Ruimtestaat[[#This Row],[Prest. (m2 /jaar) weekend]]+Ruimtestaat[[#This Row],[Prest. (m2 /jaar) werkdagen]]</f>
        <v>15230.000000000002</v>
      </c>
      <c r="AF199" s="88">
        <f>Ruimtestaat[[#This Row],[uren / jaar weekend]]+Ruimtestaat[[#This Row],[uren / jaar werkdagen]]</f>
        <v>152.30000000000001</v>
      </c>
      <c r="AG199" s="89">
        <f>Ruimtestaat[[#This Row],[kosten / jaar weekend]]+Ruimtestaat[[#This Row],[kosten / jaar werkdagen]]</f>
        <v>3807.5000000000005</v>
      </c>
    </row>
    <row r="200" spans="1:33" ht="15" customHeight="1">
      <c r="A200" s="129">
        <v>1</v>
      </c>
      <c r="B200" s="21" t="str">
        <f>VLOOKUP(Ruimtestaat[[#This Row],[Code]],Locaties[#All],2,FALSE)</f>
        <v>Groenlo</v>
      </c>
      <c r="C200" s="21" t="str">
        <f>VLOOKUP(Ruimtestaat[[#This Row],[Code]],Locaties[#All],4,FALSE)</f>
        <v>Deken Hooijmanssingel 1</v>
      </c>
      <c r="D200" s="241" t="str">
        <f>VLOOKUP(Ruimtestaat[[#This Row],[Code]],Locaties[#All],5,FALSE)</f>
        <v>7141 EA</v>
      </c>
      <c r="E200" s="241" t="str">
        <f>VLOOKUP(Ruimtestaat[[#This Row],[Code]],Locaties[#All],6,FALSE)</f>
        <v>Groenlo</v>
      </c>
      <c r="F200" s="195" t="s">
        <v>774</v>
      </c>
      <c r="G200" s="195">
        <v>2</v>
      </c>
      <c r="H200" s="195" t="s">
        <v>546</v>
      </c>
      <c r="I200" s="242" t="s">
        <v>382</v>
      </c>
      <c r="J200" s="195">
        <v>10</v>
      </c>
      <c r="K200" s="260" t="str">
        <f>VLOOKUP(Ruimtestaat[[#This Row],[Ruimte code]],Ruimtegroepen[#All],2,FALSE)</f>
        <v>Trappenhuizen/lift</v>
      </c>
      <c r="L200" s="211" t="s">
        <v>110</v>
      </c>
      <c r="M200" s="195" t="s">
        <v>133</v>
      </c>
      <c r="N200" s="197">
        <v>31.31</v>
      </c>
      <c r="O200" s="209"/>
      <c r="P200" s="241" t="str">
        <f>VLOOKUP(Ruimtestaat[[#This Row],[Ruimte code]],Ruimtegroepen[#All],4,FALSE)</f>
        <v>V  (Verkeersruimte)</v>
      </c>
      <c r="Q200" s="210"/>
      <c r="R200" s="211">
        <v>40</v>
      </c>
      <c r="S200" s="211" t="s">
        <v>2</v>
      </c>
      <c r="T200" s="211">
        <f>IF(R200&gt;0,IF(RIGHT(Ruimtestaat[[#This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200" s="211">
        <f>IF(T200&gt;0,VLOOKUP($J200,Ruimtegroepen[],3,FALSE)*VLOOKUP($L200,Vloersoorten[],3,FALSE)*VLOOKUP($S200,Frequenties[],3,FALSE)*VLOOKUP($A200,Locaties[],3,FALSE),0)</f>
        <v>100</v>
      </c>
      <c r="V200" s="211">
        <f>Ruimtestaat[[#This Row],[Uitvoeringen werkdagen]]*Ruimtestaat[[#This Row],[Oppervlak (netto)]]</f>
        <v>6262</v>
      </c>
      <c r="W200" s="257">
        <f>IF(U200&gt;0,Ruimtestaat[[#This Row],[Prest. (m2 /jaar) werkdagen]]/Ruimtestaat[[#This Row],[Norm (m2/uur) werkdagen]],0)</f>
        <v>62.62</v>
      </c>
      <c r="X200" s="258">
        <f>Ruimtestaat[[#This Row],[uren / jaar werkdagen]]*Tariefsopbouw!$D$38</f>
        <v>1565.5</v>
      </c>
      <c r="Y200" s="33"/>
      <c r="Z200" s="33">
        <f>IF(Ruimtestaat[[#This Row],[Frequentie weekend]]&gt;0,VALUE(LEFT(Y200,1))*R200,0)</f>
        <v>0</v>
      </c>
      <c r="AA200" s="33">
        <f>IF($Z200&gt;0,VLOOKUP($J200,Ruimtegroepen[],3,FALSE)*VLOOKUP($L200,Vloersoorten[],3,FALSE)*VLOOKUP($Y200,Frequenties[],3,FALSE)*VLOOKUP(#REF!,Locaties[],3,FALSE),0)</f>
        <v>0</v>
      </c>
      <c r="AB200" s="33"/>
      <c r="AC200" s="33"/>
      <c r="AD200" s="33">
        <f>Ruimtestaat[[#This Row],[uren / jaar weekend]]*Tariefsopbouw!$D$40</f>
        <v>0</v>
      </c>
      <c r="AE200" s="88">
        <f>Ruimtestaat[[#This Row],[Prest. (m2 /jaar) weekend]]+Ruimtestaat[[#This Row],[Prest. (m2 /jaar) werkdagen]]</f>
        <v>6262</v>
      </c>
      <c r="AF200" s="88">
        <f>Ruimtestaat[[#This Row],[uren / jaar weekend]]+Ruimtestaat[[#This Row],[uren / jaar werkdagen]]</f>
        <v>62.62</v>
      </c>
      <c r="AG200" s="89">
        <f>Ruimtestaat[[#This Row],[kosten / jaar weekend]]+Ruimtestaat[[#This Row],[kosten / jaar werkdagen]]</f>
        <v>1565.5</v>
      </c>
    </row>
    <row r="201" spans="1:33" ht="15" customHeight="1">
      <c r="A201" s="129">
        <v>1</v>
      </c>
      <c r="B201" s="21" t="str">
        <f>VLOOKUP(Ruimtestaat[[#This Row],[Code]],Locaties[#All],2,FALSE)</f>
        <v>Groenlo</v>
      </c>
      <c r="C201" s="21" t="str">
        <f>VLOOKUP(Ruimtestaat[[#This Row],[Code]],Locaties[#All],4,FALSE)</f>
        <v>Deken Hooijmanssingel 1</v>
      </c>
      <c r="D201" s="241" t="str">
        <f>VLOOKUP(Ruimtestaat[[#This Row],[Code]],Locaties[#All],5,FALSE)</f>
        <v>7141 EA</v>
      </c>
      <c r="E201" s="241" t="str">
        <f>VLOOKUP(Ruimtestaat[[#This Row],[Code]],Locaties[#All],6,FALSE)</f>
        <v>Groenlo</v>
      </c>
      <c r="F201" s="195" t="s">
        <v>774</v>
      </c>
      <c r="G201" s="195">
        <v>2</v>
      </c>
      <c r="H201" s="195" t="s">
        <v>547</v>
      </c>
      <c r="I201" s="242" t="s">
        <v>765</v>
      </c>
      <c r="J201" s="195">
        <v>11</v>
      </c>
      <c r="K201" s="260" t="str">
        <f>VLOOKUP(Ruimtestaat[[#This Row],[Ruimte code]],Ruimtegroepen[#All],2,FALSE)</f>
        <v>Praktijklokaal</v>
      </c>
      <c r="L201" s="211" t="s">
        <v>110</v>
      </c>
      <c r="M201" s="195" t="s">
        <v>133</v>
      </c>
      <c r="N201" s="197">
        <v>77.650000000000006</v>
      </c>
      <c r="O201" s="209"/>
      <c r="P201" s="241" t="str">
        <f>VLOOKUP(Ruimtestaat[[#This Row],[Ruimte code]],Ruimtegroepen[#All],4,FALSE)</f>
        <v>L  (Lesruimte)</v>
      </c>
      <c r="Q201" s="210"/>
      <c r="R201" s="211">
        <v>40</v>
      </c>
      <c r="S201" s="211" t="s">
        <v>2</v>
      </c>
      <c r="T201" s="211">
        <f>IF(R201&gt;0,IF(RIGHT(Ruimtestaat[[#This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201" s="211">
        <f>IF(T201&gt;0,VLOOKUP($J201,Ruimtegroepen[],3,FALSE)*VLOOKUP($L201,Vloersoorten[],3,FALSE)*VLOOKUP($S201,Frequenties[],3,FALSE)*VLOOKUP($A201,Locaties[],3,FALSE),0)</f>
        <v>100</v>
      </c>
      <c r="V201" s="211">
        <f>Ruimtestaat[[#This Row],[Uitvoeringen werkdagen]]*Ruimtestaat[[#This Row],[Oppervlak (netto)]]</f>
        <v>15530.000000000002</v>
      </c>
      <c r="W201" s="257">
        <f>IF(U201&gt;0,Ruimtestaat[[#This Row],[Prest. (m2 /jaar) werkdagen]]/Ruimtestaat[[#This Row],[Norm (m2/uur) werkdagen]],0)</f>
        <v>155.30000000000001</v>
      </c>
      <c r="X201" s="258">
        <f>Ruimtestaat[[#This Row],[uren / jaar werkdagen]]*Tariefsopbouw!$D$38</f>
        <v>3882.5000000000005</v>
      </c>
      <c r="Y201" s="33"/>
      <c r="Z201" s="33">
        <f>IF(Ruimtestaat[[#This Row],[Frequentie weekend]]&gt;0,VALUE(LEFT(Y201,1))*R201,0)</f>
        <v>0</v>
      </c>
      <c r="AA201" s="33">
        <f>IF($Z201&gt;0,VLOOKUP($J201,Ruimtegroepen[],3,FALSE)*VLOOKUP($L201,Vloersoorten[],3,FALSE)*VLOOKUP($Y201,Frequenties[],3,FALSE)*VLOOKUP(#REF!,Locaties[],3,FALSE),0)</f>
        <v>0</v>
      </c>
      <c r="AB201" s="33"/>
      <c r="AC201" s="33"/>
      <c r="AD201" s="33">
        <f>Ruimtestaat[[#This Row],[uren / jaar weekend]]*Tariefsopbouw!$D$40</f>
        <v>0</v>
      </c>
      <c r="AE201" s="88">
        <f>Ruimtestaat[[#This Row],[Prest. (m2 /jaar) weekend]]+Ruimtestaat[[#This Row],[Prest. (m2 /jaar) werkdagen]]</f>
        <v>15530.000000000002</v>
      </c>
      <c r="AF201" s="88">
        <f>Ruimtestaat[[#This Row],[uren / jaar weekend]]+Ruimtestaat[[#This Row],[uren / jaar werkdagen]]</f>
        <v>155.30000000000001</v>
      </c>
      <c r="AG201" s="89">
        <f>Ruimtestaat[[#This Row],[kosten / jaar weekend]]+Ruimtestaat[[#This Row],[kosten / jaar werkdagen]]</f>
        <v>3882.5000000000005</v>
      </c>
    </row>
    <row r="202" spans="1:33" ht="15" customHeight="1">
      <c r="A202" s="129">
        <v>1</v>
      </c>
      <c r="B202" s="21" t="str">
        <f>VLOOKUP(Ruimtestaat[[#This Row],[Code]],Locaties[#All],2,FALSE)</f>
        <v>Groenlo</v>
      </c>
      <c r="C202" s="21" t="str">
        <f>VLOOKUP(Ruimtestaat[[#This Row],[Code]],Locaties[#All],4,FALSE)</f>
        <v>Deken Hooijmanssingel 1</v>
      </c>
      <c r="D202" s="241" t="str">
        <f>VLOOKUP(Ruimtestaat[[#This Row],[Code]],Locaties[#All],5,FALSE)</f>
        <v>7141 EA</v>
      </c>
      <c r="E202" s="241" t="str">
        <f>VLOOKUP(Ruimtestaat[[#This Row],[Code]],Locaties[#All],6,FALSE)</f>
        <v>Groenlo</v>
      </c>
      <c r="F202" s="195" t="s">
        <v>774</v>
      </c>
      <c r="G202" s="195">
        <v>2</v>
      </c>
      <c r="H202" s="195" t="s">
        <v>548</v>
      </c>
      <c r="I202" s="242" t="s">
        <v>765</v>
      </c>
      <c r="J202" s="195">
        <v>11</v>
      </c>
      <c r="K202" s="260" t="str">
        <f>VLOOKUP(Ruimtestaat[[#This Row],[Ruimte code]],Ruimtegroepen[#All],2,FALSE)</f>
        <v>Praktijklokaal</v>
      </c>
      <c r="L202" s="211" t="s">
        <v>110</v>
      </c>
      <c r="M202" s="195" t="s">
        <v>133</v>
      </c>
      <c r="N202" s="197">
        <v>76.61</v>
      </c>
      <c r="O202" s="209"/>
      <c r="P202" s="241" t="str">
        <f>VLOOKUP(Ruimtestaat[[#This Row],[Ruimte code]],Ruimtegroepen[#All],4,FALSE)</f>
        <v>L  (Lesruimte)</v>
      </c>
      <c r="Q202" s="210"/>
      <c r="R202" s="211">
        <v>40</v>
      </c>
      <c r="S202" s="211" t="s">
        <v>2</v>
      </c>
      <c r="T202" s="211">
        <f>IF(R202&gt;0,IF(RIGHT(Ruimtestaat[[#This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202" s="211">
        <f>IF(T202&gt;0,VLOOKUP($J202,Ruimtegroepen[],3,FALSE)*VLOOKUP($L202,Vloersoorten[],3,FALSE)*VLOOKUP($S202,Frequenties[],3,FALSE)*VLOOKUP($A202,Locaties[],3,FALSE),0)</f>
        <v>100</v>
      </c>
      <c r="V202" s="211">
        <f>Ruimtestaat[[#This Row],[Uitvoeringen werkdagen]]*Ruimtestaat[[#This Row],[Oppervlak (netto)]]</f>
        <v>15322</v>
      </c>
      <c r="W202" s="257">
        <f>IF(U202&gt;0,Ruimtestaat[[#This Row],[Prest. (m2 /jaar) werkdagen]]/Ruimtestaat[[#This Row],[Norm (m2/uur) werkdagen]],0)</f>
        <v>153.22</v>
      </c>
      <c r="X202" s="258">
        <f>Ruimtestaat[[#This Row],[uren / jaar werkdagen]]*Tariefsopbouw!$D$38</f>
        <v>3830.5</v>
      </c>
      <c r="Y202" s="33"/>
      <c r="Z202" s="33">
        <f>IF(Ruimtestaat[[#This Row],[Frequentie weekend]]&gt;0,VALUE(LEFT(Y202,1))*R202,0)</f>
        <v>0</v>
      </c>
      <c r="AA202" s="33">
        <f>IF($Z202&gt;0,VLOOKUP($J202,Ruimtegroepen[],3,FALSE)*VLOOKUP($L202,Vloersoorten[],3,FALSE)*VLOOKUP($Y202,Frequenties[],3,FALSE)*VLOOKUP(#REF!,Locaties[],3,FALSE),0)</f>
        <v>0</v>
      </c>
      <c r="AB202" s="33"/>
      <c r="AC202" s="33"/>
      <c r="AD202" s="33">
        <f>Ruimtestaat[[#This Row],[uren / jaar weekend]]*Tariefsopbouw!$D$40</f>
        <v>0</v>
      </c>
      <c r="AE202" s="88">
        <f>Ruimtestaat[[#This Row],[Prest. (m2 /jaar) weekend]]+Ruimtestaat[[#This Row],[Prest. (m2 /jaar) werkdagen]]</f>
        <v>15322</v>
      </c>
      <c r="AF202" s="88">
        <f>Ruimtestaat[[#This Row],[uren / jaar weekend]]+Ruimtestaat[[#This Row],[uren / jaar werkdagen]]</f>
        <v>153.22</v>
      </c>
      <c r="AG202" s="89">
        <f>Ruimtestaat[[#This Row],[kosten / jaar weekend]]+Ruimtestaat[[#This Row],[kosten / jaar werkdagen]]</f>
        <v>3830.5</v>
      </c>
    </row>
    <row r="203" spans="1:33" ht="15" customHeight="1">
      <c r="A203" s="195">
        <v>2</v>
      </c>
      <c r="B203" s="195" t="str">
        <f>VLOOKUP(Ruimtestaat[[#This Row],[Code]],Locaties[#All],2,FALSE)</f>
        <v>Groenlo - Gymzaal</v>
      </c>
      <c r="C203" s="241" t="str">
        <f>VLOOKUP(Ruimtestaat[[#This Row],[Code]],Locaties[#All],4,FALSE)</f>
        <v>Deken Hooijmanssingel 1</v>
      </c>
      <c r="D203" s="241" t="str">
        <f>VLOOKUP(Ruimtestaat[[#This Row],[Code]],Locaties[#All],5,FALSE)</f>
        <v>7141 EA</v>
      </c>
      <c r="E203" s="241" t="str">
        <f>VLOOKUP(Ruimtestaat[[#This Row],[Code]],Locaties[#All],6,FALSE)</f>
        <v>Groenlo</v>
      </c>
      <c r="F203" s="195" t="s">
        <v>577</v>
      </c>
      <c r="G203" s="195" t="s">
        <v>776</v>
      </c>
      <c r="H203" s="195" t="s">
        <v>576</v>
      </c>
      <c r="I203" s="242" t="s">
        <v>577</v>
      </c>
      <c r="J203" s="241">
        <v>18</v>
      </c>
      <c r="K203" s="260" t="str">
        <f>VLOOKUP(Ruimtestaat[[#This Row],[Ruimte code]],Ruimtegroepen[#All],2,FALSE)</f>
        <v>Gym - / speellokaal</v>
      </c>
      <c r="L203" s="211" t="s">
        <v>111</v>
      </c>
      <c r="M203" s="195" t="s">
        <v>777</v>
      </c>
      <c r="N203" s="197">
        <v>252</v>
      </c>
      <c r="O203" s="209"/>
      <c r="P203" s="241" t="str">
        <f>VLOOKUP(Ruimtestaat[[#This Row],[Ruimte code]],Ruimtegroepen[#All],4,FALSE)</f>
        <v>Sp  (Sportruimte)</v>
      </c>
      <c r="Q203" s="210"/>
      <c r="R203" s="211">
        <v>40</v>
      </c>
      <c r="S203" s="211" t="s">
        <v>2</v>
      </c>
      <c r="T203" s="211">
        <f>IF(R203&gt;0,IF(RIGHT(Ruimtestaat[[#This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203" s="211">
        <f>IF(T203&gt;0,VLOOKUP($J203,Ruimtegroepen[],3,FALSE)*VLOOKUP($L203,Vloersoorten[],3,FALSE)*VLOOKUP($S203,Frequenties[],3,FALSE)*VLOOKUP($A203,Locaties[],3,FALSE),0)</f>
        <v>100</v>
      </c>
      <c r="V203" s="211">
        <f>Ruimtestaat[[#This Row],[Uitvoeringen werkdagen]]*Ruimtestaat[[#This Row],[Oppervlak (netto)]]</f>
        <v>50400</v>
      </c>
      <c r="W203" s="257">
        <f>IF(U203&gt;0,Ruimtestaat[[#This Row],[Prest. (m2 /jaar) werkdagen]]/Ruimtestaat[[#This Row],[Norm (m2/uur) werkdagen]],0)</f>
        <v>504</v>
      </c>
      <c r="X203" s="258">
        <f>Ruimtestaat[[#This Row],[uren / jaar werkdagen]]*Tariefsopbouw!$D$38</f>
        <v>12600</v>
      </c>
      <c r="Y203" s="33"/>
      <c r="Z203" s="33">
        <f>IF(Ruimtestaat[[#This Row],[Frequentie weekend]]&gt;0,VALUE(LEFT(Y203,1))*R203,0)</f>
        <v>0</v>
      </c>
      <c r="AA203" s="33">
        <f>IF($Z203&gt;0,VLOOKUP($J203,Ruimtegroepen[],3,FALSE)*VLOOKUP($L203,Vloersoorten[],3,FALSE)*VLOOKUP($Y203,Frequenties[],3,FALSE)*VLOOKUP(#REF!,Locaties[],3,FALSE),0)</f>
        <v>0</v>
      </c>
      <c r="AB203" s="33"/>
      <c r="AC203" s="33"/>
      <c r="AD203" s="33">
        <f>Ruimtestaat[[#This Row],[uren / jaar weekend]]*Tariefsopbouw!$D$40</f>
        <v>0</v>
      </c>
      <c r="AE203" s="88">
        <f>Ruimtestaat[[#This Row],[Prest. (m2 /jaar) weekend]]+Ruimtestaat[[#This Row],[Prest. (m2 /jaar) werkdagen]]</f>
        <v>50400</v>
      </c>
      <c r="AF203" s="88">
        <f>Ruimtestaat[[#This Row],[uren / jaar weekend]]+Ruimtestaat[[#This Row],[uren / jaar werkdagen]]</f>
        <v>504</v>
      </c>
      <c r="AG203" s="89">
        <f>Ruimtestaat[[#This Row],[kosten / jaar weekend]]+Ruimtestaat[[#This Row],[kosten / jaar werkdagen]]</f>
        <v>12600</v>
      </c>
    </row>
    <row r="204" spans="1:33" ht="15" customHeight="1">
      <c r="A204" s="195">
        <v>2</v>
      </c>
      <c r="B204" s="195" t="str">
        <f>VLOOKUP(Ruimtestaat[[#This Row],[Code]],Locaties[#All],2,FALSE)</f>
        <v>Groenlo - Gymzaal</v>
      </c>
      <c r="C204" s="241" t="str">
        <f>VLOOKUP(Ruimtestaat[[#This Row],[Code]],Locaties[#All],4,FALSE)</f>
        <v>Deken Hooijmanssingel 1</v>
      </c>
      <c r="D204" s="241" t="str">
        <f>VLOOKUP(Ruimtestaat[[#This Row],[Code]],Locaties[#All],5,FALSE)</f>
        <v>7141 EA</v>
      </c>
      <c r="E204" s="241" t="str">
        <f>VLOOKUP(Ruimtestaat[[#This Row],[Code]],Locaties[#All],6,FALSE)</f>
        <v>Groenlo</v>
      </c>
      <c r="F204" s="195" t="s">
        <v>577</v>
      </c>
      <c r="G204" s="195" t="s">
        <v>776</v>
      </c>
      <c r="H204" s="195" t="s">
        <v>578</v>
      </c>
      <c r="I204" s="242" t="s">
        <v>382</v>
      </c>
      <c r="J204" s="211">
        <v>6</v>
      </c>
      <c r="K204" s="260" t="str">
        <f>VLOOKUP(Ruimtestaat[[#This Row],[Ruimte code]],Ruimtegroepen[#All],2,FALSE)</f>
        <v>Gangen/hallen</v>
      </c>
      <c r="L204" s="211" t="s">
        <v>111</v>
      </c>
      <c r="M204" s="195" t="s">
        <v>777</v>
      </c>
      <c r="N204" s="197">
        <v>13.3</v>
      </c>
      <c r="O204" s="209"/>
      <c r="P204" s="241" t="str">
        <f>VLOOKUP(Ruimtestaat[[#This Row],[Ruimte code]],Ruimtegroepen[#All],4,FALSE)</f>
        <v>V  (Verkeersruimte)</v>
      </c>
      <c r="Q204" s="210"/>
      <c r="R204" s="211">
        <v>40</v>
      </c>
      <c r="S204" s="211" t="s">
        <v>2</v>
      </c>
      <c r="T204" s="211">
        <f>IF(R204&gt;0,IF(RIGHT(Ruimtestaat[[#This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204" s="211">
        <f>IF(T204&gt;0,VLOOKUP($J204,Ruimtegroepen[],3,FALSE)*VLOOKUP($L204,Vloersoorten[],3,FALSE)*VLOOKUP($S204,Frequenties[],3,FALSE)*VLOOKUP($A204,Locaties[],3,FALSE),0)</f>
        <v>100</v>
      </c>
      <c r="V204" s="211">
        <f>Ruimtestaat[[#This Row],[Uitvoeringen werkdagen]]*Ruimtestaat[[#This Row],[Oppervlak (netto)]]</f>
        <v>2660</v>
      </c>
      <c r="W204" s="257">
        <f>IF(U204&gt;0,Ruimtestaat[[#This Row],[Prest. (m2 /jaar) werkdagen]]/Ruimtestaat[[#This Row],[Norm (m2/uur) werkdagen]],0)</f>
        <v>26.6</v>
      </c>
      <c r="X204" s="258">
        <f>Ruimtestaat[[#This Row],[uren / jaar werkdagen]]*Tariefsopbouw!$D$38</f>
        <v>665</v>
      </c>
      <c r="Y204" s="33"/>
      <c r="Z204" s="33">
        <f>IF(Ruimtestaat[[#This Row],[Frequentie weekend]]&gt;0,VALUE(LEFT(Y204,1))*R204,0)</f>
        <v>0</v>
      </c>
      <c r="AA204" s="33">
        <f>IF($Z204&gt;0,VLOOKUP($J204,Ruimtegroepen[],3,FALSE)*VLOOKUP($L204,Vloersoorten[],3,FALSE)*VLOOKUP($Y204,Frequenties[],3,FALSE)*VLOOKUP(#REF!,Locaties[],3,FALSE),0)</f>
        <v>0</v>
      </c>
      <c r="AB204" s="33"/>
      <c r="AC204" s="33"/>
      <c r="AD204" s="33">
        <f>Ruimtestaat[[#This Row],[uren / jaar weekend]]*Tariefsopbouw!$D$40</f>
        <v>0</v>
      </c>
      <c r="AE204" s="88">
        <f>Ruimtestaat[[#This Row],[Prest. (m2 /jaar) weekend]]+Ruimtestaat[[#This Row],[Prest. (m2 /jaar) werkdagen]]</f>
        <v>2660</v>
      </c>
      <c r="AF204" s="88">
        <f>Ruimtestaat[[#This Row],[uren / jaar weekend]]+Ruimtestaat[[#This Row],[uren / jaar werkdagen]]</f>
        <v>26.6</v>
      </c>
      <c r="AG204" s="89">
        <f>Ruimtestaat[[#This Row],[kosten / jaar weekend]]+Ruimtestaat[[#This Row],[kosten / jaar werkdagen]]</f>
        <v>665</v>
      </c>
    </row>
    <row r="205" spans="1:33" ht="15" customHeight="1">
      <c r="A205" s="195">
        <v>2</v>
      </c>
      <c r="B205" s="195" t="str">
        <f>VLOOKUP(Ruimtestaat[[#This Row],[Code]],Locaties[#All],2,FALSE)</f>
        <v>Groenlo - Gymzaal</v>
      </c>
      <c r="C205" s="241" t="str">
        <f>VLOOKUP(Ruimtestaat[[#This Row],[Code]],Locaties[#All],4,FALSE)</f>
        <v>Deken Hooijmanssingel 1</v>
      </c>
      <c r="D205" s="241" t="str">
        <f>VLOOKUP(Ruimtestaat[[#This Row],[Code]],Locaties[#All],5,FALSE)</f>
        <v>7141 EA</v>
      </c>
      <c r="E205" s="241" t="str">
        <f>VLOOKUP(Ruimtestaat[[#This Row],[Code]],Locaties[#All],6,FALSE)</f>
        <v>Groenlo</v>
      </c>
      <c r="F205" s="195" t="s">
        <v>577</v>
      </c>
      <c r="G205" s="195" t="s">
        <v>776</v>
      </c>
      <c r="H205" s="195" t="s">
        <v>588</v>
      </c>
      <c r="I205" s="242" t="s">
        <v>22</v>
      </c>
      <c r="J205" s="211">
        <v>5</v>
      </c>
      <c r="K205" s="260" t="str">
        <f>VLOOKUP(Ruimtestaat[[#This Row],[Ruimte code]],Ruimtegroepen[#All],2,FALSE)</f>
        <v>Sanitair</v>
      </c>
      <c r="L205" s="211" t="s">
        <v>111</v>
      </c>
      <c r="M205" s="195" t="s">
        <v>693</v>
      </c>
      <c r="N205" s="197">
        <v>14.3</v>
      </c>
      <c r="O205" s="209"/>
      <c r="P205" s="241" t="str">
        <f>VLOOKUP(Ruimtestaat[[#This Row],[Ruimte code]],Ruimtegroepen[#All],4,FALSE)</f>
        <v>S  (Sanitair)</v>
      </c>
      <c r="Q205" s="210"/>
      <c r="R205" s="211">
        <v>40</v>
      </c>
      <c r="S205" s="211" t="s">
        <v>2</v>
      </c>
      <c r="T205" s="211">
        <f>IF(R205&gt;0,IF(RIGHT(Ruimtestaat[[#This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205" s="211">
        <f>IF(T205&gt;0,VLOOKUP($J205,Ruimtegroepen[],3,FALSE)*VLOOKUP($L205,Vloersoorten[],3,FALSE)*VLOOKUP($S205,Frequenties[],3,FALSE)*VLOOKUP($A205,Locaties[],3,FALSE),0)</f>
        <v>100</v>
      </c>
      <c r="V205" s="211">
        <f>Ruimtestaat[[#This Row],[Uitvoeringen werkdagen]]*Ruimtestaat[[#This Row],[Oppervlak (netto)]]</f>
        <v>2860</v>
      </c>
      <c r="W205" s="257">
        <f>IF(U205&gt;0,Ruimtestaat[[#This Row],[Prest. (m2 /jaar) werkdagen]]/Ruimtestaat[[#This Row],[Norm (m2/uur) werkdagen]],0)</f>
        <v>28.6</v>
      </c>
      <c r="X205" s="258">
        <f>Ruimtestaat[[#This Row],[uren / jaar werkdagen]]*Tariefsopbouw!$D$38</f>
        <v>715</v>
      </c>
      <c r="Y205" s="33"/>
      <c r="Z205" s="33">
        <f>IF(Ruimtestaat[[#This Row],[Frequentie weekend]]&gt;0,VALUE(LEFT(Y205,1))*R205,0)</f>
        <v>0</v>
      </c>
      <c r="AA205" s="33">
        <f>IF($Z205&gt;0,VLOOKUP($J205,Ruimtegroepen[],3,FALSE)*VLOOKUP($L205,Vloersoorten[],3,FALSE)*VLOOKUP($Y205,Frequenties[],3,FALSE)*VLOOKUP(#REF!,Locaties[],3,FALSE),0)</f>
        <v>0</v>
      </c>
      <c r="AB205" s="33"/>
      <c r="AC205" s="33"/>
      <c r="AD205" s="33">
        <f>Ruimtestaat[[#This Row],[uren / jaar weekend]]*Tariefsopbouw!$D$40</f>
        <v>0</v>
      </c>
      <c r="AE205" s="88">
        <f>Ruimtestaat[[#This Row],[Prest. (m2 /jaar) weekend]]+Ruimtestaat[[#This Row],[Prest. (m2 /jaar) werkdagen]]</f>
        <v>2860</v>
      </c>
      <c r="AF205" s="88">
        <f>Ruimtestaat[[#This Row],[uren / jaar weekend]]+Ruimtestaat[[#This Row],[uren / jaar werkdagen]]</f>
        <v>28.6</v>
      </c>
      <c r="AG205" s="89">
        <f>Ruimtestaat[[#This Row],[kosten / jaar weekend]]+Ruimtestaat[[#This Row],[kosten / jaar werkdagen]]</f>
        <v>715</v>
      </c>
    </row>
    <row r="206" spans="1:33" ht="15" customHeight="1">
      <c r="A206" s="195">
        <v>2</v>
      </c>
      <c r="B206" s="195" t="str">
        <f>VLOOKUP(Ruimtestaat[[#This Row],[Code]],Locaties[#All],2,FALSE)</f>
        <v>Groenlo - Gymzaal</v>
      </c>
      <c r="C206" s="241" t="str">
        <f>VLOOKUP(Ruimtestaat[[#This Row],[Code]],Locaties[#All],4,FALSE)</f>
        <v>Deken Hooijmanssingel 1</v>
      </c>
      <c r="D206" s="241" t="str">
        <f>VLOOKUP(Ruimtestaat[[#This Row],[Code]],Locaties[#All],5,FALSE)</f>
        <v>7141 EA</v>
      </c>
      <c r="E206" s="241" t="str">
        <f>VLOOKUP(Ruimtestaat[[#This Row],[Code]],Locaties[#All],6,FALSE)</f>
        <v>Groenlo</v>
      </c>
      <c r="F206" s="195" t="s">
        <v>577</v>
      </c>
      <c r="G206" s="195" t="s">
        <v>776</v>
      </c>
      <c r="H206" s="195" t="s">
        <v>589</v>
      </c>
      <c r="I206" s="242" t="s">
        <v>441</v>
      </c>
      <c r="J206" s="195">
        <v>1</v>
      </c>
      <c r="K206" s="260" t="str">
        <f>VLOOKUP(Ruimtestaat[[#This Row],[Ruimte code]],Ruimtegroepen[#All],2,FALSE)</f>
        <v>Magazijnen/bergingen</v>
      </c>
      <c r="L206" s="211" t="s">
        <v>111</v>
      </c>
      <c r="M206" s="195" t="s">
        <v>777</v>
      </c>
      <c r="N206" s="197">
        <v>40.159999999999997</v>
      </c>
      <c r="O206" s="209"/>
      <c r="P206" s="241" t="str">
        <f>VLOOKUP(Ruimtestaat[[#This Row],[Ruimte code]],Ruimtegroepen[#All],4,FALSE)</f>
        <v>V  (Verkeersruimte)</v>
      </c>
      <c r="Q206" s="210"/>
      <c r="R206" s="211">
        <v>40</v>
      </c>
      <c r="S206" s="211" t="s">
        <v>16</v>
      </c>
      <c r="T206" s="211">
        <f>IF(R206&gt;0,IF(RIGHT(Ruimtestaat[[#This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U206" s="211">
        <f>IF(T206&gt;0,VLOOKUP($J206,Ruimtegroepen[],3,FALSE)*VLOOKUP($L206,Vloersoorten[],3,FALSE)*VLOOKUP($S206,Frequenties[],3,FALSE)*VLOOKUP($A206,Locaties[],3,FALSE),0)</f>
        <v>100</v>
      </c>
      <c r="V206" s="211">
        <f>Ruimtestaat[[#This Row],[Uitvoeringen werkdagen]]*Ruimtestaat[[#This Row],[Oppervlak (netto)]]</f>
        <v>481.91999999999996</v>
      </c>
      <c r="W206" s="257">
        <f>IF(U206&gt;0,Ruimtestaat[[#This Row],[Prest. (m2 /jaar) werkdagen]]/Ruimtestaat[[#This Row],[Norm (m2/uur) werkdagen]],0)</f>
        <v>4.8191999999999995</v>
      </c>
      <c r="X206" s="258">
        <f>Ruimtestaat[[#This Row],[uren / jaar werkdagen]]*Tariefsopbouw!$D$38</f>
        <v>120.47999999999999</v>
      </c>
      <c r="Y206" s="33"/>
      <c r="Z206" s="33">
        <f>IF(Ruimtestaat[[#This Row],[Frequentie weekend]]&gt;0,VALUE(LEFT(Y206,1))*R206,0)</f>
        <v>0</v>
      </c>
      <c r="AA206" s="33">
        <f>IF($Z206&gt;0,VLOOKUP($J206,Ruimtegroepen[],3,FALSE)*VLOOKUP($L206,Vloersoorten[],3,FALSE)*VLOOKUP($Y206,Frequenties[],3,FALSE)*VLOOKUP(#REF!,Locaties[],3,FALSE),0)</f>
        <v>0</v>
      </c>
      <c r="AB206" s="33"/>
      <c r="AC206" s="33"/>
      <c r="AD206" s="33">
        <f>Ruimtestaat[[#This Row],[uren / jaar weekend]]*Tariefsopbouw!$D$40</f>
        <v>0</v>
      </c>
      <c r="AE206" s="88">
        <f>Ruimtestaat[[#This Row],[Prest. (m2 /jaar) weekend]]+Ruimtestaat[[#This Row],[Prest. (m2 /jaar) werkdagen]]</f>
        <v>481.91999999999996</v>
      </c>
      <c r="AF206" s="88">
        <f>Ruimtestaat[[#This Row],[uren / jaar weekend]]+Ruimtestaat[[#This Row],[uren / jaar werkdagen]]</f>
        <v>4.8191999999999995</v>
      </c>
      <c r="AG206" s="89">
        <f>Ruimtestaat[[#This Row],[kosten / jaar weekend]]+Ruimtestaat[[#This Row],[kosten / jaar werkdagen]]</f>
        <v>120.47999999999999</v>
      </c>
    </row>
    <row r="207" spans="1:33" ht="15" customHeight="1">
      <c r="A207" s="195">
        <v>2</v>
      </c>
      <c r="B207" s="195" t="str">
        <f>VLOOKUP(Ruimtestaat[[#This Row],[Code]],Locaties[#All],2,FALSE)</f>
        <v>Groenlo - Gymzaal</v>
      </c>
      <c r="C207" s="241" t="str">
        <f>VLOOKUP(Ruimtestaat[[#This Row],[Code]],Locaties[#All],4,FALSE)</f>
        <v>Deken Hooijmanssingel 1</v>
      </c>
      <c r="D207" s="241" t="str">
        <f>VLOOKUP(Ruimtestaat[[#This Row],[Code]],Locaties[#All],5,FALSE)</f>
        <v>7141 EA</v>
      </c>
      <c r="E207" s="241" t="str">
        <f>VLOOKUP(Ruimtestaat[[#This Row],[Code]],Locaties[#All],6,FALSE)</f>
        <v>Groenlo</v>
      </c>
      <c r="F207" s="195" t="s">
        <v>577</v>
      </c>
      <c r="G207" s="195" t="s">
        <v>776</v>
      </c>
      <c r="H207" s="195" t="s">
        <v>590</v>
      </c>
      <c r="I207" s="242" t="s">
        <v>601</v>
      </c>
      <c r="J207" s="195">
        <v>21</v>
      </c>
      <c r="K207" s="260" t="str">
        <f>VLOOKUP(Ruimtestaat[[#This Row],[Ruimte code]],Ruimtegroepen[#All],2,FALSE)</f>
        <v>Niet in onderhoud</v>
      </c>
      <c r="L207" s="211" t="s">
        <v>111</v>
      </c>
      <c r="M207" s="195" t="s">
        <v>693</v>
      </c>
      <c r="N207" s="197"/>
      <c r="O207" s="209">
        <v>7.41</v>
      </c>
      <c r="P207" s="241" t="str">
        <f>VLOOKUP(Ruimtestaat[[#This Row],[Ruimte code]],Ruimtegroepen[#All],4,FALSE)</f>
        <v>Niet in onderhoud</v>
      </c>
      <c r="Q207" s="210"/>
      <c r="R207" s="211"/>
      <c r="S207" s="211"/>
      <c r="T207" s="211">
        <f>IF(R207&gt;0,IF(RIGHT(Ruimtestaat[[#This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207" s="211">
        <f>IF(T207&gt;0,VLOOKUP($J207,Ruimtegroepen[],3,FALSE)*VLOOKUP($L207,Vloersoorten[],3,FALSE)*VLOOKUP($S207,Frequenties[],3,FALSE)*VLOOKUP($A207,Locaties[],3,FALSE),0)</f>
        <v>0</v>
      </c>
      <c r="V207" s="211">
        <f>Ruimtestaat[[#This Row],[Uitvoeringen werkdagen]]*Ruimtestaat[[#This Row],[Oppervlak (netto)]]</f>
        <v>0</v>
      </c>
      <c r="W207" s="257">
        <f>IF(U207&gt;0,Ruimtestaat[[#This Row],[Prest. (m2 /jaar) werkdagen]]/Ruimtestaat[[#This Row],[Norm (m2/uur) werkdagen]],0)</f>
        <v>0</v>
      </c>
      <c r="X207" s="258">
        <f>Ruimtestaat[[#This Row],[uren / jaar werkdagen]]*Tariefsopbouw!$D$38</f>
        <v>0</v>
      </c>
      <c r="Y207" s="33"/>
      <c r="Z207" s="33">
        <f>IF(Ruimtestaat[[#This Row],[Frequentie weekend]]&gt;0,VALUE(LEFT(Y207,1))*R207,0)</f>
        <v>0</v>
      </c>
      <c r="AA207" s="33">
        <f>IF($Z207&gt;0,VLOOKUP($J207,Ruimtegroepen[],3,FALSE)*VLOOKUP($L207,Vloersoorten[],3,FALSE)*VLOOKUP($Y207,Frequenties[],3,FALSE)*VLOOKUP(#REF!,Locaties[],3,FALSE),0)</f>
        <v>0</v>
      </c>
      <c r="AB207" s="33"/>
      <c r="AC207" s="33"/>
      <c r="AD207" s="33">
        <f>Ruimtestaat[[#This Row],[uren / jaar weekend]]*Tariefsopbouw!$D$40</f>
        <v>0</v>
      </c>
      <c r="AE207" s="88">
        <f>Ruimtestaat[[#This Row],[Prest. (m2 /jaar) weekend]]+Ruimtestaat[[#This Row],[Prest. (m2 /jaar) werkdagen]]</f>
        <v>0</v>
      </c>
      <c r="AF207" s="88">
        <f>Ruimtestaat[[#This Row],[uren / jaar weekend]]+Ruimtestaat[[#This Row],[uren / jaar werkdagen]]</f>
        <v>0</v>
      </c>
      <c r="AG207" s="89">
        <f>Ruimtestaat[[#This Row],[kosten / jaar weekend]]+Ruimtestaat[[#This Row],[kosten / jaar werkdagen]]</f>
        <v>0</v>
      </c>
    </row>
    <row r="208" spans="1:33" ht="15" customHeight="1">
      <c r="A208" s="195">
        <v>2</v>
      </c>
      <c r="B208" s="195" t="str">
        <f>VLOOKUP(Ruimtestaat[[#This Row],[Code]],Locaties[#All],2,FALSE)</f>
        <v>Groenlo - Gymzaal</v>
      </c>
      <c r="C208" s="241" t="str">
        <f>VLOOKUP(Ruimtestaat[[#This Row],[Code]],Locaties[#All],4,FALSE)</f>
        <v>Deken Hooijmanssingel 1</v>
      </c>
      <c r="D208" s="241" t="str">
        <f>VLOOKUP(Ruimtestaat[[#This Row],[Code]],Locaties[#All],5,FALSE)</f>
        <v>7141 EA</v>
      </c>
      <c r="E208" s="241" t="str">
        <f>VLOOKUP(Ruimtestaat[[#This Row],[Code]],Locaties[#All],6,FALSE)</f>
        <v>Groenlo</v>
      </c>
      <c r="F208" s="195" t="s">
        <v>577</v>
      </c>
      <c r="G208" s="195" t="s">
        <v>776</v>
      </c>
      <c r="H208" s="195" t="s">
        <v>591</v>
      </c>
      <c r="I208" s="242" t="s">
        <v>601</v>
      </c>
      <c r="J208" s="195">
        <v>21</v>
      </c>
      <c r="K208" s="260" t="str">
        <f>VLOOKUP(Ruimtestaat[[#This Row],[Ruimte code]],Ruimtegroepen[#All],2,FALSE)</f>
        <v>Niet in onderhoud</v>
      </c>
      <c r="L208" s="211" t="s">
        <v>111</v>
      </c>
      <c r="M208" s="195" t="s">
        <v>693</v>
      </c>
      <c r="N208" s="197"/>
      <c r="O208" s="209">
        <v>5.93</v>
      </c>
      <c r="P208" s="241" t="str">
        <f>VLOOKUP(Ruimtestaat[[#This Row],[Ruimte code]],Ruimtegroepen[#All],4,FALSE)</f>
        <v>Niet in onderhoud</v>
      </c>
      <c r="Q208" s="210"/>
      <c r="R208" s="211"/>
      <c r="S208" s="211"/>
      <c r="T208" s="211">
        <f>IF(R208&gt;0,IF(RIGHT(Ruimtestaat[[#This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208" s="211">
        <f>IF(T208&gt;0,VLOOKUP($J208,Ruimtegroepen[],3,FALSE)*VLOOKUP($L208,Vloersoorten[],3,FALSE)*VLOOKUP($S208,Frequenties[],3,FALSE)*VLOOKUP($A208,Locaties[],3,FALSE),0)</f>
        <v>0</v>
      </c>
      <c r="V208" s="211">
        <f>Ruimtestaat[[#This Row],[Uitvoeringen werkdagen]]*Ruimtestaat[[#This Row],[Oppervlak (netto)]]</f>
        <v>0</v>
      </c>
      <c r="W208" s="257">
        <f>IF(U208&gt;0,Ruimtestaat[[#This Row],[Prest. (m2 /jaar) werkdagen]]/Ruimtestaat[[#This Row],[Norm (m2/uur) werkdagen]],0)</f>
        <v>0</v>
      </c>
      <c r="X208" s="258">
        <f>Ruimtestaat[[#This Row],[uren / jaar werkdagen]]*Tariefsopbouw!$D$38</f>
        <v>0</v>
      </c>
      <c r="Y208" s="33"/>
      <c r="Z208" s="33">
        <f>IF(Ruimtestaat[[#This Row],[Frequentie weekend]]&gt;0,VALUE(LEFT(Y208,1))*R208,0)</f>
        <v>0</v>
      </c>
      <c r="AA208" s="33">
        <f>IF($Z208&gt;0,VLOOKUP($J208,Ruimtegroepen[],3,FALSE)*VLOOKUP($L208,Vloersoorten[],3,FALSE)*VLOOKUP($Y208,Frequenties[],3,FALSE)*VLOOKUP(#REF!,Locaties[],3,FALSE),0)</f>
        <v>0</v>
      </c>
      <c r="AB208" s="33"/>
      <c r="AC208" s="33"/>
      <c r="AD208" s="33">
        <f>Ruimtestaat[[#This Row],[uren / jaar weekend]]*Tariefsopbouw!$D$40</f>
        <v>0</v>
      </c>
      <c r="AE208" s="88">
        <f>Ruimtestaat[[#This Row],[Prest. (m2 /jaar) weekend]]+Ruimtestaat[[#This Row],[Prest. (m2 /jaar) werkdagen]]</f>
        <v>0</v>
      </c>
      <c r="AF208" s="88">
        <f>Ruimtestaat[[#This Row],[uren / jaar weekend]]+Ruimtestaat[[#This Row],[uren / jaar werkdagen]]</f>
        <v>0</v>
      </c>
      <c r="AG208" s="89">
        <f>Ruimtestaat[[#This Row],[kosten / jaar weekend]]+Ruimtestaat[[#This Row],[kosten / jaar werkdagen]]</f>
        <v>0</v>
      </c>
    </row>
    <row r="209" spans="1:33" ht="15" customHeight="1">
      <c r="A209" s="195">
        <v>2</v>
      </c>
      <c r="B209" s="195" t="str">
        <f>VLOOKUP(Ruimtestaat[[#This Row],[Code]],Locaties[#All],2,FALSE)</f>
        <v>Groenlo - Gymzaal</v>
      </c>
      <c r="C209" s="241" t="str">
        <f>VLOOKUP(Ruimtestaat[[#This Row],[Code]],Locaties[#All],4,FALSE)</f>
        <v>Deken Hooijmanssingel 1</v>
      </c>
      <c r="D209" s="241" t="str">
        <f>VLOOKUP(Ruimtestaat[[#This Row],[Code]],Locaties[#All],5,FALSE)</f>
        <v>7141 EA</v>
      </c>
      <c r="E209" s="241" t="str">
        <f>VLOOKUP(Ruimtestaat[[#This Row],[Code]],Locaties[#All],6,FALSE)</f>
        <v>Groenlo</v>
      </c>
      <c r="F209" s="195" t="s">
        <v>577</v>
      </c>
      <c r="G209" s="195" t="s">
        <v>776</v>
      </c>
      <c r="H209" s="195" t="s">
        <v>592</v>
      </c>
      <c r="I209" s="242" t="s">
        <v>585</v>
      </c>
      <c r="J209" s="195">
        <v>21</v>
      </c>
      <c r="K209" s="260" t="str">
        <f>VLOOKUP(Ruimtestaat[[#This Row],[Ruimte code]],Ruimtegroepen[#All],2,FALSE)</f>
        <v>Niet in onderhoud</v>
      </c>
      <c r="L209" s="211" t="s">
        <v>111</v>
      </c>
      <c r="M209" s="195" t="s">
        <v>693</v>
      </c>
      <c r="N209" s="197"/>
      <c r="O209" s="209">
        <v>22.11</v>
      </c>
      <c r="P209" s="241" t="str">
        <f>VLOOKUP(Ruimtestaat[[#This Row],[Ruimte code]],Ruimtegroepen[#All],4,FALSE)</f>
        <v>Niet in onderhoud</v>
      </c>
      <c r="Q209" s="210"/>
      <c r="R209" s="211"/>
      <c r="S209" s="211"/>
      <c r="T209" s="211">
        <f>IF(R209&gt;0,IF(RIGHT(Ruimtestaat[[#This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209" s="211">
        <f>IF(T209&gt;0,VLOOKUP($J209,Ruimtegroepen[],3,FALSE)*VLOOKUP($L209,Vloersoorten[],3,FALSE)*VLOOKUP($S209,Frequenties[],3,FALSE)*VLOOKUP($A209,Locaties[],3,FALSE),0)</f>
        <v>0</v>
      </c>
      <c r="V209" s="211">
        <f>Ruimtestaat[[#This Row],[Uitvoeringen werkdagen]]*Ruimtestaat[[#This Row],[Oppervlak (netto)]]</f>
        <v>0</v>
      </c>
      <c r="W209" s="257">
        <f>IF(U209&gt;0,Ruimtestaat[[#This Row],[Prest. (m2 /jaar) werkdagen]]/Ruimtestaat[[#This Row],[Norm (m2/uur) werkdagen]],0)</f>
        <v>0</v>
      </c>
      <c r="X209" s="258">
        <f>Ruimtestaat[[#This Row],[uren / jaar werkdagen]]*Tariefsopbouw!$D$38</f>
        <v>0</v>
      </c>
      <c r="Y209" s="33"/>
      <c r="Z209" s="33">
        <f>IF(Ruimtestaat[[#This Row],[Frequentie weekend]]&gt;0,VALUE(LEFT(Y209,1))*R209,0)</f>
        <v>0</v>
      </c>
      <c r="AA209" s="33">
        <f>IF($Z209&gt;0,VLOOKUP($J209,Ruimtegroepen[],3,FALSE)*VLOOKUP($L209,Vloersoorten[],3,FALSE)*VLOOKUP($Y209,Frequenties[],3,FALSE)*VLOOKUP(#REF!,Locaties[],3,FALSE),0)</f>
        <v>0</v>
      </c>
      <c r="AB209" s="33"/>
      <c r="AC209" s="33"/>
      <c r="AD209" s="33">
        <f>Ruimtestaat[[#This Row],[uren / jaar weekend]]*Tariefsopbouw!$D$40</f>
        <v>0</v>
      </c>
      <c r="AE209" s="88">
        <f>Ruimtestaat[[#This Row],[Prest. (m2 /jaar) weekend]]+Ruimtestaat[[#This Row],[Prest. (m2 /jaar) werkdagen]]</f>
        <v>0</v>
      </c>
      <c r="AF209" s="88">
        <f>Ruimtestaat[[#This Row],[uren / jaar weekend]]+Ruimtestaat[[#This Row],[uren / jaar werkdagen]]</f>
        <v>0</v>
      </c>
      <c r="AG209" s="89">
        <f>Ruimtestaat[[#This Row],[kosten / jaar weekend]]+Ruimtestaat[[#This Row],[kosten / jaar werkdagen]]</f>
        <v>0</v>
      </c>
    </row>
    <row r="210" spans="1:33" ht="15" customHeight="1">
      <c r="A210" s="195">
        <v>2</v>
      </c>
      <c r="B210" s="195" t="str">
        <f>VLOOKUP(Ruimtestaat[[#This Row],[Code]],Locaties[#All],2,FALSE)</f>
        <v>Groenlo - Gymzaal</v>
      </c>
      <c r="C210" s="241" t="str">
        <f>VLOOKUP(Ruimtestaat[[#This Row],[Code]],Locaties[#All],4,FALSE)</f>
        <v>Deken Hooijmanssingel 1</v>
      </c>
      <c r="D210" s="241" t="str">
        <f>VLOOKUP(Ruimtestaat[[#This Row],[Code]],Locaties[#All],5,FALSE)</f>
        <v>7141 EA</v>
      </c>
      <c r="E210" s="241" t="str">
        <f>VLOOKUP(Ruimtestaat[[#This Row],[Code]],Locaties[#All],6,FALSE)</f>
        <v>Groenlo</v>
      </c>
      <c r="F210" s="195" t="s">
        <v>577</v>
      </c>
      <c r="G210" s="195" t="s">
        <v>776</v>
      </c>
      <c r="H210" s="195" t="s">
        <v>593</v>
      </c>
      <c r="I210" s="242" t="s">
        <v>22</v>
      </c>
      <c r="J210" s="241">
        <v>21</v>
      </c>
      <c r="K210" s="260" t="str">
        <f>VLOOKUP(Ruimtestaat[[#This Row],[Ruimte code]],Ruimtegroepen[#All],2,FALSE)</f>
        <v>Niet in onderhoud</v>
      </c>
      <c r="L210" s="211" t="s">
        <v>111</v>
      </c>
      <c r="M210" s="195" t="s">
        <v>693</v>
      </c>
      <c r="N210" s="197"/>
      <c r="O210" s="209">
        <v>5.81</v>
      </c>
      <c r="P210" s="241" t="str">
        <f>VLOOKUP(Ruimtestaat[[#This Row],[Ruimte code]],Ruimtegroepen[#All],4,FALSE)</f>
        <v>Niet in onderhoud</v>
      </c>
      <c r="Q210" s="210"/>
      <c r="R210" s="211"/>
      <c r="S210" s="211"/>
      <c r="T210" s="211">
        <f>IF(R210&gt;0,IF(RIGHT(Ruimtestaat[[#This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210" s="211">
        <f>IF(T210&gt;0,VLOOKUP($J210,Ruimtegroepen[],3,FALSE)*VLOOKUP($L210,Vloersoorten[],3,FALSE)*VLOOKUP($S210,Frequenties[],3,FALSE)*VLOOKUP($A210,Locaties[],3,FALSE),0)</f>
        <v>0</v>
      </c>
      <c r="V210" s="211">
        <f>Ruimtestaat[[#This Row],[Uitvoeringen werkdagen]]*Ruimtestaat[[#This Row],[Oppervlak (netto)]]</f>
        <v>0</v>
      </c>
      <c r="W210" s="257">
        <f>IF(U210&gt;0,Ruimtestaat[[#This Row],[Prest. (m2 /jaar) werkdagen]]/Ruimtestaat[[#This Row],[Norm (m2/uur) werkdagen]],0)</f>
        <v>0</v>
      </c>
      <c r="X210" s="258">
        <f>Ruimtestaat[[#This Row],[uren / jaar werkdagen]]*Tariefsopbouw!$D$38</f>
        <v>0</v>
      </c>
      <c r="Y210" s="33"/>
      <c r="Z210" s="33">
        <f>IF(Ruimtestaat[[#This Row],[Frequentie weekend]]&gt;0,VALUE(LEFT(Y210,1))*R210,0)</f>
        <v>0</v>
      </c>
      <c r="AA210" s="33">
        <f>IF($Z210&gt;0,VLOOKUP($J210,Ruimtegroepen[],3,FALSE)*VLOOKUP($L210,Vloersoorten[],3,FALSE)*VLOOKUP($Y210,Frequenties[],3,FALSE)*VLOOKUP(#REF!,Locaties[],3,FALSE),0)</f>
        <v>0</v>
      </c>
      <c r="AB210" s="33"/>
      <c r="AC210" s="33"/>
      <c r="AD210" s="33">
        <f>Ruimtestaat[[#This Row],[uren / jaar weekend]]*Tariefsopbouw!$D$40</f>
        <v>0</v>
      </c>
      <c r="AE210" s="88">
        <f>Ruimtestaat[[#This Row],[Prest. (m2 /jaar) weekend]]+Ruimtestaat[[#This Row],[Prest. (m2 /jaar) werkdagen]]</f>
        <v>0</v>
      </c>
      <c r="AF210" s="88">
        <f>Ruimtestaat[[#This Row],[uren / jaar weekend]]+Ruimtestaat[[#This Row],[uren / jaar werkdagen]]</f>
        <v>0</v>
      </c>
      <c r="AG210" s="89">
        <f>Ruimtestaat[[#This Row],[kosten / jaar weekend]]+Ruimtestaat[[#This Row],[kosten / jaar werkdagen]]</f>
        <v>0</v>
      </c>
    </row>
    <row r="211" spans="1:33" ht="15" customHeight="1">
      <c r="A211" s="195">
        <v>2</v>
      </c>
      <c r="B211" s="195" t="str">
        <f>VLOOKUP(Ruimtestaat[[#This Row],[Code]],Locaties[#All],2,FALSE)</f>
        <v>Groenlo - Gymzaal</v>
      </c>
      <c r="C211" s="241" t="str">
        <f>VLOOKUP(Ruimtestaat[[#This Row],[Code]],Locaties[#All],4,FALSE)</f>
        <v>Deken Hooijmanssingel 1</v>
      </c>
      <c r="D211" s="241" t="str">
        <f>VLOOKUP(Ruimtestaat[[#This Row],[Code]],Locaties[#All],5,FALSE)</f>
        <v>7141 EA</v>
      </c>
      <c r="E211" s="241" t="str">
        <f>VLOOKUP(Ruimtestaat[[#This Row],[Code]],Locaties[#All],6,FALSE)</f>
        <v>Groenlo</v>
      </c>
      <c r="F211" s="195" t="s">
        <v>577</v>
      </c>
      <c r="G211" s="195" t="s">
        <v>776</v>
      </c>
      <c r="H211" s="195" t="s">
        <v>594</v>
      </c>
      <c r="I211" s="242" t="s">
        <v>22</v>
      </c>
      <c r="J211" s="241">
        <v>21</v>
      </c>
      <c r="K211" s="260" t="str">
        <f>VLOOKUP(Ruimtestaat[[#This Row],[Ruimte code]],Ruimtegroepen[#All],2,FALSE)</f>
        <v>Niet in onderhoud</v>
      </c>
      <c r="L211" s="211" t="s">
        <v>111</v>
      </c>
      <c r="M211" s="195" t="s">
        <v>693</v>
      </c>
      <c r="N211" s="197"/>
      <c r="O211" s="209">
        <v>1.71</v>
      </c>
      <c r="P211" s="241" t="str">
        <f>VLOOKUP(Ruimtestaat[[#This Row],[Ruimte code]],Ruimtegroepen[#All],4,FALSE)</f>
        <v>Niet in onderhoud</v>
      </c>
      <c r="Q211" s="210"/>
      <c r="R211" s="211"/>
      <c r="S211" s="211"/>
      <c r="T211" s="211">
        <f>IF(R211&gt;0,IF(RIGHT(Ruimtestaat[[#This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211" s="211">
        <f>IF(T211&gt;0,VLOOKUP($J211,Ruimtegroepen[],3,FALSE)*VLOOKUP($L211,Vloersoorten[],3,FALSE)*VLOOKUP($S211,Frequenties[],3,FALSE)*VLOOKUP($A211,Locaties[],3,FALSE),0)</f>
        <v>0</v>
      </c>
      <c r="V211" s="211">
        <f>Ruimtestaat[[#This Row],[Uitvoeringen werkdagen]]*Ruimtestaat[[#This Row],[Oppervlak (netto)]]</f>
        <v>0</v>
      </c>
      <c r="W211" s="257">
        <f>IF(U211&gt;0,Ruimtestaat[[#This Row],[Prest. (m2 /jaar) werkdagen]]/Ruimtestaat[[#This Row],[Norm (m2/uur) werkdagen]],0)</f>
        <v>0</v>
      </c>
      <c r="X211" s="258">
        <f>Ruimtestaat[[#This Row],[uren / jaar werkdagen]]*Tariefsopbouw!$D$38</f>
        <v>0</v>
      </c>
      <c r="Y211" s="33"/>
      <c r="Z211" s="33">
        <f>IF(Ruimtestaat[[#This Row],[Frequentie weekend]]&gt;0,VALUE(LEFT(Y211,1))*R211,0)</f>
        <v>0</v>
      </c>
      <c r="AA211" s="33">
        <f>IF($Z211&gt;0,VLOOKUP($J211,Ruimtegroepen[],3,FALSE)*VLOOKUP($L211,Vloersoorten[],3,FALSE)*VLOOKUP($Y211,Frequenties[],3,FALSE)*VLOOKUP(#REF!,Locaties[],3,FALSE),0)</f>
        <v>0</v>
      </c>
      <c r="AB211" s="33"/>
      <c r="AC211" s="33"/>
      <c r="AD211" s="33">
        <f>Ruimtestaat[[#This Row],[uren / jaar weekend]]*Tariefsopbouw!$D$40</f>
        <v>0</v>
      </c>
      <c r="AE211" s="88">
        <f>Ruimtestaat[[#This Row],[Prest. (m2 /jaar) weekend]]+Ruimtestaat[[#This Row],[Prest. (m2 /jaar) werkdagen]]</f>
        <v>0</v>
      </c>
      <c r="AF211" s="88">
        <f>Ruimtestaat[[#This Row],[uren / jaar weekend]]+Ruimtestaat[[#This Row],[uren / jaar werkdagen]]</f>
        <v>0</v>
      </c>
      <c r="AG211" s="89">
        <f>Ruimtestaat[[#This Row],[kosten / jaar weekend]]+Ruimtestaat[[#This Row],[kosten / jaar werkdagen]]</f>
        <v>0</v>
      </c>
    </row>
    <row r="212" spans="1:33" ht="15" customHeight="1">
      <c r="A212" s="195">
        <v>2</v>
      </c>
      <c r="B212" s="195" t="str">
        <f>VLOOKUP(Ruimtestaat[[#This Row],[Code]],Locaties[#All],2,FALSE)</f>
        <v>Groenlo - Gymzaal</v>
      </c>
      <c r="C212" s="241" t="str">
        <f>VLOOKUP(Ruimtestaat[[#This Row],[Code]],Locaties[#All],4,FALSE)</f>
        <v>Deken Hooijmanssingel 1</v>
      </c>
      <c r="D212" s="241" t="str">
        <f>VLOOKUP(Ruimtestaat[[#This Row],[Code]],Locaties[#All],5,FALSE)</f>
        <v>7141 EA</v>
      </c>
      <c r="E212" s="241" t="str">
        <f>VLOOKUP(Ruimtestaat[[#This Row],[Code]],Locaties[#All],6,FALSE)</f>
        <v>Groenlo</v>
      </c>
      <c r="F212" s="195" t="s">
        <v>577</v>
      </c>
      <c r="G212" s="195" t="s">
        <v>776</v>
      </c>
      <c r="H212" s="195" t="s">
        <v>595</v>
      </c>
      <c r="I212" s="242" t="s">
        <v>585</v>
      </c>
      <c r="J212" s="195">
        <v>21</v>
      </c>
      <c r="K212" s="260" t="str">
        <f>VLOOKUP(Ruimtestaat[[#This Row],[Ruimte code]],Ruimtegroepen[#All],2,FALSE)</f>
        <v>Niet in onderhoud</v>
      </c>
      <c r="L212" s="211" t="s">
        <v>111</v>
      </c>
      <c r="M212" s="195" t="s">
        <v>693</v>
      </c>
      <c r="N212" s="197"/>
      <c r="O212" s="209">
        <v>22.05</v>
      </c>
      <c r="P212" s="241" t="str">
        <f>VLOOKUP(Ruimtestaat[[#This Row],[Ruimte code]],Ruimtegroepen[#All],4,FALSE)</f>
        <v>Niet in onderhoud</v>
      </c>
      <c r="Q212" s="210"/>
      <c r="R212" s="211"/>
      <c r="S212" s="211"/>
      <c r="T212" s="211">
        <f>IF(R212&gt;0,IF(RIGHT(Ruimtestaat[[#This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212" s="211">
        <f>IF(T212&gt;0,VLOOKUP($J212,Ruimtegroepen[],3,FALSE)*VLOOKUP($L212,Vloersoorten[],3,FALSE)*VLOOKUP($S212,Frequenties[],3,FALSE)*VLOOKUP($A212,Locaties[],3,FALSE),0)</f>
        <v>0</v>
      </c>
      <c r="V212" s="211">
        <f>Ruimtestaat[[#This Row],[Uitvoeringen werkdagen]]*Ruimtestaat[[#This Row],[Oppervlak (netto)]]</f>
        <v>0</v>
      </c>
      <c r="W212" s="257">
        <f>IF(U212&gt;0,Ruimtestaat[[#This Row],[Prest. (m2 /jaar) werkdagen]]/Ruimtestaat[[#This Row],[Norm (m2/uur) werkdagen]],0)</f>
        <v>0</v>
      </c>
      <c r="X212" s="258">
        <f>Ruimtestaat[[#This Row],[uren / jaar werkdagen]]*Tariefsopbouw!$D$38</f>
        <v>0</v>
      </c>
      <c r="Y212" s="33"/>
      <c r="Z212" s="33">
        <f>IF(Ruimtestaat[[#This Row],[Frequentie weekend]]&gt;0,VALUE(LEFT(Y212,1))*R212,0)</f>
        <v>0</v>
      </c>
      <c r="AA212" s="33">
        <f>IF($Z212&gt;0,VLOOKUP($J212,Ruimtegroepen[],3,FALSE)*VLOOKUP($L212,Vloersoorten[],3,FALSE)*VLOOKUP($Y212,Frequenties[],3,FALSE)*VLOOKUP(#REF!,Locaties[],3,FALSE),0)</f>
        <v>0</v>
      </c>
      <c r="AB212" s="33"/>
      <c r="AC212" s="33"/>
      <c r="AD212" s="33">
        <f>Ruimtestaat[[#This Row],[uren / jaar weekend]]*Tariefsopbouw!$D$40</f>
        <v>0</v>
      </c>
      <c r="AE212" s="88">
        <f>Ruimtestaat[[#This Row],[Prest. (m2 /jaar) weekend]]+Ruimtestaat[[#This Row],[Prest. (m2 /jaar) werkdagen]]</f>
        <v>0</v>
      </c>
      <c r="AF212" s="88">
        <f>Ruimtestaat[[#This Row],[uren / jaar weekend]]+Ruimtestaat[[#This Row],[uren / jaar werkdagen]]</f>
        <v>0</v>
      </c>
      <c r="AG212" s="89">
        <f>Ruimtestaat[[#This Row],[kosten / jaar weekend]]+Ruimtestaat[[#This Row],[kosten / jaar werkdagen]]</f>
        <v>0</v>
      </c>
    </row>
    <row r="213" spans="1:33" ht="15" customHeight="1">
      <c r="A213" s="195">
        <v>2</v>
      </c>
      <c r="B213" s="195" t="str">
        <f>VLOOKUP(Ruimtestaat[[#This Row],[Code]],Locaties[#All],2,FALSE)</f>
        <v>Groenlo - Gymzaal</v>
      </c>
      <c r="C213" s="241" t="str">
        <f>VLOOKUP(Ruimtestaat[[#This Row],[Code]],Locaties[#All],4,FALSE)</f>
        <v>Deken Hooijmanssingel 1</v>
      </c>
      <c r="D213" s="241" t="str">
        <f>VLOOKUP(Ruimtestaat[[#This Row],[Code]],Locaties[#All],5,FALSE)</f>
        <v>7141 EA</v>
      </c>
      <c r="E213" s="241" t="str">
        <f>VLOOKUP(Ruimtestaat[[#This Row],[Code]],Locaties[#All],6,FALSE)</f>
        <v>Groenlo</v>
      </c>
      <c r="F213" s="195" t="s">
        <v>577</v>
      </c>
      <c r="G213" s="195" t="s">
        <v>776</v>
      </c>
      <c r="H213" s="195" t="s">
        <v>596</v>
      </c>
      <c r="I213" s="242" t="s">
        <v>22</v>
      </c>
      <c r="J213" s="195">
        <v>21</v>
      </c>
      <c r="K213" s="260" t="str">
        <f>VLOOKUP(Ruimtestaat[[#This Row],[Ruimte code]],Ruimtegroepen[#All],2,FALSE)</f>
        <v>Niet in onderhoud</v>
      </c>
      <c r="L213" s="211" t="s">
        <v>111</v>
      </c>
      <c r="M213" s="195" t="s">
        <v>693</v>
      </c>
      <c r="N213" s="197"/>
      <c r="O213" s="209">
        <v>5.86</v>
      </c>
      <c r="P213" s="241" t="str">
        <f>VLOOKUP(Ruimtestaat[[#This Row],[Ruimte code]],Ruimtegroepen[#All],4,FALSE)</f>
        <v>Niet in onderhoud</v>
      </c>
      <c r="Q213" s="210"/>
      <c r="R213" s="211"/>
      <c r="S213" s="211"/>
      <c r="T213" s="211">
        <f>IF(R213&gt;0,IF(RIGHT(Ruimtestaat[[#This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213" s="211">
        <f>IF(T213&gt;0,VLOOKUP($J213,Ruimtegroepen[],3,FALSE)*VLOOKUP($L213,Vloersoorten[],3,FALSE)*VLOOKUP($S213,Frequenties[],3,FALSE)*VLOOKUP($A213,Locaties[],3,FALSE),0)</f>
        <v>0</v>
      </c>
      <c r="V213" s="211">
        <f>Ruimtestaat[[#This Row],[Uitvoeringen werkdagen]]*Ruimtestaat[[#This Row],[Oppervlak (netto)]]</f>
        <v>0</v>
      </c>
      <c r="W213" s="257">
        <f>IF(U213&gt;0,Ruimtestaat[[#This Row],[Prest. (m2 /jaar) werkdagen]]/Ruimtestaat[[#This Row],[Norm (m2/uur) werkdagen]],0)</f>
        <v>0</v>
      </c>
      <c r="X213" s="258">
        <f>Ruimtestaat[[#This Row],[uren / jaar werkdagen]]*Tariefsopbouw!$D$38</f>
        <v>0</v>
      </c>
      <c r="Y213" s="33"/>
      <c r="Z213" s="33">
        <f>IF(Ruimtestaat[[#This Row],[Frequentie weekend]]&gt;0,VALUE(LEFT(Y213,1))*R213,0)</f>
        <v>0</v>
      </c>
      <c r="AA213" s="33">
        <f>IF($Z213&gt;0,VLOOKUP($J213,Ruimtegroepen[],3,FALSE)*VLOOKUP($L213,Vloersoorten[],3,FALSE)*VLOOKUP($Y213,Frequenties[],3,FALSE)*VLOOKUP(#REF!,Locaties[],3,FALSE),0)</f>
        <v>0</v>
      </c>
      <c r="AB213" s="33"/>
      <c r="AC213" s="33"/>
      <c r="AD213" s="33">
        <f>Ruimtestaat[[#This Row],[uren / jaar weekend]]*Tariefsopbouw!$D$40</f>
        <v>0</v>
      </c>
      <c r="AE213" s="88">
        <f>Ruimtestaat[[#This Row],[Prest. (m2 /jaar) weekend]]+Ruimtestaat[[#This Row],[Prest. (m2 /jaar) werkdagen]]</f>
        <v>0</v>
      </c>
      <c r="AF213" s="88">
        <f>Ruimtestaat[[#This Row],[uren / jaar weekend]]+Ruimtestaat[[#This Row],[uren / jaar werkdagen]]</f>
        <v>0</v>
      </c>
      <c r="AG213" s="89">
        <f>Ruimtestaat[[#This Row],[kosten / jaar weekend]]+Ruimtestaat[[#This Row],[kosten / jaar werkdagen]]</f>
        <v>0</v>
      </c>
    </row>
    <row r="214" spans="1:33" ht="15" customHeight="1">
      <c r="A214" s="195">
        <v>2</v>
      </c>
      <c r="B214" s="195" t="str">
        <f>VLOOKUP(Ruimtestaat[[#This Row],[Code]],Locaties[#All],2,FALSE)</f>
        <v>Groenlo - Gymzaal</v>
      </c>
      <c r="C214" s="241" t="str">
        <f>VLOOKUP(Ruimtestaat[[#This Row],[Code]],Locaties[#All],4,FALSE)</f>
        <v>Deken Hooijmanssingel 1</v>
      </c>
      <c r="D214" s="241" t="str">
        <f>VLOOKUP(Ruimtestaat[[#This Row],[Code]],Locaties[#All],5,FALSE)</f>
        <v>7141 EA</v>
      </c>
      <c r="E214" s="241" t="str">
        <f>VLOOKUP(Ruimtestaat[[#This Row],[Code]],Locaties[#All],6,FALSE)</f>
        <v>Groenlo</v>
      </c>
      <c r="F214" s="195" t="s">
        <v>577</v>
      </c>
      <c r="G214" s="195" t="s">
        <v>776</v>
      </c>
      <c r="H214" s="195" t="s">
        <v>597</v>
      </c>
      <c r="I214" s="242" t="s">
        <v>22</v>
      </c>
      <c r="J214" s="195">
        <v>21</v>
      </c>
      <c r="K214" s="260" t="str">
        <f>VLOOKUP(Ruimtestaat[[#This Row],[Ruimte code]],Ruimtegroepen[#All],2,FALSE)</f>
        <v>Niet in onderhoud</v>
      </c>
      <c r="L214" s="211" t="s">
        <v>111</v>
      </c>
      <c r="M214" s="195" t="s">
        <v>693</v>
      </c>
      <c r="N214" s="197"/>
      <c r="O214" s="209">
        <v>1.71</v>
      </c>
      <c r="P214" s="241" t="str">
        <f>VLOOKUP(Ruimtestaat[[#This Row],[Ruimte code]],Ruimtegroepen[#All],4,FALSE)</f>
        <v>Niet in onderhoud</v>
      </c>
      <c r="Q214" s="210"/>
      <c r="R214" s="211"/>
      <c r="S214" s="211"/>
      <c r="T214" s="211">
        <f>IF(R214&gt;0,IF(RIGHT(Ruimtestaat[[#This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214" s="211">
        <f>IF(T214&gt;0,VLOOKUP($J214,Ruimtegroepen[],3,FALSE)*VLOOKUP($L214,Vloersoorten[],3,FALSE)*VLOOKUP($S214,Frequenties[],3,FALSE)*VLOOKUP($A214,Locaties[],3,FALSE),0)</f>
        <v>0</v>
      </c>
      <c r="V214" s="211">
        <f>Ruimtestaat[[#This Row],[Uitvoeringen werkdagen]]*Ruimtestaat[[#This Row],[Oppervlak (netto)]]</f>
        <v>0</v>
      </c>
      <c r="W214" s="257">
        <f>IF(U214&gt;0,Ruimtestaat[[#This Row],[Prest. (m2 /jaar) werkdagen]]/Ruimtestaat[[#This Row],[Norm (m2/uur) werkdagen]],0)</f>
        <v>0</v>
      </c>
      <c r="X214" s="258">
        <f>Ruimtestaat[[#This Row],[uren / jaar werkdagen]]*Tariefsopbouw!$D$38</f>
        <v>0</v>
      </c>
      <c r="Y214" s="33"/>
      <c r="Z214" s="33">
        <f>IF(Ruimtestaat[[#This Row],[Frequentie weekend]]&gt;0,VALUE(LEFT(Y214,1))*R214,0)</f>
        <v>0</v>
      </c>
      <c r="AA214" s="33">
        <f>IF($Z214&gt;0,VLOOKUP($J214,Ruimtegroepen[],3,FALSE)*VLOOKUP($L214,Vloersoorten[],3,FALSE)*VLOOKUP($Y214,Frequenties[],3,FALSE)*VLOOKUP(#REF!,Locaties[],3,FALSE),0)</f>
        <v>0</v>
      </c>
      <c r="AB214" s="33"/>
      <c r="AC214" s="33"/>
      <c r="AD214" s="33">
        <f>Ruimtestaat[[#This Row],[uren / jaar weekend]]*Tariefsopbouw!$D$40</f>
        <v>0</v>
      </c>
      <c r="AE214" s="88">
        <f>Ruimtestaat[[#This Row],[Prest. (m2 /jaar) weekend]]+Ruimtestaat[[#This Row],[Prest. (m2 /jaar) werkdagen]]</f>
        <v>0</v>
      </c>
      <c r="AF214" s="88">
        <f>Ruimtestaat[[#This Row],[uren / jaar weekend]]+Ruimtestaat[[#This Row],[uren / jaar werkdagen]]</f>
        <v>0</v>
      </c>
      <c r="AG214" s="89">
        <f>Ruimtestaat[[#This Row],[kosten / jaar weekend]]+Ruimtestaat[[#This Row],[kosten / jaar werkdagen]]</f>
        <v>0</v>
      </c>
    </row>
    <row r="215" spans="1:33" ht="15" customHeight="1">
      <c r="A215" s="195">
        <v>2</v>
      </c>
      <c r="B215" s="195" t="str">
        <f>VLOOKUP(Ruimtestaat[[#This Row],[Code]],Locaties[#All],2,FALSE)</f>
        <v>Groenlo - Gymzaal</v>
      </c>
      <c r="C215" s="241" t="str">
        <f>VLOOKUP(Ruimtestaat[[#This Row],[Code]],Locaties[#All],4,FALSE)</f>
        <v>Deken Hooijmanssingel 1</v>
      </c>
      <c r="D215" s="241" t="str">
        <f>VLOOKUP(Ruimtestaat[[#This Row],[Code]],Locaties[#All],5,FALSE)</f>
        <v>7141 EA</v>
      </c>
      <c r="E215" s="241" t="str">
        <f>VLOOKUP(Ruimtestaat[[#This Row],[Code]],Locaties[#All],6,FALSE)</f>
        <v>Groenlo</v>
      </c>
      <c r="F215" s="195" t="s">
        <v>577</v>
      </c>
      <c r="G215" s="195" t="s">
        <v>776</v>
      </c>
      <c r="H215" s="195" t="s">
        <v>579</v>
      </c>
      <c r="I215" s="242" t="s">
        <v>449</v>
      </c>
      <c r="J215" s="195">
        <v>2</v>
      </c>
      <c r="K215" s="260" t="str">
        <f>VLOOKUP(Ruimtestaat[[#This Row],[Ruimte code]],Ruimtegroepen[#All],2,FALSE)</f>
        <v>Kantoren</v>
      </c>
      <c r="L215" s="211" t="s">
        <v>110</v>
      </c>
      <c r="M215" s="195" t="s">
        <v>133</v>
      </c>
      <c r="N215" s="197">
        <v>12.2</v>
      </c>
      <c r="O215" s="209"/>
      <c r="P215" s="241" t="str">
        <f>VLOOKUP(Ruimtestaat[[#This Row],[Ruimte code]],Ruimtegroepen[#All],4,FALSE)</f>
        <v>B  (Bureauruimte)</v>
      </c>
      <c r="Q215" s="210"/>
      <c r="R215" s="211">
        <v>40</v>
      </c>
      <c r="S215" s="211" t="s">
        <v>18</v>
      </c>
      <c r="T215" s="211">
        <f>IF(R215&gt;0,IF(RIGHT(Ruimtestaat[[#This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U215" s="211">
        <f>IF(T215&gt;0,VLOOKUP($J215,Ruimtegroepen[],3,FALSE)*VLOOKUP($L215,Vloersoorten[],3,FALSE)*VLOOKUP($S215,Frequenties[],3,FALSE)*VLOOKUP($A215,Locaties[],3,FALSE),0)</f>
        <v>100</v>
      </c>
      <c r="V215" s="211">
        <f>Ruimtestaat[[#This Row],[Uitvoeringen werkdagen]]*Ruimtestaat[[#This Row],[Oppervlak (netto)]]</f>
        <v>1464</v>
      </c>
      <c r="W215" s="257">
        <f>IF(U215&gt;0,Ruimtestaat[[#This Row],[Prest. (m2 /jaar) werkdagen]]/Ruimtestaat[[#This Row],[Norm (m2/uur) werkdagen]],0)</f>
        <v>14.64</v>
      </c>
      <c r="X215" s="258">
        <f>Ruimtestaat[[#This Row],[uren / jaar werkdagen]]*Tariefsopbouw!$D$38</f>
        <v>366</v>
      </c>
      <c r="Y215" s="33"/>
      <c r="Z215" s="33">
        <f>IF(Ruimtestaat[[#This Row],[Frequentie weekend]]&gt;0,VALUE(LEFT(Y215,1))*R215,0)</f>
        <v>0</v>
      </c>
      <c r="AA215" s="33">
        <f>IF($Z215&gt;0,VLOOKUP($J215,Ruimtegroepen[],3,FALSE)*VLOOKUP($L215,Vloersoorten[],3,FALSE)*VLOOKUP($Y215,Frequenties[],3,FALSE)*VLOOKUP(#REF!,Locaties[],3,FALSE),0)</f>
        <v>0</v>
      </c>
      <c r="AB215" s="33"/>
      <c r="AC215" s="33"/>
      <c r="AD215" s="33">
        <f>Ruimtestaat[[#This Row],[uren / jaar weekend]]*Tariefsopbouw!$D$40</f>
        <v>0</v>
      </c>
      <c r="AE215" s="88">
        <f>Ruimtestaat[[#This Row],[Prest. (m2 /jaar) weekend]]+Ruimtestaat[[#This Row],[Prest. (m2 /jaar) werkdagen]]</f>
        <v>1464</v>
      </c>
      <c r="AF215" s="88">
        <f>Ruimtestaat[[#This Row],[uren / jaar weekend]]+Ruimtestaat[[#This Row],[uren / jaar werkdagen]]</f>
        <v>14.64</v>
      </c>
      <c r="AG215" s="89">
        <f>Ruimtestaat[[#This Row],[kosten / jaar weekend]]+Ruimtestaat[[#This Row],[kosten / jaar werkdagen]]</f>
        <v>366</v>
      </c>
    </row>
    <row r="216" spans="1:33" ht="15" customHeight="1">
      <c r="A216" s="195">
        <v>2</v>
      </c>
      <c r="B216" s="195" t="str">
        <f>VLOOKUP(Ruimtestaat[[#This Row],[Code]],Locaties[#All],2,FALSE)</f>
        <v>Groenlo - Gymzaal</v>
      </c>
      <c r="C216" s="241" t="str">
        <f>VLOOKUP(Ruimtestaat[[#This Row],[Code]],Locaties[#All],4,FALSE)</f>
        <v>Deken Hooijmanssingel 1</v>
      </c>
      <c r="D216" s="241" t="str">
        <f>VLOOKUP(Ruimtestaat[[#This Row],[Code]],Locaties[#All],5,FALSE)</f>
        <v>7141 EA</v>
      </c>
      <c r="E216" s="241" t="str">
        <f>VLOOKUP(Ruimtestaat[[#This Row],[Code]],Locaties[#All],6,FALSE)</f>
        <v>Groenlo</v>
      </c>
      <c r="F216" s="195" t="s">
        <v>577</v>
      </c>
      <c r="G216" s="195" t="s">
        <v>776</v>
      </c>
      <c r="H216" s="195" t="s">
        <v>598</v>
      </c>
      <c r="I216" s="242" t="s">
        <v>22</v>
      </c>
      <c r="J216" s="195">
        <v>21</v>
      </c>
      <c r="K216" s="260" t="str">
        <f>VLOOKUP(Ruimtestaat[[#This Row],[Ruimte code]],Ruimtegroepen[#All],2,FALSE)</f>
        <v>Niet in onderhoud</v>
      </c>
      <c r="L216" s="211" t="s">
        <v>111</v>
      </c>
      <c r="M216" s="195" t="s">
        <v>693</v>
      </c>
      <c r="N216" s="197"/>
      <c r="O216" s="209">
        <v>1.32</v>
      </c>
      <c r="P216" s="241" t="str">
        <f>VLOOKUP(Ruimtestaat[[#This Row],[Ruimte code]],Ruimtegroepen[#All],4,FALSE)</f>
        <v>Niet in onderhoud</v>
      </c>
      <c r="Q216" s="210"/>
      <c r="R216" s="211"/>
      <c r="S216" s="211"/>
      <c r="T216" s="211">
        <f>IF(R216&gt;0,IF(RIGHT(Ruimtestaat[[#This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216" s="211">
        <f>IF(T216&gt;0,VLOOKUP($J216,Ruimtegroepen[],3,FALSE)*VLOOKUP($L216,Vloersoorten[],3,FALSE)*VLOOKUP($S216,Frequenties[],3,FALSE)*VLOOKUP($A216,Locaties[],3,FALSE),0)</f>
        <v>0</v>
      </c>
      <c r="V216" s="211">
        <f>Ruimtestaat[[#This Row],[Uitvoeringen werkdagen]]*Ruimtestaat[[#This Row],[Oppervlak (netto)]]</f>
        <v>0</v>
      </c>
      <c r="W216" s="257">
        <f>IF(U216&gt;0,Ruimtestaat[[#This Row],[Prest. (m2 /jaar) werkdagen]]/Ruimtestaat[[#This Row],[Norm (m2/uur) werkdagen]],0)</f>
        <v>0</v>
      </c>
      <c r="X216" s="258">
        <f>Ruimtestaat[[#This Row],[uren / jaar werkdagen]]*Tariefsopbouw!$D$38</f>
        <v>0</v>
      </c>
      <c r="Y216" s="33"/>
      <c r="Z216" s="33">
        <f>IF(Ruimtestaat[[#This Row],[Frequentie weekend]]&gt;0,VALUE(LEFT(Y216,1))*R216,0)</f>
        <v>0</v>
      </c>
      <c r="AA216" s="33">
        <f>IF($Z216&gt;0,VLOOKUP($J216,Ruimtegroepen[],3,FALSE)*VLOOKUP($L216,Vloersoorten[],3,FALSE)*VLOOKUP($Y216,Frequenties[],3,FALSE)*VLOOKUP(#REF!,Locaties[],3,FALSE),0)</f>
        <v>0</v>
      </c>
      <c r="AB216" s="33"/>
      <c r="AC216" s="33"/>
      <c r="AD216" s="33">
        <f>Ruimtestaat[[#This Row],[uren / jaar weekend]]*Tariefsopbouw!$D$40</f>
        <v>0</v>
      </c>
      <c r="AE216" s="88">
        <f>Ruimtestaat[[#This Row],[Prest. (m2 /jaar) weekend]]+Ruimtestaat[[#This Row],[Prest. (m2 /jaar) werkdagen]]</f>
        <v>0</v>
      </c>
      <c r="AF216" s="88">
        <f>Ruimtestaat[[#This Row],[uren / jaar weekend]]+Ruimtestaat[[#This Row],[uren / jaar werkdagen]]</f>
        <v>0</v>
      </c>
      <c r="AG216" s="89">
        <f>Ruimtestaat[[#This Row],[kosten / jaar weekend]]+Ruimtestaat[[#This Row],[kosten / jaar werkdagen]]</f>
        <v>0</v>
      </c>
    </row>
    <row r="217" spans="1:33" ht="15" customHeight="1">
      <c r="A217" s="195">
        <v>2</v>
      </c>
      <c r="B217" s="195" t="str">
        <f>VLOOKUP(Ruimtestaat[[#This Row],[Code]],Locaties[#All],2,FALSE)</f>
        <v>Groenlo - Gymzaal</v>
      </c>
      <c r="C217" s="241" t="str">
        <f>VLOOKUP(Ruimtestaat[[#This Row],[Code]],Locaties[#All],4,FALSE)</f>
        <v>Deken Hooijmanssingel 1</v>
      </c>
      <c r="D217" s="241" t="str">
        <f>VLOOKUP(Ruimtestaat[[#This Row],[Code]],Locaties[#All],5,FALSE)</f>
        <v>7141 EA</v>
      </c>
      <c r="E217" s="241" t="str">
        <f>VLOOKUP(Ruimtestaat[[#This Row],[Code]],Locaties[#All],6,FALSE)</f>
        <v>Groenlo</v>
      </c>
      <c r="F217" s="195" t="s">
        <v>577</v>
      </c>
      <c r="G217" s="195" t="s">
        <v>776</v>
      </c>
      <c r="H217" s="195" t="s">
        <v>599</v>
      </c>
      <c r="I217" s="242" t="s">
        <v>824</v>
      </c>
      <c r="J217" s="241">
        <v>1</v>
      </c>
      <c r="K217" s="260" t="str">
        <f>VLOOKUP(Ruimtestaat[[#This Row],[Ruimte code]],Ruimtegroepen[#All],2,FALSE)</f>
        <v>Magazijnen/bergingen</v>
      </c>
      <c r="L217" s="211" t="s">
        <v>111</v>
      </c>
      <c r="M217" s="195" t="s">
        <v>777</v>
      </c>
      <c r="N217" s="197">
        <v>20.52</v>
      </c>
      <c r="O217" s="209"/>
      <c r="P217" s="241" t="str">
        <f>VLOOKUP(Ruimtestaat[[#This Row],[Ruimte code]],Ruimtegroepen[#All],4,FALSE)</f>
        <v>V  (Verkeersruimte)</v>
      </c>
      <c r="Q217" s="210"/>
      <c r="R217" s="211">
        <v>40</v>
      </c>
      <c r="S217" s="211" t="s">
        <v>16</v>
      </c>
      <c r="T217" s="211">
        <f>IF(R217&gt;0,IF(RIGHT(Ruimtestaat[[#This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U217" s="211">
        <f>IF(T217&gt;0,VLOOKUP($J217,Ruimtegroepen[],3,FALSE)*VLOOKUP($L217,Vloersoorten[],3,FALSE)*VLOOKUP($S217,Frequenties[],3,FALSE)*VLOOKUP($A217,Locaties[],3,FALSE),0)</f>
        <v>100</v>
      </c>
      <c r="V217" s="211">
        <f>Ruimtestaat[[#This Row],[Uitvoeringen werkdagen]]*Ruimtestaat[[#This Row],[Oppervlak (netto)]]</f>
        <v>246.24</v>
      </c>
      <c r="W217" s="257">
        <f>IF(U217&gt;0,Ruimtestaat[[#This Row],[Prest. (m2 /jaar) werkdagen]]/Ruimtestaat[[#This Row],[Norm (m2/uur) werkdagen]],0)</f>
        <v>2.4624000000000001</v>
      </c>
      <c r="X217" s="258">
        <f>Ruimtestaat[[#This Row],[uren / jaar werkdagen]]*Tariefsopbouw!$D$38</f>
        <v>61.56</v>
      </c>
      <c r="Y217" s="33"/>
      <c r="Z217" s="33">
        <f>IF(Ruimtestaat[[#This Row],[Frequentie weekend]]&gt;0,VALUE(LEFT(Y217,1))*R217,0)</f>
        <v>0</v>
      </c>
      <c r="AA217" s="33">
        <f>IF($Z217&gt;0,VLOOKUP($J217,Ruimtegroepen[],3,FALSE)*VLOOKUP($L217,Vloersoorten[],3,FALSE)*VLOOKUP($Y217,Frequenties[],3,FALSE)*VLOOKUP(#REF!,Locaties[],3,FALSE),0)</f>
        <v>0</v>
      </c>
      <c r="AB217" s="33"/>
      <c r="AC217" s="33"/>
      <c r="AD217" s="33">
        <f>Ruimtestaat[[#This Row],[uren / jaar weekend]]*Tariefsopbouw!$D$40</f>
        <v>0</v>
      </c>
      <c r="AE217" s="88">
        <f>Ruimtestaat[[#This Row],[Prest. (m2 /jaar) weekend]]+Ruimtestaat[[#This Row],[Prest. (m2 /jaar) werkdagen]]</f>
        <v>246.24</v>
      </c>
      <c r="AF217" s="88">
        <f>Ruimtestaat[[#This Row],[uren / jaar weekend]]+Ruimtestaat[[#This Row],[uren / jaar werkdagen]]</f>
        <v>2.4624000000000001</v>
      </c>
      <c r="AG217" s="89">
        <f>Ruimtestaat[[#This Row],[kosten / jaar weekend]]+Ruimtestaat[[#This Row],[kosten / jaar werkdagen]]</f>
        <v>61.56</v>
      </c>
    </row>
    <row r="218" spans="1:33" ht="15" customHeight="1">
      <c r="A218" s="195">
        <v>2</v>
      </c>
      <c r="B218" s="195" t="str">
        <f>VLOOKUP(Ruimtestaat[[#This Row],[Code]],Locaties[#All],2,FALSE)</f>
        <v>Groenlo - Gymzaal</v>
      </c>
      <c r="C218" s="241" t="str">
        <f>VLOOKUP(Ruimtestaat[[#This Row],[Code]],Locaties[#All],4,FALSE)</f>
        <v>Deken Hooijmanssingel 1</v>
      </c>
      <c r="D218" s="241" t="str">
        <f>VLOOKUP(Ruimtestaat[[#This Row],[Code]],Locaties[#All],5,FALSE)</f>
        <v>7141 EA</v>
      </c>
      <c r="E218" s="241" t="str">
        <f>VLOOKUP(Ruimtestaat[[#This Row],[Code]],Locaties[#All],6,FALSE)</f>
        <v>Groenlo</v>
      </c>
      <c r="F218" s="195" t="s">
        <v>577</v>
      </c>
      <c r="G218" s="195" t="s">
        <v>776</v>
      </c>
      <c r="H218" s="195" t="s">
        <v>580</v>
      </c>
      <c r="I218" s="242" t="s">
        <v>457</v>
      </c>
      <c r="J218" s="195">
        <v>21</v>
      </c>
      <c r="K218" s="260" t="str">
        <f>VLOOKUP(Ruimtestaat[[#This Row],[Ruimte code]],Ruimtegroepen[#All],2,FALSE)</f>
        <v>Niet in onderhoud</v>
      </c>
      <c r="L218" s="211" t="s">
        <v>111</v>
      </c>
      <c r="M218" s="195" t="s">
        <v>693</v>
      </c>
      <c r="N218" s="197"/>
      <c r="O218" s="209">
        <v>0.44</v>
      </c>
      <c r="P218" s="241" t="str">
        <f>VLOOKUP(Ruimtestaat[[#This Row],[Ruimte code]],Ruimtegroepen[#All],4,FALSE)</f>
        <v>Niet in onderhoud</v>
      </c>
      <c r="Q218" s="210"/>
      <c r="R218" s="211"/>
      <c r="S218" s="211"/>
      <c r="T218" s="211">
        <f>IF(R218&gt;0,IF(RIGHT(Ruimtestaat[[#This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218" s="211">
        <f>IF(T218&gt;0,VLOOKUP($J218,Ruimtegroepen[],3,FALSE)*VLOOKUP($L218,Vloersoorten[],3,FALSE)*VLOOKUP($S218,Frequenties[],3,FALSE)*VLOOKUP($A218,Locaties[],3,FALSE),0)</f>
        <v>0</v>
      </c>
      <c r="V218" s="211">
        <f>Ruimtestaat[[#This Row],[Uitvoeringen werkdagen]]*Ruimtestaat[[#This Row],[Oppervlak (netto)]]</f>
        <v>0</v>
      </c>
      <c r="W218" s="257">
        <f>IF(U218&gt;0,Ruimtestaat[[#This Row],[Prest. (m2 /jaar) werkdagen]]/Ruimtestaat[[#This Row],[Norm (m2/uur) werkdagen]],0)</f>
        <v>0</v>
      </c>
      <c r="X218" s="258">
        <f>Ruimtestaat[[#This Row],[uren / jaar werkdagen]]*Tariefsopbouw!$D$38</f>
        <v>0</v>
      </c>
      <c r="Y218" s="33"/>
      <c r="Z218" s="33">
        <f>IF(Ruimtestaat[[#This Row],[Frequentie weekend]]&gt;0,VALUE(LEFT(Y218,1))*R218,0)</f>
        <v>0</v>
      </c>
      <c r="AA218" s="33">
        <f>IF($Z218&gt;0,VLOOKUP($J218,Ruimtegroepen[],3,FALSE)*VLOOKUP($L218,Vloersoorten[],3,FALSE)*VLOOKUP($Y218,Frequenties[],3,FALSE)*VLOOKUP(#REF!,Locaties[],3,FALSE),0)</f>
        <v>0</v>
      </c>
      <c r="AB218" s="33"/>
      <c r="AC218" s="33"/>
      <c r="AD218" s="33">
        <f>Ruimtestaat[[#This Row],[uren / jaar weekend]]*Tariefsopbouw!$D$40</f>
        <v>0</v>
      </c>
      <c r="AE218" s="88">
        <f>Ruimtestaat[[#This Row],[Prest. (m2 /jaar) weekend]]+Ruimtestaat[[#This Row],[Prest. (m2 /jaar) werkdagen]]</f>
        <v>0</v>
      </c>
      <c r="AF218" s="88">
        <f>Ruimtestaat[[#This Row],[uren / jaar weekend]]+Ruimtestaat[[#This Row],[uren / jaar werkdagen]]</f>
        <v>0</v>
      </c>
      <c r="AG218" s="89">
        <f>Ruimtestaat[[#This Row],[kosten / jaar weekend]]+Ruimtestaat[[#This Row],[kosten / jaar werkdagen]]</f>
        <v>0</v>
      </c>
    </row>
    <row r="219" spans="1:33" ht="15" customHeight="1">
      <c r="A219" s="195">
        <v>2</v>
      </c>
      <c r="B219" s="195" t="str">
        <f>VLOOKUP(Ruimtestaat[[#This Row],[Code]],Locaties[#All],2,FALSE)</f>
        <v>Groenlo - Gymzaal</v>
      </c>
      <c r="C219" s="241" t="str">
        <f>VLOOKUP(Ruimtestaat[[#This Row],[Code]],Locaties[#All],4,FALSE)</f>
        <v>Deken Hooijmanssingel 1</v>
      </c>
      <c r="D219" s="241" t="str">
        <f>VLOOKUP(Ruimtestaat[[#This Row],[Code]],Locaties[#All],5,FALSE)</f>
        <v>7141 EA</v>
      </c>
      <c r="E219" s="241" t="str">
        <f>VLOOKUP(Ruimtestaat[[#This Row],[Code]],Locaties[#All],6,FALSE)</f>
        <v>Groenlo</v>
      </c>
      <c r="F219" s="195" t="s">
        <v>577</v>
      </c>
      <c r="G219" s="195" t="s">
        <v>776</v>
      </c>
      <c r="H219" s="195" t="s">
        <v>581</v>
      </c>
      <c r="I219" s="242" t="s">
        <v>441</v>
      </c>
      <c r="J219" s="195">
        <v>1</v>
      </c>
      <c r="K219" s="260" t="str">
        <f>VLOOKUP(Ruimtestaat[[#This Row],[Ruimte code]],Ruimtegroepen[#All],2,FALSE)</f>
        <v>Magazijnen/bergingen</v>
      </c>
      <c r="L219" s="211" t="s">
        <v>111</v>
      </c>
      <c r="M219" s="195" t="s">
        <v>693</v>
      </c>
      <c r="N219" s="197">
        <v>7.52</v>
      </c>
      <c r="O219" s="209"/>
      <c r="P219" s="241" t="str">
        <f>VLOOKUP(Ruimtestaat[[#This Row],[Ruimte code]],Ruimtegroepen[#All],4,FALSE)</f>
        <v>V  (Verkeersruimte)</v>
      </c>
      <c r="Q219" s="210"/>
      <c r="R219" s="211">
        <v>40</v>
      </c>
      <c r="S219" s="211" t="s">
        <v>16</v>
      </c>
      <c r="T219" s="211">
        <f>IF(R219&gt;0,IF(RIGHT(Ruimtestaat[[#This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U219" s="211">
        <f>IF(T219&gt;0,VLOOKUP($J219,Ruimtegroepen[],3,FALSE)*VLOOKUP($L219,Vloersoorten[],3,FALSE)*VLOOKUP($S219,Frequenties[],3,FALSE)*VLOOKUP($A219,Locaties[],3,FALSE),0)</f>
        <v>100</v>
      </c>
      <c r="V219" s="211">
        <f>Ruimtestaat[[#This Row],[Uitvoeringen werkdagen]]*Ruimtestaat[[#This Row],[Oppervlak (netto)]]</f>
        <v>90.24</v>
      </c>
      <c r="W219" s="257">
        <f>IF(U219&gt;0,Ruimtestaat[[#This Row],[Prest. (m2 /jaar) werkdagen]]/Ruimtestaat[[#This Row],[Norm (m2/uur) werkdagen]],0)</f>
        <v>0.90239999999999998</v>
      </c>
      <c r="X219" s="258">
        <f>Ruimtestaat[[#This Row],[uren / jaar werkdagen]]*Tariefsopbouw!$D$38</f>
        <v>22.56</v>
      </c>
      <c r="Y219" s="33"/>
      <c r="Z219" s="33">
        <f>IF(Ruimtestaat[[#This Row],[Frequentie weekend]]&gt;0,VALUE(LEFT(Y219,1))*R219,0)</f>
        <v>0</v>
      </c>
      <c r="AA219" s="33">
        <f>IF($Z219&gt;0,VLOOKUP($J219,Ruimtegroepen[],3,FALSE)*VLOOKUP($L219,Vloersoorten[],3,FALSE)*VLOOKUP($Y219,Frequenties[],3,FALSE)*VLOOKUP(#REF!,Locaties[],3,FALSE),0)</f>
        <v>0</v>
      </c>
      <c r="AB219" s="33"/>
      <c r="AC219" s="33"/>
      <c r="AD219" s="33">
        <f>Ruimtestaat[[#This Row],[uren / jaar weekend]]*Tariefsopbouw!$D$40</f>
        <v>0</v>
      </c>
      <c r="AE219" s="88">
        <f>Ruimtestaat[[#This Row],[Prest. (m2 /jaar) weekend]]+Ruimtestaat[[#This Row],[Prest. (m2 /jaar) werkdagen]]</f>
        <v>90.24</v>
      </c>
      <c r="AF219" s="88">
        <f>Ruimtestaat[[#This Row],[uren / jaar weekend]]+Ruimtestaat[[#This Row],[uren / jaar werkdagen]]</f>
        <v>0.90239999999999998</v>
      </c>
      <c r="AG219" s="89">
        <f>Ruimtestaat[[#This Row],[kosten / jaar weekend]]+Ruimtestaat[[#This Row],[kosten / jaar werkdagen]]</f>
        <v>22.56</v>
      </c>
    </row>
    <row r="220" spans="1:33" ht="15" customHeight="1">
      <c r="A220" s="195">
        <v>2</v>
      </c>
      <c r="B220" s="195" t="str">
        <f>VLOOKUP(Ruimtestaat[[#This Row],[Code]],Locaties[#All],2,FALSE)</f>
        <v>Groenlo - Gymzaal</v>
      </c>
      <c r="C220" s="241" t="str">
        <f>VLOOKUP(Ruimtestaat[[#This Row],[Code]],Locaties[#All],4,FALSE)</f>
        <v>Deken Hooijmanssingel 1</v>
      </c>
      <c r="D220" s="241" t="str">
        <f>VLOOKUP(Ruimtestaat[[#This Row],[Code]],Locaties[#All],5,FALSE)</f>
        <v>7141 EA</v>
      </c>
      <c r="E220" s="241" t="str">
        <f>VLOOKUP(Ruimtestaat[[#This Row],[Code]],Locaties[#All],6,FALSE)</f>
        <v>Groenlo</v>
      </c>
      <c r="F220" s="195" t="s">
        <v>577</v>
      </c>
      <c r="G220" s="195" t="s">
        <v>776</v>
      </c>
      <c r="H220" s="195" t="s">
        <v>582</v>
      </c>
      <c r="I220" s="242" t="s">
        <v>22</v>
      </c>
      <c r="J220" s="241">
        <v>5</v>
      </c>
      <c r="K220" s="260" t="str">
        <f>VLOOKUP(Ruimtestaat[[#This Row],[Ruimte code]],Ruimtegroepen[#All],2,FALSE)</f>
        <v>Sanitair</v>
      </c>
      <c r="L220" s="211" t="s">
        <v>111</v>
      </c>
      <c r="M220" s="195" t="s">
        <v>693</v>
      </c>
      <c r="N220" s="197">
        <v>1.42</v>
      </c>
      <c r="O220" s="209"/>
      <c r="P220" s="241" t="str">
        <f>VLOOKUP(Ruimtestaat[[#This Row],[Ruimte code]],Ruimtegroepen[#All],4,FALSE)</f>
        <v>S  (Sanitair)</v>
      </c>
      <c r="Q220" s="210"/>
      <c r="R220" s="211">
        <v>40</v>
      </c>
      <c r="S220" s="211" t="s">
        <v>2</v>
      </c>
      <c r="T220" s="211">
        <f>IF(R220&gt;0,IF(RIGHT(Ruimtestaat[[#This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220" s="211">
        <f>IF(T220&gt;0,VLOOKUP($J220,Ruimtegroepen[],3,FALSE)*VLOOKUP($L220,Vloersoorten[],3,FALSE)*VLOOKUP($S220,Frequenties[],3,FALSE)*VLOOKUP($A220,Locaties[],3,FALSE),0)</f>
        <v>100</v>
      </c>
      <c r="V220" s="211">
        <f>Ruimtestaat[[#This Row],[Uitvoeringen werkdagen]]*Ruimtestaat[[#This Row],[Oppervlak (netto)]]</f>
        <v>284</v>
      </c>
      <c r="W220" s="257">
        <f>IF(U220&gt;0,Ruimtestaat[[#This Row],[Prest. (m2 /jaar) werkdagen]]/Ruimtestaat[[#This Row],[Norm (m2/uur) werkdagen]],0)</f>
        <v>2.84</v>
      </c>
      <c r="X220" s="258">
        <f>Ruimtestaat[[#This Row],[uren / jaar werkdagen]]*Tariefsopbouw!$D$38</f>
        <v>71</v>
      </c>
      <c r="Y220" s="33"/>
      <c r="Z220" s="33">
        <f>IF(Ruimtestaat[[#This Row],[Frequentie weekend]]&gt;0,VALUE(LEFT(Y220,1))*R220,0)</f>
        <v>0</v>
      </c>
      <c r="AA220" s="33">
        <f>IF($Z220&gt;0,VLOOKUP($J220,Ruimtegroepen[],3,FALSE)*VLOOKUP($L220,Vloersoorten[],3,FALSE)*VLOOKUP($Y220,Frequenties[],3,FALSE)*VLOOKUP(#REF!,Locaties[],3,FALSE),0)</f>
        <v>0</v>
      </c>
      <c r="AB220" s="33"/>
      <c r="AC220" s="33"/>
      <c r="AD220" s="33">
        <f>Ruimtestaat[[#This Row],[uren / jaar weekend]]*Tariefsopbouw!$D$40</f>
        <v>0</v>
      </c>
      <c r="AE220" s="88">
        <f>Ruimtestaat[[#This Row],[Prest. (m2 /jaar) weekend]]+Ruimtestaat[[#This Row],[Prest. (m2 /jaar) werkdagen]]</f>
        <v>284</v>
      </c>
      <c r="AF220" s="88">
        <f>Ruimtestaat[[#This Row],[uren / jaar weekend]]+Ruimtestaat[[#This Row],[uren / jaar werkdagen]]</f>
        <v>2.84</v>
      </c>
      <c r="AG220" s="89">
        <f>Ruimtestaat[[#This Row],[kosten / jaar weekend]]+Ruimtestaat[[#This Row],[kosten / jaar werkdagen]]</f>
        <v>71</v>
      </c>
    </row>
    <row r="221" spans="1:33" ht="15" customHeight="1">
      <c r="A221" s="195">
        <v>2</v>
      </c>
      <c r="B221" s="195" t="str">
        <f>VLOOKUP(Ruimtestaat[[#This Row],[Code]],Locaties[#All],2,FALSE)</f>
        <v>Groenlo - Gymzaal</v>
      </c>
      <c r="C221" s="241" t="str">
        <f>VLOOKUP(Ruimtestaat[[#This Row],[Code]],Locaties[#All],4,FALSE)</f>
        <v>Deken Hooijmanssingel 1</v>
      </c>
      <c r="D221" s="241" t="str">
        <f>VLOOKUP(Ruimtestaat[[#This Row],[Code]],Locaties[#All],5,FALSE)</f>
        <v>7141 EA</v>
      </c>
      <c r="E221" s="241" t="str">
        <f>VLOOKUP(Ruimtestaat[[#This Row],[Code]],Locaties[#All],6,FALSE)</f>
        <v>Groenlo</v>
      </c>
      <c r="F221" s="195" t="s">
        <v>577</v>
      </c>
      <c r="G221" s="195" t="s">
        <v>776</v>
      </c>
      <c r="H221" s="195" t="s">
        <v>583</v>
      </c>
      <c r="I221" s="242" t="s">
        <v>22</v>
      </c>
      <c r="J221" s="195">
        <v>5</v>
      </c>
      <c r="K221" s="260" t="str">
        <f>VLOOKUP(Ruimtestaat[[#This Row],[Ruimte code]],Ruimtegroepen[#All],2,FALSE)</f>
        <v>Sanitair</v>
      </c>
      <c r="L221" s="211" t="s">
        <v>111</v>
      </c>
      <c r="M221" s="195" t="s">
        <v>693</v>
      </c>
      <c r="N221" s="197">
        <v>14.3</v>
      </c>
      <c r="O221" s="209"/>
      <c r="P221" s="241" t="str">
        <f>VLOOKUP(Ruimtestaat[[#This Row],[Ruimte code]],Ruimtegroepen[#All],4,FALSE)</f>
        <v>S  (Sanitair)</v>
      </c>
      <c r="Q221" s="210"/>
      <c r="R221" s="211">
        <v>40</v>
      </c>
      <c r="S221" s="211" t="s">
        <v>2</v>
      </c>
      <c r="T221" s="211">
        <f>IF(R221&gt;0,IF(RIGHT(Ruimtestaat[[#This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221" s="211">
        <f>IF(T221&gt;0,VLOOKUP($J221,Ruimtegroepen[],3,FALSE)*VLOOKUP($L221,Vloersoorten[],3,FALSE)*VLOOKUP($S221,Frequenties[],3,FALSE)*VLOOKUP($A221,Locaties[],3,FALSE),0)</f>
        <v>100</v>
      </c>
      <c r="V221" s="211">
        <f>Ruimtestaat[[#This Row],[Uitvoeringen werkdagen]]*Ruimtestaat[[#This Row],[Oppervlak (netto)]]</f>
        <v>2860</v>
      </c>
      <c r="W221" s="257">
        <f>IF(U221&gt;0,Ruimtestaat[[#This Row],[Prest. (m2 /jaar) werkdagen]]/Ruimtestaat[[#This Row],[Norm (m2/uur) werkdagen]],0)</f>
        <v>28.6</v>
      </c>
      <c r="X221" s="258">
        <f>Ruimtestaat[[#This Row],[uren / jaar werkdagen]]*Tariefsopbouw!$D$38</f>
        <v>715</v>
      </c>
      <c r="Y221" s="33"/>
      <c r="Z221" s="33">
        <f>IF(Ruimtestaat[[#This Row],[Frequentie weekend]]&gt;0,VALUE(LEFT(Y221,1))*R221,0)</f>
        <v>0</v>
      </c>
      <c r="AA221" s="33">
        <f>IF($Z221&gt;0,VLOOKUP($J221,Ruimtegroepen[],3,FALSE)*VLOOKUP($L221,Vloersoorten[],3,FALSE)*VLOOKUP($Y221,Frequenties[],3,FALSE)*VLOOKUP(#REF!,Locaties[],3,FALSE),0)</f>
        <v>0</v>
      </c>
      <c r="AB221" s="33"/>
      <c r="AC221" s="33"/>
      <c r="AD221" s="33">
        <f>Ruimtestaat[[#This Row],[uren / jaar weekend]]*Tariefsopbouw!$D$40</f>
        <v>0</v>
      </c>
      <c r="AE221" s="88">
        <f>Ruimtestaat[[#This Row],[Prest. (m2 /jaar) weekend]]+Ruimtestaat[[#This Row],[Prest. (m2 /jaar) werkdagen]]</f>
        <v>2860</v>
      </c>
      <c r="AF221" s="88">
        <f>Ruimtestaat[[#This Row],[uren / jaar weekend]]+Ruimtestaat[[#This Row],[uren / jaar werkdagen]]</f>
        <v>28.6</v>
      </c>
      <c r="AG221" s="89">
        <f>Ruimtestaat[[#This Row],[kosten / jaar weekend]]+Ruimtestaat[[#This Row],[kosten / jaar werkdagen]]</f>
        <v>715</v>
      </c>
    </row>
    <row r="222" spans="1:33" ht="15" customHeight="1">
      <c r="A222" s="195">
        <v>2</v>
      </c>
      <c r="B222" s="195" t="str">
        <f>VLOOKUP(Ruimtestaat[[#This Row],[Code]],Locaties[#All],2,FALSE)</f>
        <v>Groenlo - Gymzaal</v>
      </c>
      <c r="C222" s="241" t="str">
        <f>VLOOKUP(Ruimtestaat[[#This Row],[Code]],Locaties[#All],4,FALSE)</f>
        <v>Deken Hooijmanssingel 1</v>
      </c>
      <c r="D222" s="241" t="str">
        <f>VLOOKUP(Ruimtestaat[[#This Row],[Code]],Locaties[#All],5,FALSE)</f>
        <v>7141 EA</v>
      </c>
      <c r="E222" s="241" t="str">
        <f>VLOOKUP(Ruimtestaat[[#This Row],[Code]],Locaties[#All],6,FALSE)</f>
        <v>Groenlo</v>
      </c>
      <c r="F222" s="195" t="s">
        <v>577</v>
      </c>
      <c r="G222" s="195" t="s">
        <v>776</v>
      </c>
      <c r="H222" s="195" t="s">
        <v>584</v>
      </c>
      <c r="I222" s="242" t="s">
        <v>585</v>
      </c>
      <c r="J222" s="195">
        <v>19</v>
      </c>
      <c r="K222" s="260" t="str">
        <f>VLOOKUP(Ruimtestaat[[#This Row],[Ruimte code]],Ruimtegroepen[#All],2,FALSE)</f>
        <v>Kleedruimten</v>
      </c>
      <c r="L222" s="211" t="s">
        <v>111</v>
      </c>
      <c r="M222" s="195" t="s">
        <v>693</v>
      </c>
      <c r="N222" s="197">
        <v>14.45</v>
      </c>
      <c r="O222" s="209"/>
      <c r="P222" s="241" t="str">
        <f>VLOOKUP(Ruimtestaat[[#This Row],[Ruimte code]],Ruimtegroepen[#All],4,FALSE)</f>
        <v>V  (Verkeersruimte)</v>
      </c>
      <c r="Q222" s="210"/>
      <c r="R222" s="211">
        <v>40</v>
      </c>
      <c r="S222" s="211" t="s">
        <v>2</v>
      </c>
      <c r="T222" s="211">
        <f>IF(R222&gt;0,IF(RIGHT(Ruimtestaat[[#This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222" s="211">
        <f>IF(T222&gt;0,VLOOKUP($J222,Ruimtegroepen[],3,FALSE)*VLOOKUP($L222,Vloersoorten[],3,FALSE)*VLOOKUP($S222,Frequenties[],3,FALSE)*VLOOKUP($A222,Locaties[],3,FALSE),0)</f>
        <v>100</v>
      </c>
      <c r="V222" s="211">
        <f>Ruimtestaat[[#This Row],[Uitvoeringen werkdagen]]*Ruimtestaat[[#This Row],[Oppervlak (netto)]]</f>
        <v>2890</v>
      </c>
      <c r="W222" s="257">
        <f>IF(U222&gt;0,Ruimtestaat[[#This Row],[Prest. (m2 /jaar) werkdagen]]/Ruimtestaat[[#This Row],[Norm (m2/uur) werkdagen]],0)</f>
        <v>28.9</v>
      </c>
      <c r="X222" s="258">
        <f>Ruimtestaat[[#This Row],[uren / jaar werkdagen]]*Tariefsopbouw!$D$38</f>
        <v>722.5</v>
      </c>
      <c r="Y222" s="33"/>
      <c r="Z222" s="33">
        <f>IF(Ruimtestaat[[#This Row],[Frequentie weekend]]&gt;0,VALUE(LEFT(Y222,1))*R222,0)</f>
        <v>0</v>
      </c>
      <c r="AA222" s="33">
        <f>IF($Z222&gt;0,VLOOKUP($J222,Ruimtegroepen[],3,FALSE)*VLOOKUP($L222,Vloersoorten[],3,FALSE)*VLOOKUP($Y222,Frequenties[],3,FALSE)*VLOOKUP(#REF!,Locaties[],3,FALSE),0)</f>
        <v>0</v>
      </c>
      <c r="AB222" s="33"/>
      <c r="AC222" s="33"/>
      <c r="AD222" s="33">
        <f>Ruimtestaat[[#This Row],[uren / jaar weekend]]*Tariefsopbouw!$D$40</f>
        <v>0</v>
      </c>
      <c r="AE222" s="88">
        <f>Ruimtestaat[[#This Row],[Prest. (m2 /jaar) weekend]]+Ruimtestaat[[#This Row],[Prest. (m2 /jaar) werkdagen]]</f>
        <v>2890</v>
      </c>
      <c r="AF222" s="88">
        <f>Ruimtestaat[[#This Row],[uren / jaar weekend]]+Ruimtestaat[[#This Row],[uren / jaar werkdagen]]</f>
        <v>28.9</v>
      </c>
      <c r="AG222" s="89">
        <f>Ruimtestaat[[#This Row],[kosten / jaar weekend]]+Ruimtestaat[[#This Row],[kosten / jaar werkdagen]]</f>
        <v>722.5</v>
      </c>
    </row>
    <row r="223" spans="1:33" ht="15" customHeight="1">
      <c r="A223" s="195">
        <v>2</v>
      </c>
      <c r="B223" s="195" t="str">
        <f>VLOOKUP(Ruimtestaat[[#This Row],[Code]],Locaties[#All],2,FALSE)</f>
        <v>Groenlo - Gymzaal</v>
      </c>
      <c r="C223" s="241" t="str">
        <f>VLOOKUP(Ruimtestaat[[#This Row],[Code]],Locaties[#All],4,FALSE)</f>
        <v>Deken Hooijmanssingel 1</v>
      </c>
      <c r="D223" s="241" t="str">
        <f>VLOOKUP(Ruimtestaat[[#This Row],[Code]],Locaties[#All],5,FALSE)</f>
        <v>7141 EA</v>
      </c>
      <c r="E223" s="241" t="str">
        <f>VLOOKUP(Ruimtestaat[[#This Row],[Code]],Locaties[#All],6,FALSE)</f>
        <v>Groenlo</v>
      </c>
      <c r="F223" s="195" t="s">
        <v>577</v>
      </c>
      <c r="G223" s="211" t="s">
        <v>776</v>
      </c>
      <c r="H223" s="211" t="s">
        <v>586</v>
      </c>
      <c r="I223" s="256" t="s">
        <v>585</v>
      </c>
      <c r="J223" s="195">
        <v>19</v>
      </c>
      <c r="K223" s="262" t="str">
        <f>VLOOKUP(Ruimtestaat[[#This Row],[Ruimte code]],Ruimtegroepen[#All],2,FALSE)</f>
        <v>Kleedruimten</v>
      </c>
      <c r="L223" s="211" t="s">
        <v>111</v>
      </c>
      <c r="M223" s="195" t="s">
        <v>693</v>
      </c>
      <c r="N223" s="197">
        <v>14.45</v>
      </c>
      <c r="O223" s="209"/>
      <c r="P223" s="241" t="str">
        <f>VLOOKUP(Ruimtestaat[[#This Row],[Ruimte code]],Ruimtegroepen[#All],4,FALSE)</f>
        <v>V  (Verkeersruimte)</v>
      </c>
      <c r="Q223" s="210"/>
      <c r="R223" s="211">
        <v>40</v>
      </c>
      <c r="S223" s="211" t="s">
        <v>2</v>
      </c>
      <c r="T223" s="211">
        <f>IF(R223&gt;0,IF(RIGHT(Ruimtestaat[[#This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223" s="211">
        <f>IF(T223&gt;0,VLOOKUP($J223,Ruimtegroepen[],3,FALSE)*VLOOKUP($L223,Vloersoorten[],3,FALSE)*VLOOKUP($S223,Frequenties[],3,FALSE)*VLOOKUP($A223,Locaties[],3,FALSE),0)</f>
        <v>100</v>
      </c>
      <c r="V223" s="211">
        <f>Ruimtestaat[[#This Row],[Uitvoeringen werkdagen]]*Ruimtestaat[[#This Row],[Oppervlak (netto)]]</f>
        <v>2890</v>
      </c>
      <c r="W223" s="257">
        <f>IF(U223&gt;0,Ruimtestaat[[#This Row],[Prest. (m2 /jaar) werkdagen]]/Ruimtestaat[[#This Row],[Norm (m2/uur) werkdagen]],0)</f>
        <v>28.9</v>
      </c>
      <c r="X223" s="258">
        <f>Ruimtestaat[[#This Row],[uren / jaar werkdagen]]*Tariefsopbouw!$D$38</f>
        <v>722.5</v>
      </c>
      <c r="Y223" s="33"/>
      <c r="Z223" s="33">
        <f>IF(Ruimtestaat[[#This Row],[Frequentie weekend]]&gt;0,VALUE(LEFT(Y223,1))*R223,0)</f>
        <v>0</v>
      </c>
      <c r="AA223" s="33">
        <f>IF($Z223&gt;0,VLOOKUP($J223,Ruimtegroepen[],3,FALSE)*VLOOKUP($L223,Vloersoorten[],3,FALSE)*VLOOKUP($Y223,Frequenties[],3,FALSE)*VLOOKUP(#REF!,Locaties[],3,FALSE),0)</f>
        <v>0</v>
      </c>
      <c r="AB223" s="33"/>
      <c r="AC223" s="33"/>
      <c r="AD223" s="33">
        <f>Ruimtestaat[[#This Row],[uren / jaar weekend]]*Tariefsopbouw!$D$40</f>
        <v>0</v>
      </c>
      <c r="AE223" s="88">
        <f>Ruimtestaat[[#This Row],[Prest. (m2 /jaar) weekend]]+Ruimtestaat[[#This Row],[Prest. (m2 /jaar) werkdagen]]</f>
        <v>2890</v>
      </c>
      <c r="AF223" s="88">
        <f>Ruimtestaat[[#This Row],[uren / jaar weekend]]+Ruimtestaat[[#This Row],[uren / jaar werkdagen]]</f>
        <v>28.9</v>
      </c>
      <c r="AG223" s="89">
        <f>Ruimtestaat[[#This Row],[kosten / jaar weekend]]+Ruimtestaat[[#This Row],[kosten / jaar werkdagen]]</f>
        <v>722.5</v>
      </c>
    </row>
    <row r="224" spans="1:33" ht="15" customHeight="1">
      <c r="A224" s="195">
        <v>2</v>
      </c>
      <c r="B224" s="195" t="str">
        <f>VLOOKUP(Ruimtestaat[[#This Row],[Code]],Locaties[#All],2,FALSE)</f>
        <v>Groenlo - Gymzaal</v>
      </c>
      <c r="C224" s="241" t="str">
        <f>VLOOKUP(Ruimtestaat[[#This Row],[Code]],Locaties[#All],4,FALSE)</f>
        <v>Deken Hooijmanssingel 1</v>
      </c>
      <c r="D224" s="241" t="str">
        <f>VLOOKUP(Ruimtestaat[[#This Row],[Code]],Locaties[#All],5,FALSE)</f>
        <v>7141 EA</v>
      </c>
      <c r="E224" s="241" t="str">
        <f>VLOOKUP(Ruimtestaat[[#This Row],[Code]],Locaties[#All],6,FALSE)</f>
        <v>Groenlo</v>
      </c>
      <c r="F224" s="195" t="s">
        <v>577</v>
      </c>
      <c r="G224" s="211" t="s">
        <v>776</v>
      </c>
      <c r="H224" s="195" t="s">
        <v>587</v>
      </c>
      <c r="I224" s="242" t="s">
        <v>22</v>
      </c>
      <c r="J224" s="195">
        <v>5</v>
      </c>
      <c r="K224" s="260" t="str">
        <f>VLOOKUP(Ruimtestaat[[#This Row],[Ruimte code]],Ruimtegroepen[#All],2,FALSE)</f>
        <v>Sanitair</v>
      </c>
      <c r="L224" s="211" t="s">
        <v>111</v>
      </c>
      <c r="M224" s="195" t="s">
        <v>693</v>
      </c>
      <c r="N224" s="197">
        <v>1.42</v>
      </c>
      <c r="O224" s="209"/>
      <c r="P224" s="241" t="str">
        <f>VLOOKUP(Ruimtestaat[[#This Row],[Ruimte code]],Ruimtegroepen[#All],4,FALSE)</f>
        <v>S  (Sanitair)</v>
      </c>
      <c r="Q224" s="210"/>
      <c r="R224" s="211">
        <v>40</v>
      </c>
      <c r="S224" s="211" t="s">
        <v>2</v>
      </c>
      <c r="T224" s="211">
        <f>IF(R224&gt;0,IF(RIGHT(Ruimtestaat[[#This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224" s="211">
        <f>IF(T224&gt;0,VLOOKUP($J224,Ruimtegroepen[],3,FALSE)*VLOOKUP($L224,Vloersoorten[],3,FALSE)*VLOOKUP($S224,Frequenties[],3,FALSE)*VLOOKUP($A224,Locaties[],3,FALSE),0)</f>
        <v>100</v>
      </c>
      <c r="V224" s="211">
        <f>Ruimtestaat[[#This Row],[Uitvoeringen werkdagen]]*Ruimtestaat[[#This Row],[Oppervlak (netto)]]</f>
        <v>284</v>
      </c>
      <c r="W224" s="257">
        <f>IF(U224&gt;0,Ruimtestaat[[#This Row],[Prest. (m2 /jaar) werkdagen]]/Ruimtestaat[[#This Row],[Norm (m2/uur) werkdagen]],0)</f>
        <v>2.84</v>
      </c>
      <c r="X224" s="258">
        <f>Ruimtestaat[[#This Row],[uren / jaar werkdagen]]*Tariefsopbouw!$D$38</f>
        <v>71</v>
      </c>
      <c r="Y224" s="33"/>
      <c r="Z224" s="33">
        <f>IF(Ruimtestaat[[#This Row],[Frequentie weekend]]&gt;0,VALUE(LEFT(Y224,1))*R224,0)</f>
        <v>0</v>
      </c>
      <c r="AA224" s="33">
        <f>IF($Z224&gt;0,VLOOKUP($J224,Ruimtegroepen[],3,FALSE)*VLOOKUP($L224,Vloersoorten[],3,FALSE)*VLOOKUP($Y224,Frequenties[],3,FALSE)*VLOOKUP(#REF!,Locaties[],3,FALSE),0)</f>
        <v>0</v>
      </c>
      <c r="AB224" s="33"/>
      <c r="AC224" s="33"/>
      <c r="AD224" s="33">
        <f>Ruimtestaat[[#This Row],[uren / jaar weekend]]*Tariefsopbouw!$D$40</f>
        <v>0</v>
      </c>
      <c r="AE224" s="88">
        <f>Ruimtestaat[[#This Row],[Prest. (m2 /jaar) weekend]]+Ruimtestaat[[#This Row],[Prest. (m2 /jaar) werkdagen]]</f>
        <v>284</v>
      </c>
      <c r="AF224" s="88">
        <f>Ruimtestaat[[#This Row],[uren / jaar weekend]]+Ruimtestaat[[#This Row],[uren / jaar werkdagen]]</f>
        <v>2.84</v>
      </c>
      <c r="AG224" s="89">
        <f>Ruimtestaat[[#This Row],[kosten / jaar weekend]]+Ruimtestaat[[#This Row],[kosten / jaar werkdagen]]</f>
        <v>71</v>
      </c>
    </row>
    <row r="225" spans="1:33" ht="15" customHeight="1">
      <c r="A225" s="195">
        <v>3</v>
      </c>
      <c r="B225" s="195" t="str">
        <f>VLOOKUP(Ruimtestaat[[#This Row],[Code]],Locaties[#All],2,FALSE)</f>
        <v>Lichtenvoorde gebouw 1</v>
      </c>
      <c r="C225" s="241" t="str">
        <f>VLOOKUP(Ruimtestaat[[#This Row],[Code]],Locaties[#All],4,FALSE)</f>
        <v>Dr Ariensstraat 1</v>
      </c>
      <c r="D225" s="241" t="str">
        <f>VLOOKUP(Ruimtestaat[[#This Row],[Code]],Locaties[#All],5,FALSE)</f>
        <v>7131 XM </v>
      </c>
      <c r="E225" s="241" t="str">
        <f>VLOOKUP(Ruimtestaat[[#This Row],[Code]],Locaties[#All],6,FALSE)</f>
        <v>Lichtenvoorde</v>
      </c>
      <c r="F225" s="195"/>
      <c r="G225" s="211" t="s">
        <v>772</v>
      </c>
      <c r="H225" s="195">
        <v>106</v>
      </c>
      <c r="I225" s="242" t="s">
        <v>382</v>
      </c>
      <c r="J225" s="195">
        <v>6</v>
      </c>
      <c r="K225" s="260" t="str">
        <f>VLOOKUP(Ruimtestaat[[#This Row],[Ruimte code]],Ruimtegroepen[#All],2,FALSE)</f>
        <v>Gangen/hallen</v>
      </c>
      <c r="L225" s="211" t="s">
        <v>110</v>
      </c>
      <c r="M225" s="195" t="s">
        <v>133</v>
      </c>
      <c r="N225" s="197">
        <v>10.7</v>
      </c>
      <c r="O225" s="209"/>
      <c r="P225" s="241" t="str">
        <f>VLOOKUP(Ruimtestaat[[#This Row],[Ruimte code]],Ruimtegroepen[#All],4,FALSE)</f>
        <v>V  (Verkeersruimte)</v>
      </c>
      <c r="Q225" s="210"/>
      <c r="R225" s="211">
        <v>40</v>
      </c>
      <c r="S225" s="211" t="s">
        <v>2</v>
      </c>
      <c r="T225" s="211">
        <f>IF(R225&gt;0,IF(RIGHT(Ruimtestaat[[#This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225" s="211">
        <f>IF(T225&gt;0,VLOOKUP($J225,Ruimtegroepen[],3,FALSE)*VLOOKUP($L225,Vloersoorten[],3,FALSE)*VLOOKUP($S225,Frequenties[],3,FALSE)*VLOOKUP($A225,Locaties[],3,FALSE),0)</f>
        <v>100</v>
      </c>
      <c r="V225" s="211">
        <f>Ruimtestaat[[#This Row],[Uitvoeringen werkdagen]]*Ruimtestaat[[#This Row],[Oppervlak (netto)]]</f>
        <v>2140</v>
      </c>
      <c r="W225" s="257">
        <f>IF(U225&gt;0,Ruimtestaat[[#This Row],[Prest. (m2 /jaar) werkdagen]]/Ruimtestaat[[#This Row],[Norm (m2/uur) werkdagen]],0)</f>
        <v>21.4</v>
      </c>
      <c r="X225" s="258">
        <f>Ruimtestaat[[#This Row],[uren / jaar werkdagen]]*Tariefsopbouw!$D$38</f>
        <v>535</v>
      </c>
      <c r="Y225" s="33"/>
      <c r="Z225" s="33">
        <f>IF(Ruimtestaat[[#This Row],[Frequentie weekend]]&gt;0,VALUE(LEFT(Y225,1))*R225,0)</f>
        <v>0</v>
      </c>
      <c r="AA225" s="33">
        <f>IF($Z225&gt;0,VLOOKUP($J225,Ruimtegroepen[],3,FALSE)*VLOOKUP($L225,Vloersoorten[],3,FALSE)*VLOOKUP($Y225,Frequenties[],3,FALSE)*VLOOKUP(#REF!,Locaties[],3,FALSE),0)</f>
        <v>0</v>
      </c>
      <c r="AB225" s="33"/>
      <c r="AC225" s="33"/>
      <c r="AD225" s="33">
        <f>Ruimtestaat[[#This Row],[uren / jaar weekend]]*Tariefsopbouw!$D$40</f>
        <v>0</v>
      </c>
      <c r="AE225" s="88">
        <f>Ruimtestaat[[#This Row],[Prest. (m2 /jaar) weekend]]+Ruimtestaat[[#This Row],[Prest. (m2 /jaar) werkdagen]]</f>
        <v>2140</v>
      </c>
      <c r="AF225" s="88">
        <f>Ruimtestaat[[#This Row],[uren / jaar weekend]]+Ruimtestaat[[#This Row],[uren / jaar werkdagen]]</f>
        <v>21.4</v>
      </c>
      <c r="AG225" s="89">
        <f>Ruimtestaat[[#This Row],[kosten / jaar weekend]]+Ruimtestaat[[#This Row],[kosten / jaar werkdagen]]</f>
        <v>535</v>
      </c>
    </row>
    <row r="226" spans="1:33" ht="15" customHeight="1">
      <c r="A226" s="195">
        <v>3</v>
      </c>
      <c r="B226" s="195" t="str">
        <f>VLOOKUP(Ruimtestaat[[#This Row],[Code]],Locaties[#All],2,FALSE)</f>
        <v>Lichtenvoorde gebouw 1</v>
      </c>
      <c r="C226" s="241" t="str">
        <f>VLOOKUP(Ruimtestaat[[#This Row],[Code]],Locaties[#All],4,FALSE)</f>
        <v>Dr Ariensstraat 1</v>
      </c>
      <c r="D226" s="241" t="str">
        <f>VLOOKUP(Ruimtestaat[[#This Row],[Code]],Locaties[#All],5,FALSE)</f>
        <v>7131 XM </v>
      </c>
      <c r="E226" s="241" t="str">
        <f>VLOOKUP(Ruimtestaat[[#This Row],[Code]],Locaties[#All],6,FALSE)</f>
        <v>Lichtenvoorde</v>
      </c>
      <c r="F226" s="195"/>
      <c r="G226" s="211" t="s">
        <v>772</v>
      </c>
      <c r="H226" s="195">
        <v>107</v>
      </c>
      <c r="I226" s="242" t="s">
        <v>449</v>
      </c>
      <c r="J226" s="211">
        <v>2</v>
      </c>
      <c r="K226" s="260" t="str">
        <f>VLOOKUP(Ruimtestaat[[#This Row],[Ruimte code]],Ruimtegroepen[#All],2,FALSE)</f>
        <v>Kantoren</v>
      </c>
      <c r="L226" s="211" t="s">
        <v>109</v>
      </c>
      <c r="M226" s="195" t="s">
        <v>38</v>
      </c>
      <c r="N226" s="197">
        <v>39.299999999999997</v>
      </c>
      <c r="O226" s="209"/>
      <c r="P226" s="241" t="str">
        <f>VLOOKUP(Ruimtestaat[[#This Row],[Ruimte code]],Ruimtegroepen[#All],4,FALSE)</f>
        <v>B  (Bureauruimte)</v>
      </c>
      <c r="Q226" s="210"/>
      <c r="R226" s="211">
        <v>40</v>
      </c>
      <c r="S226" s="211" t="s">
        <v>2</v>
      </c>
      <c r="T226" s="211">
        <f>IF(R226&gt;0,IF(RIGHT(Ruimtestaat[[#This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226" s="211">
        <f>IF(T226&gt;0,VLOOKUP($J226,Ruimtegroepen[],3,FALSE)*VLOOKUP($L226,Vloersoorten[],3,FALSE)*VLOOKUP($S226,Frequenties[],3,FALSE)*VLOOKUP($A226,Locaties[],3,FALSE),0)</f>
        <v>100</v>
      </c>
      <c r="V226" s="211">
        <f>Ruimtestaat[[#This Row],[Uitvoeringen werkdagen]]*Ruimtestaat[[#This Row],[Oppervlak (netto)]]</f>
        <v>7859.9999999999991</v>
      </c>
      <c r="W226" s="257">
        <f>IF(U226&gt;0,Ruimtestaat[[#This Row],[Prest. (m2 /jaar) werkdagen]]/Ruimtestaat[[#This Row],[Norm (m2/uur) werkdagen]],0)</f>
        <v>78.599999999999994</v>
      </c>
      <c r="X226" s="258">
        <f>Ruimtestaat[[#This Row],[uren / jaar werkdagen]]*Tariefsopbouw!$D$38</f>
        <v>1964.9999999999998</v>
      </c>
      <c r="Y226" s="33"/>
      <c r="Z226" s="33">
        <f>IF(Ruimtestaat[[#This Row],[Frequentie weekend]]&gt;0,VALUE(LEFT(Y226,1))*R226,0)</f>
        <v>0</v>
      </c>
      <c r="AA226" s="33">
        <f>IF($Z226&gt;0,VLOOKUP($J226,Ruimtegroepen[],3,FALSE)*VLOOKUP($L226,Vloersoorten[],3,FALSE)*VLOOKUP($Y226,Frequenties[],3,FALSE)*VLOOKUP(#REF!,Locaties[],3,FALSE),0)</f>
        <v>0</v>
      </c>
      <c r="AB226" s="33"/>
      <c r="AC226" s="33"/>
      <c r="AD226" s="33">
        <f>Ruimtestaat[[#This Row],[uren / jaar weekend]]*Tariefsopbouw!$D$40</f>
        <v>0</v>
      </c>
      <c r="AE226" s="88">
        <f>Ruimtestaat[[#This Row],[Prest. (m2 /jaar) weekend]]+Ruimtestaat[[#This Row],[Prest. (m2 /jaar) werkdagen]]</f>
        <v>7859.9999999999991</v>
      </c>
      <c r="AF226" s="88">
        <f>Ruimtestaat[[#This Row],[uren / jaar weekend]]+Ruimtestaat[[#This Row],[uren / jaar werkdagen]]</f>
        <v>78.599999999999994</v>
      </c>
      <c r="AG226" s="89">
        <f>Ruimtestaat[[#This Row],[kosten / jaar weekend]]+Ruimtestaat[[#This Row],[kosten / jaar werkdagen]]</f>
        <v>1964.9999999999998</v>
      </c>
    </row>
    <row r="227" spans="1:33" ht="15" customHeight="1">
      <c r="A227" s="195">
        <v>3</v>
      </c>
      <c r="B227" s="195" t="str">
        <f>VLOOKUP(Ruimtestaat[[#This Row],[Code]],Locaties[#All],2,FALSE)</f>
        <v>Lichtenvoorde gebouw 1</v>
      </c>
      <c r="C227" s="241" t="str">
        <f>VLOOKUP(Ruimtestaat[[#This Row],[Code]],Locaties[#All],4,FALSE)</f>
        <v>Dr Ariensstraat 1</v>
      </c>
      <c r="D227" s="241" t="str">
        <f>VLOOKUP(Ruimtestaat[[#This Row],[Code]],Locaties[#All],5,FALSE)</f>
        <v>7131 XM </v>
      </c>
      <c r="E227" s="241" t="str">
        <f>VLOOKUP(Ruimtestaat[[#This Row],[Code]],Locaties[#All],6,FALSE)</f>
        <v>Lichtenvoorde</v>
      </c>
      <c r="F227" s="195"/>
      <c r="G227" s="195" t="s">
        <v>772</v>
      </c>
      <c r="H227" s="195">
        <v>190</v>
      </c>
      <c r="I227" s="242" t="s">
        <v>449</v>
      </c>
      <c r="J227" s="195">
        <v>2</v>
      </c>
      <c r="K227" s="260" t="str">
        <f>VLOOKUP(Ruimtestaat[[#This Row],[Ruimte code]],Ruimtegroepen[#All],2,FALSE)</f>
        <v>Kantoren</v>
      </c>
      <c r="L227" s="211" t="s">
        <v>109</v>
      </c>
      <c r="M227" s="195" t="s">
        <v>38</v>
      </c>
      <c r="N227" s="197">
        <v>25.4</v>
      </c>
      <c r="O227" s="209"/>
      <c r="P227" s="241" t="str">
        <f>VLOOKUP(Ruimtestaat[[#This Row],[Ruimte code]],Ruimtegroepen[#All],4,FALSE)</f>
        <v>B  (Bureauruimte)</v>
      </c>
      <c r="Q227" s="210"/>
      <c r="R227" s="211">
        <v>40</v>
      </c>
      <c r="S227" s="211" t="s">
        <v>2</v>
      </c>
      <c r="T227" s="211">
        <f>IF(R227&gt;0,IF(RIGHT(Ruimtestaat[[#This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227" s="211">
        <f>IF(T227&gt;0,VLOOKUP($J227,Ruimtegroepen[],3,FALSE)*VLOOKUP($L227,Vloersoorten[],3,FALSE)*VLOOKUP($S227,Frequenties[],3,FALSE)*VLOOKUP($A227,Locaties[],3,FALSE),0)</f>
        <v>100</v>
      </c>
      <c r="V227" s="211">
        <f>Ruimtestaat[[#This Row],[Uitvoeringen werkdagen]]*Ruimtestaat[[#This Row],[Oppervlak (netto)]]</f>
        <v>5080</v>
      </c>
      <c r="W227" s="257">
        <f>IF(U227&gt;0,Ruimtestaat[[#This Row],[Prest. (m2 /jaar) werkdagen]]/Ruimtestaat[[#This Row],[Norm (m2/uur) werkdagen]],0)</f>
        <v>50.8</v>
      </c>
      <c r="X227" s="258">
        <f>Ruimtestaat[[#This Row],[uren / jaar werkdagen]]*Tariefsopbouw!$D$38</f>
        <v>1270</v>
      </c>
      <c r="Y227" s="33"/>
      <c r="Z227" s="33">
        <f>IF(Ruimtestaat[[#This Row],[Frequentie weekend]]&gt;0,VALUE(LEFT(Y227,1))*R227,0)</f>
        <v>0</v>
      </c>
      <c r="AA227" s="33">
        <f>IF($Z227&gt;0,VLOOKUP($J227,Ruimtegroepen[],3,FALSE)*VLOOKUP($L227,Vloersoorten[],3,FALSE)*VLOOKUP($Y227,Frequenties[],3,FALSE)*VLOOKUP(#REF!,Locaties[],3,FALSE),0)</f>
        <v>0</v>
      </c>
      <c r="AB227" s="33"/>
      <c r="AC227" s="33"/>
      <c r="AD227" s="33">
        <f>Ruimtestaat[[#This Row],[uren / jaar weekend]]*Tariefsopbouw!$D$40</f>
        <v>0</v>
      </c>
      <c r="AE227" s="88">
        <f>Ruimtestaat[[#This Row],[Prest. (m2 /jaar) weekend]]+Ruimtestaat[[#This Row],[Prest. (m2 /jaar) werkdagen]]</f>
        <v>5080</v>
      </c>
      <c r="AF227" s="88">
        <f>Ruimtestaat[[#This Row],[uren / jaar weekend]]+Ruimtestaat[[#This Row],[uren / jaar werkdagen]]</f>
        <v>50.8</v>
      </c>
      <c r="AG227" s="89">
        <f>Ruimtestaat[[#This Row],[kosten / jaar weekend]]+Ruimtestaat[[#This Row],[kosten / jaar werkdagen]]</f>
        <v>1270</v>
      </c>
    </row>
    <row r="228" spans="1:33" ht="15" customHeight="1">
      <c r="A228" s="195">
        <v>3</v>
      </c>
      <c r="B228" s="195" t="str">
        <f>VLOOKUP(Ruimtestaat[[#This Row],[Code]],Locaties[#All],2,FALSE)</f>
        <v>Lichtenvoorde gebouw 1</v>
      </c>
      <c r="C228" s="241" t="str">
        <f>VLOOKUP(Ruimtestaat[[#This Row],[Code]],Locaties[#All],4,FALSE)</f>
        <v>Dr Ariensstraat 1</v>
      </c>
      <c r="D228" s="241" t="str">
        <f>VLOOKUP(Ruimtestaat[[#This Row],[Code]],Locaties[#All],5,FALSE)</f>
        <v>7131 XM </v>
      </c>
      <c r="E228" s="241" t="str">
        <f>VLOOKUP(Ruimtestaat[[#This Row],[Code]],Locaties[#All],6,FALSE)</f>
        <v>Lichtenvoorde</v>
      </c>
      <c r="F228" s="195"/>
      <c r="G228" s="195" t="s">
        <v>772</v>
      </c>
      <c r="H228" s="195">
        <v>191</v>
      </c>
      <c r="I228" s="242" t="s">
        <v>824</v>
      </c>
      <c r="J228" s="195">
        <v>1</v>
      </c>
      <c r="K228" s="260" t="str">
        <f>VLOOKUP(Ruimtestaat[[#This Row],[Ruimte code]],Ruimtegroepen[#All],2,FALSE)</f>
        <v>Magazijnen/bergingen</v>
      </c>
      <c r="L228" s="211" t="s">
        <v>111</v>
      </c>
      <c r="M228" s="195" t="s">
        <v>693</v>
      </c>
      <c r="N228" s="197">
        <v>1.6</v>
      </c>
      <c r="O228" s="209"/>
      <c r="P228" s="241" t="str">
        <f>VLOOKUP(Ruimtestaat[[#This Row],[Ruimte code]],Ruimtegroepen[#All],4,FALSE)</f>
        <v>V  (Verkeersruimte)</v>
      </c>
      <c r="Q228" s="210"/>
      <c r="R228" s="211">
        <v>40</v>
      </c>
      <c r="S228" s="211" t="s">
        <v>16</v>
      </c>
      <c r="T228" s="211">
        <f>IF(R228&gt;0,IF(RIGHT(Ruimtestaat[[#This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U228" s="211">
        <f>IF(T228&gt;0,VLOOKUP($J228,Ruimtegroepen[],3,FALSE)*VLOOKUP($L228,Vloersoorten[],3,FALSE)*VLOOKUP($S228,Frequenties[],3,FALSE)*VLOOKUP($A228,Locaties[],3,FALSE),0)</f>
        <v>100</v>
      </c>
      <c r="V228" s="211">
        <f>Ruimtestaat[[#This Row],[Uitvoeringen werkdagen]]*Ruimtestaat[[#This Row],[Oppervlak (netto)]]</f>
        <v>19.200000000000003</v>
      </c>
      <c r="W228" s="257">
        <f>IF(U228&gt;0,Ruimtestaat[[#This Row],[Prest. (m2 /jaar) werkdagen]]/Ruimtestaat[[#This Row],[Norm (m2/uur) werkdagen]],0)</f>
        <v>0.19200000000000003</v>
      </c>
      <c r="X228" s="258">
        <f>Ruimtestaat[[#This Row],[uren / jaar werkdagen]]*Tariefsopbouw!$D$38</f>
        <v>4.8000000000000007</v>
      </c>
      <c r="Y228" s="33"/>
      <c r="Z228" s="33">
        <f>IF(Ruimtestaat[[#This Row],[Frequentie weekend]]&gt;0,VALUE(LEFT(Y228,1))*R228,0)</f>
        <v>0</v>
      </c>
      <c r="AA228" s="33">
        <f>IF($Z228&gt;0,VLOOKUP($J228,Ruimtegroepen[],3,FALSE)*VLOOKUP($L228,Vloersoorten[],3,FALSE)*VLOOKUP($Y228,Frequenties[],3,FALSE)*VLOOKUP(#REF!,Locaties[],3,FALSE),0)</f>
        <v>0</v>
      </c>
      <c r="AB228" s="33"/>
      <c r="AC228" s="33"/>
      <c r="AD228" s="33">
        <f>Ruimtestaat[[#This Row],[uren / jaar weekend]]*Tariefsopbouw!$D$40</f>
        <v>0</v>
      </c>
      <c r="AE228" s="88">
        <f>Ruimtestaat[[#This Row],[Prest. (m2 /jaar) weekend]]+Ruimtestaat[[#This Row],[Prest. (m2 /jaar) werkdagen]]</f>
        <v>19.200000000000003</v>
      </c>
      <c r="AF228" s="88">
        <f>Ruimtestaat[[#This Row],[uren / jaar weekend]]+Ruimtestaat[[#This Row],[uren / jaar werkdagen]]</f>
        <v>0.19200000000000003</v>
      </c>
      <c r="AG228" s="89">
        <f>Ruimtestaat[[#This Row],[kosten / jaar weekend]]+Ruimtestaat[[#This Row],[kosten / jaar werkdagen]]</f>
        <v>4.8000000000000007</v>
      </c>
    </row>
    <row r="229" spans="1:33" ht="15" customHeight="1">
      <c r="A229" s="195">
        <v>3</v>
      </c>
      <c r="B229" s="195" t="str">
        <f>VLOOKUP(Ruimtestaat[[#This Row],[Code]],Locaties[#All],2,FALSE)</f>
        <v>Lichtenvoorde gebouw 1</v>
      </c>
      <c r="C229" s="241" t="str">
        <f>VLOOKUP(Ruimtestaat[[#This Row],[Code]],Locaties[#All],4,FALSE)</f>
        <v>Dr Ariensstraat 1</v>
      </c>
      <c r="D229" s="241" t="str">
        <f>VLOOKUP(Ruimtestaat[[#This Row],[Code]],Locaties[#All],5,FALSE)</f>
        <v>7131 XM </v>
      </c>
      <c r="E229" s="241" t="str">
        <f>VLOOKUP(Ruimtestaat[[#This Row],[Code]],Locaties[#All],6,FALSE)</f>
        <v>Lichtenvoorde</v>
      </c>
      <c r="F229" s="195"/>
      <c r="G229" s="195" t="s">
        <v>772</v>
      </c>
      <c r="H229" s="195">
        <v>192</v>
      </c>
      <c r="I229" s="242" t="s">
        <v>639</v>
      </c>
      <c r="J229" s="195">
        <v>6</v>
      </c>
      <c r="K229" s="260" t="str">
        <f>VLOOKUP(Ruimtestaat[[#This Row],[Ruimte code]],Ruimtegroepen[#All],2,FALSE)</f>
        <v>Gangen/hallen</v>
      </c>
      <c r="L229" s="211" t="s">
        <v>112</v>
      </c>
      <c r="M229" s="195" t="s">
        <v>130</v>
      </c>
      <c r="N229" s="197">
        <v>41.7</v>
      </c>
      <c r="O229" s="209"/>
      <c r="P229" s="241" t="str">
        <f>VLOOKUP(Ruimtestaat[[#This Row],[Ruimte code]],Ruimtegroepen[#All],4,FALSE)</f>
        <v>V  (Verkeersruimte)</v>
      </c>
      <c r="Q229" s="210"/>
      <c r="R229" s="211">
        <v>40</v>
      </c>
      <c r="S229" s="211" t="s">
        <v>2</v>
      </c>
      <c r="T229" s="211">
        <f>IF(R229&gt;0,IF(RIGHT(Ruimtestaat[[#This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229" s="211">
        <f>IF(T229&gt;0,VLOOKUP($J229,Ruimtegroepen[],3,FALSE)*VLOOKUP($L229,Vloersoorten[],3,FALSE)*VLOOKUP($S229,Frequenties[],3,FALSE)*VLOOKUP($A229,Locaties[],3,FALSE),0)</f>
        <v>100</v>
      </c>
      <c r="V229" s="211">
        <f>Ruimtestaat[[#This Row],[Uitvoeringen werkdagen]]*Ruimtestaat[[#This Row],[Oppervlak (netto)]]</f>
        <v>8340</v>
      </c>
      <c r="W229" s="257">
        <f>IF(U229&gt;0,Ruimtestaat[[#This Row],[Prest. (m2 /jaar) werkdagen]]/Ruimtestaat[[#This Row],[Norm (m2/uur) werkdagen]],0)</f>
        <v>83.4</v>
      </c>
      <c r="X229" s="258">
        <f>Ruimtestaat[[#This Row],[uren / jaar werkdagen]]*Tariefsopbouw!$D$38</f>
        <v>2085</v>
      </c>
      <c r="Y229" s="33"/>
      <c r="Z229" s="33">
        <f>IF(Ruimtestaat[[#This Row],[Frequentie weekend]]&gt;0,VALUE(LEFT(Y229,1))*R229,0)</f>
        <v>0</v>
      </c>
      <c r="AA229" s="33">
        <f>IF($Z229&gt;0,VLOOKUP($J229,Ruimtegroepen[],3,FALSE)*VLOOKUP($L229,Vloersoorten[],3,FALSE)*VLOOKUP($Y229,Frequenties[],3,FALSE)*VLOOKUP(#REF!,Locaties[],3,FALSE),0)</f>
        <v>0</v>
      </c>
      <c r="AB229" s="33"/>
      <c r="AC229" s="33"/>
      <c r="AD229" s="33">
        <f>Ruimtestaat[[#This Row],[uren / jaar weekend]]*Tariefsopbouw!$D$40</f>
        <v>0</v>
      </c>
      <c r="AE229" s="88">
        <f>Ruimtestaat[[#This Row],[Prest. (m2 /jaar) weekend]]+Ruimtestaat[[#This Row],[Prest. (m2 /jaar) werkdagen]]</f>
        <v>8340</v>
      </c>
      <c r="AF229" s="88">
        <f>Ruimtestaat[[#This Row],[uren / jaar weekend]]+Ruimtestaat[[#This Row],[uren / jaar werkdagen]]</f>
        <v>83.4</v>
      </c>
      <c r="AG229" s="89">
        <f>Ruimtestaat[[#This Row],[kosten / jaar weekend]]+Ruimtestaat[[#This Row],[kosten / jaar werkdagen]]</f>
        <v>2085</v>
      </c>
    </row>
    <row r="230" spans="1:33" ht="15" customHeight="1">
      <c r="A230" s="195">
        <v>3</v>
      </c>
      <c r="B230" s="195" t="str">
        <f>VLOOKUP(Ruimtestaat[[#This Row],[Code]],Locaties[#All],2,FALSE)</f>
        <v>Lichtenvoorde gebouw 1</v>
      </c>
      <c r="C230" s="241" t="str">
        <f>VLOOKUP(Ruimtestaat[[#This Row],[Code]],Locaties[#All],4,FALSE)</f>
        <v>Dr Ariensstraat 1</v>
      </c>
      <c r="D230" s="241" t="str">
        <f>VLOOKUP(Ruimtestaat[[#This Row],[Code]],Locaties[#All],5,FALSE)</f>
        <v>7131 XM </v>
      </c>
      <c r="E230" s="241" t="str">
        <f>VLOOKUP(Ruimtestaat[[#This Row],[Code]],Locaties[#All],6,FALSE)</f>
        <v>Lichtenvoorde</v>
      </c>
      <c r="F230" s="195"/>
      <c r="G230" s="195" t="s">
        <v>772</v>
      </c>
      <c r="H230" s="195">
        <v>192</v>
      </c>
      <c r="I230" s="242" t="s">
        <v>382</v>
      </c>
      <c r="J230" s="195">
        <v>10</v>
      </c>
      <c r="K230" s="260" t="str">
        <f>VLOOKUP(Ruimtestaat[[#This Row],[Ruimte code]],Ruimtegroepen[#All],2,FALSE)</f>
        <v>Trappenhuizen/lift</v>
      </c>
      <c r="L230" s="195" t="s">
        <v>111</v>
      </c>
      <c r="M230" s="195" t="s">
        <v>693</v>
      </c>
      <c r="N230" s="197">
        <v>40.700000000000003</v>
      </c>
      <c r="O230" s="209"/>
      <c r="P230" s="241" t="str">
        <f>VLOOKUP(Ruimtestaat[[#This Row],[Ruimte code]],Ruimtegroepen[#All],4,FALSE)</f>
        <v>V  (Verkeersruimte)</v>
      </c>
      <c r="Q230" s="210"/>
      <c r="R230" s="211">
        <v>40</v>
      </c>
      <c r="S230" s="211" t="s">
        <v>2</v>
      </c>
      <c r="T230" s="211">
        <f>IF(R230&gt;0,IF(RIGHT(Ruimtestaat[[#This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230" s="211">
        <f>IF(T230&gt;0,VLOOKUP($J230,Ruimtegroepen[],3,FALSE)*VLOOKUP($L230,Vloersoorten[],3,FALSE)*VLOOKUP($S230,Frequenties[],3,FALSE)*VLOOKUP($A230,Locaties[],3,FALSE),0)</f>
        <v>100</v>
      </c>
      <c r="V230" s="211">
        <f>Ruimtestaat[[#This Row],[Uitvoeringen werkdagen]]*Ruimtestaat[[#This Row],[Oppervlak (netto)]]</f>
        <v>8140.0000000000009</v>
      </c>
      <c r="W230" s="257">
        <f>IF(U230&gt;0,Ruimtestaat[[#This Row],[Prest. (m2 /jaar) werkdagen]]/Ruimtestaat[[#This Row],[Norm (m2/uur) werkdagen]],0)</f>
        <v>81.400000000000006</v>
      </c>
      <c r="X230" s="258">
        <f>Ruimtestaat[[#This Row],[uren / jaar werkdagen]]*Tariefsopbouw!$D$38</f>
        <v>2035.0000000000002</v>
      </c>
      <c r="Y230" s="33"/>
      <c r="Z230" s="33">
        <f>IF(Ruimtestaat[[#This Row],[Frequentie weekend]]&gt;0,VALUE(LEFT(Y230,1))*R230,0)</f>
        <v>0</v>
      </c>
      <c r="AA230" s="33">
        <f>IF($Z230&gt;0,VLOOKUP($J230,Ruimtegroepen[],3,FALSE)*VLOOKUP($L230,Vloersoorten[],3,FALSE)*VLOOKUP($Y230,Frequenties[],3,FALSE)*VLOOKUP(#REF!,Locaties[],3,FALSE),0)</f>
        <v>0</v>
      </c>
      <c r="AB230" s="33"/>
      <c r="AC230" s="33"/>
      <c r="AD230" s="33">
        <f>Ruimtestaat[[#This Row],[uren / jaar weekend]]*Tariefsopbouw!$D$40</f>
        <v>0</v>
      </c>
      <c r="AE230" s="88">
        <f>Ruimtestaat[[#This Row],[Prest. (m2 /jaar) weekend]]+Ruimtestaat[[#This Row],[Prest. (m2 /jaar) werkdagen]]</f>
        <v>8140.0000000000009</v>
      </c>
      <c r="AF230" s="88">
        <f>Ruimtestaat[[#This Row],[uren / jaar weekend]]+Ruimtestaat[[#This Row],[uren / jaar werkdagen]]</f>
        <v>81.400000000000006</v>
      </c>
      <c r="AG230" s="89">
        <f>Ruimtestaat[[#This Row],[kosten / jaar weekend]]+Ruimtestaat[[#This Row],[kosten / jaar werkdagen]]</f>
        <v>2035.0000000000002</v>
      </c>
    </row>
    <row r="231" spans="1:33" ht="15" customHeight="1">
      <c r="A231" s="195">
        <v>3</v>
      </c>
      <c r="B231" s="195" t="str">
        <f>VLOOKUP(Ruimtestaat[[#This Row],[Code]],Locaties[#All],2,FALSE)</f>
        <v>Lichtenvoorde gebouw 1</v>
      </c>
      <c r="C231" s="241" t="str">
        <f>VLOOKUP(Ruimtestaat[[#This Row],[Code]],Locaties[#All],4,FALSE)</f>
        <v>Dr Ariensstraat 1</v>
      </c>
      <c r="D231" s="241" t="str">
        <f>VLOOKUP(Ruimtestaat[[#This Row],[Code]],Locaties[#All],5,FALSE)</f>
        <v>7131 XM </v>
      </c>
      <c r="E231" s="241" t="str">
        <f>VLOOKUP(Ruimtestaat[[#This Row],[Code]],Locaties[#All],6,FALSE)</f>
        <v>Lichtenvoorde</v>
      </c>
      <c r="F231" s="195"/>
      <c r="G231" s="195" t="s">
        <v>772</v>
      </c>
      <c r="H231" s="195">
        <v>193</v>
      </c>
      <c r="I231" s="242" t="s">
        <v>449</v>
      </c>
      <c r="J231" s="195">
        <v>2</v>
      </c>
      <c r="K231" s="260" t="str">
        <f>VLOOKUP(Ruimtestaat[[#This Row],[Ruimte code]],Ruimtegroepen[#All],2,FALSE)</f>
        <v>Kantoren</v>
      </c>
      <c r="L231" s="195" t="s">
        <v>109</v>
      </c>
      <c r="M231" s="195" t="s">
        <v>38</v>
      </c>
      <c r="N231" s="197">
        <v>25.1</v>
      </c>
      <c r="O231" s="209"/>
      <c r="P231" s="241" t="str">
        <f>VLOOKUP(Ruimtestaat[[#This Row],[Ruimte code]],Ruimtegroepen[#All],4,FALSE)</f>
        <v>B  (Bureauruimte)</v>
      </c>
      <c r="Q231" s="210"/>
      <c r="R231" s="211">
        <v>40</v>
      </c>
      <c r="S231" s="211" t="s">
        <v>18</v>
      </c>
      <c r="T231" s="211">
        <f>IF(R231&gt;0,IF(RIGHT(Ruimtestaat[[#This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U231" s="211">
        <f>IF(T231&gt;0,VLOOKUP($J231,Ruimtegroepen[],3,FALSE)*VLOOKUP($L231,Vloersoorten[],3,FALSE)*VLOOKUP($S231,Frequenties[],3,FALSE)*VLOOKUP($A231,Locaties[],3,FALSE),0)</f>
        <v>100</v>
      </c>
      <c r="V231" s="211">
        <f>Ruimtestaat[[#This Row],[Uitvoeringen werkdagen]]*Ruimtestaat[[#This Row],[Oppervlak (netto)]]</f>
        <v>3012</v>
      </c>
      <c r="W231" s="257">
        <f>IF(U231&gt;0,Ruimtestaat[[#This Row],[Prest. (m2 /jaar) werkdagen]]/Ruimtestaat[[#This Row],[Norm (m2/uur) werkdagen]],0)</f>
        <v>30.12</v>
      </c>
      <c r="X231" s="258">
        <f>Ruimtestaat[[#This Row],[uren / jaar werkdagen]]*Tariefsopbouw!$D$38</f>
        <v>753</v>
      </c>
      <c r="Y231" s="33"/>
      <c r="Z231" s="33">
        <f>IF(Ruimtestaat[[#This Row],[Frequentie weekend]]&gt;0,VALUE(LEFT(Y231,1))*R231,0)</f>
        <v>0</v>
      </c>
      <c r="AA231" s="33">
        <f>IF($Z231&gt;0,VLOOKUP($J231,Ruimtegroepen[],3,FALSE)*VLOOKUP($L231,Vloersoorten[],3,FALSE)*VLOOKUP($Y231,Frequenties[],3,FALSE)*VLOOKUP(#REF!,Locaties[],3,FALSE),0)</f>
        <v>0</v>
      </c>
      <c r="AB231" s="33"/>
      <c r="AC231" s="33"/>
      <c r="AD231" s="33">
        <f>Ruimtestaat[[#This Row],[uren / jaar weekend]]*Tariefsopbouw!$D$40</f>
        <v>0</v>
      </c>
      <c r="AE231" s="88">
        <f>Ruimtestaat[[#This Row],[Prest. (m2 /jaar) weekend]]+Ruimtestaat[[#This Row],[Prest. (m2 /jaar) werkdagen]]</f>
        <v>3012</v>
      </c>
      <c r="AF231" s="88">
        <f>Ruimtestaat[[#This Row],[uren / jaar weekend]]+Ruimtestaat[[#This Row],[uren / jaar werkdagen]]</f>
        <v>30.12</v>
      </c>
      <c r="AG231" s="89">
        <f>Ruimtestaat[[#This Row],[kosten / jaar weekend]]+Ruimtestaat[[#This Row],[kosten / jaar werkdagen]]</f>
        <v>753</v>
      </c>
    </row>
    <row r="232" spans="1:33" ht="15" customHeight="1">
      <c r="A232" s="195">
        <v>3</v>
      </c>
      <c r="B232" s="195" t="str">
        <f>VLOOKUP(Ruimtestaat[[#This Row],[Code]],Locaties[#All],2,FALSE)</f>
        <v>Lichtenvoorde gebouw 1</v>
      </c>
      <c r="C232" s="241" t="str">
        <f>VLOOKUP(Ruimtestaat[[#This Row],[Code]],Locaties[#All],4,FALSE)</f>
        <v>Dr Ariensstraat 1</v>
      </c>
      <c r="D232" s="241" t="str">
        <f>VLOOKUP(Ruimtestaat[[#This Row],[Code]],Locaties[#All],5,FALSE)</f>
        <v>7131 XM </v>
      </c>
      <c r="E232" s="241" t="str">
        <f>VLOOKUP(Ruimtestaat[[#This Row],[Code]],Locaties[#All],6,FALSE)</f>
        <v>Lichtenvoorde</v>
      </c>
      <c r="F232" s="195"/>
      <c r="G232" s="195" t="s">
        <v>772</v>
      </c>
      <c r="H232" s="195">
        <v>194</v>
      </c>
      <c r="I232" s="242" t="s">
        <v>395</v>
      </c>
      <c r="J232" s="195">
        <v>16</v>
      </c>
      <c r="K232" s="260" t="str">
        <f>VLOOKUP(Ruimtestaat[[#This Row],[Ruimte code]],Ruimtegroepen[#All],2,FALSE)</f>
        <v>Lokaal</v>
      </c>
      <c r="L232" s="195" t="s">
        <v>109</v>
      </c>
      <c r="M232" s="195" t="s">
        <v>38</v>
      </c>
      <c r="N232" s="197">
        <v>67.900000000000006</v>
      </c>
      <c r="O232" s="209"/>
      <c r="P232" s="241" t="str">
        <f>VLOOKUP(Ruimtestaat[[#This Row],[Ruimte code]],Ruimtegroepen[#All],4,FALSE)</f>
        <v>L  (Lesruimte)</v>
      </c>
      <c r="Q232" s="210"/>
      <c r="R232" s="211">
        <v>40</v>
      </c>
      <c r="S232" s="211" t="s">
        <v>2</v>
      </c>
      <c r="T232" s="211">
        <f>IF(R232&gt;0,IF(RIGHT(Ruimtestaat[[#This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232" s="211">
        <f>IF(T232&gt;0,VLOOKUP($J232,Ruimtegroepen[],3,FALSE)*VLOOKUP($L232,Vloersoorten[],3,FALSE)*VLOOKUP($S232,Frequenties[],3,FALSE)*VLOOKUP($A232,Locaties[],3,FALSE),0)</f>
        <v>100</v>
      </c>
      <c r="V232" s="211">
        <f>Ruimtestaat[[#This Row],[Uitvoeringen werkdagen]]*Ruimtestaat[[#This Row],[Oppervlak (netto)]]</f>
        <v>13580.000000000002</v>
      </c>
      <c r="W232" s="257">
        <f>IF(U232&gt;0,Ruimtestaat[[#This Row],[Prest. (m2 /jaar) werkdagen]]/Ruimtestaat[[#This Row],[Norm (m2/uur) werkdagen]],0)</f>
        <v>135.80000000000001</v>
      </c>
      <c r="X232" s="258">
        <f>Ruimtestaat[[#This Row],[uren / jaar werkdagen]]*Tariefsopbouw!$D$38</f>
        <v>3395.0000000000005</v>
      </c>
      <c r="Y232" s="33"/>
      <c r="Z232" s="33">
        <f>IF(Ruimtestaat[[#This Row],[Frequentie weekend]]&gt;0,VALUE(LEFT(Y232,1))*R232,0)</f>
        <v>0</v>
      </c>
      <c r="AA232" s="33">
        <f>IF($Z232&gt;0,VLOOKUP($J232,Ruimtegroepen[],3,FALSE)*VLOOKUP($L232,Vloersoorten[],3,FALSE)*VLOOKUP($Y232,Frequenties[],3,FALSE)*VLOOKUP(#REF!,Locaties[],3,FALSE),0)</f>
        <v>0</v>
      </c>
      <c r="AB232" s="33"/>
      <c r="AC232" s="33"/>
      <c r="AD232" s="33">
        <f>Ruimtestaat[[#This Row],[uren / jaar weekend]]*Tariefsopbouw!$D$40</f>
        <v>0</v>
      </c>
      <c r="AE232" s="88">
        <f>Ruimtestaat[[#This Row],[Prest. (m2 /jaar) weekend]]+Ruimtestaat[[#This Row],[Prest. (m2 /jaar) werkdagen]]</f>
        <v>13580.000000000002</v>
      </c>
      <c r="AF232" s="88">
        <f>Ruimtestaat[[#This Row],[uren / jaar weekend]]+Ruimtestaat[[#This Row],[uren / jaar werkdagen]]</f>
        <v>135.80000000000001</v>
      </c>
      <c r="AG232" s="89">
        <f>Ruimtestaat[[#This Row],[kosten / jaar weekend]]+Ruimtestaat[[#This Row],[kosten / jaar werkdagen]]</f>
        <v>3395.0000000000005</v>
      </c>
    </row>
    <row r="233" spans="1:33" ht="15" customHeight="1">
      <c r="A233" s="195">
        <v>3</v>
      </c>
      <c r="B233" s="195" t="str">
        <f>VLOOKUP(Ruimtestaat[[#This Row],[Code]],Locaties[#All],2,FALSE)</f>
        <v>Lichtenvoorde gebouw 1</v>
      </c>
      <c r="C233" s="241" t="str">
        <f>VLOOKUP(Ruimtestaat[[#This Row],[Code]],Locaties[#All],4,FALSE)</f>
        <v>Dr Ariensstraat 1</v>
      </c>
      <c r="D233" s="241" t="str">
        <f>VLOOKUP(Ruimtestaat[[#This Row],[Code]],Locaties[#All],5,FALSE)</f>
        <v>7131 XM </v>
      </c>
      <c r="E233" s="241" t="str">
        <f>VLOOKUP(Ruimtestaat[[#This Row],[Code]],Locaties[#All],6,FALSE)</f>
        <v>Lichtenvoorde</v>
      </c>
      <c r="F233" s="195"/>
      <c r="G233" s="195" t="s">
        <v>772</v>
      </c>
      <c r="H233" s="195">
        <v>195</v>
      </c>
      <c r="I233" s="242" t="s">
        <v>395</v>
      </c>
      <c r="J233" s="195">
        <v>16</v>
      </c>
      <c r="K233" s="260" t="str">
        <f>VLOOKUP(Ruimtestaat[[#This Row],[Ruimte code]],Ruimtegroepen[#All],2,FALSE)</f>
        <v>Lokaal</v>
      </c>
      <c r="L233" s="241" t="s">
        <v>109</v>
      </c>
      <c r="M233" s="195" t="s">
        <v>38</v>
      </c>
      <c r="N233" s="197">
        <v>67.599999999999994</v>
      </c>
      <c r="O233" s="209"/>
      <c r="P233" s="241" t="str">
        <f>VLOOKUP(Ruimtestaat[[#This Row],[Ruimte code]],Ruimtegroepen[#All],4,FALSE)</f>
        <v>L  (Lesruimte)</v>
      </c>
      <c r="Q233" s="210"/>
      <c r="R233" s="211">
        <v>40</v>
      </c>
      <c r="S233" s="211" t="s">
        <v>2</v>
      </c>
      <c r="T233" s="211">
        <f>IF(R233&gt;0,IF(RIGHT(Ruimtestaat[[#This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233" s="211">
        <f>IF(T233&gt;0,VLOOKUP($J233,Ruimtegroepen[],3,FALSE)*VLOOKUP($L233,Vloersoorten[],3,FALSE)*VLOOKUP($S233,Frequenties[],3,FALSE)*VLOOKUP($A233,Locaties[],3,FALSE),0)</f>
        <v>100</v>
      </c>
      <c r="V233" s="211">
        <f>Ruimtestaat[[#This Row],[Uitvoeringen werkdagen]]*Ruimtestaat[[#This Row],[Oppervlak (netto)]]</f>
        <v>13519.999999999998</v>
      </c>
      <c r="W233" s="257">
        <f>IF(U233&gt;0,Ruimtestaat[[#This Row],[Prest. (m2 /jaar) werkdagen]]/Ruimtestaat[[#This Row],[Norm (m2/uur) werkdagen]],0)</f>
        <v>135.19999999999999</v>
      </c>
      <c r="X233" s="258">
        <f>Ruimtestaat[[#This Row],[uren / jaar werkdagen]]*Tariefsopbouw!$D$38</f>
        <v>3379.9999999999995</v>
      </c>
      <c r="Y233" s="33"/>
      <c r="Z233" s="33">
        <f>IF(Ruimtestaat[[#This Row],[Frequentie weekend]]&gt;0,VALUE(LEFT(Y233,1))*R233,0)</f>
        <v>0</v>
      </c>
      <c r="AA233" s="33">
        <f>IF($Z233&gt;0,VLOOKUP($J233,Ruimtegroepen[],3,FALSE)*VLOOKUP($L233,Vloersoorten[],3,FALSE)*VLOOKUP($Y233,Frequenties[],3,FALSE)*VLOOKUP(#REF!,Locaties[],3,FALSE),0)</f>
        <v>0</v>
      </c>
      <c r="AB233" s="33"/>
      <c r="AC233" s="33"/>
      <c r="AD233" s="33">
        <f>Ruimtestaat[[#This Row],[uren / jaar weekend]]*Tariefsopbouw!$D$40</f>
        <v>0</v>
      </c>
      <c r="AE233" s="88">
        <f>Ruimtestaat[[#This Row],[Prest. (m2 /jaar) weekend]]+Ruimtestaat[[#This Row],[Prest. (m2 /jaar) werkdagen]]</f>
        <v>13519.999999999998</v>
      </c>
      <c r="AF233" s="88">
        <f>Ruimtestaat[[#This Row],[uren / jaar weekend]]+Ruimtestaat[[#This Row],[uren / jaar werkdagen]]</f>
        <v>135.19999999999999</v>
      </c>
      <c r="AG233" s="89">
        <f>Ruimtestaat[[#This Row],[kosten / jaar weekend]]+Ruimtestaat[[#This Row],[kosten / jaar werkdagen]]</f>
        <v>3379.9999999999995</v>
      </c>
    </row>
    <row r="234" spans="1:33" ht="15" customHeight="1">
      <c r="A234" s="195">
        <v>3</v>
      </c>
      <c r="B234" s="195" t="str">
        <f>VLOOKUP(Ruimtestaat[[#This Row],[Code]],Locaties[#All],2,FALSE)</f>
        <v>Lichtenvoorde gebouw 1</v>
      </c>
      <c r="C234" s="241" t="str">
        <f>VLOOKUP(Ruimtestaat[[#This Row],[Code]],Locaties[#All],4,FALSE)</f>
        <v>Dr Ariensstraat 1</v>
      </c>
      <c r="D234" s="241" t="str">
        <f>VLOOKUP(Ruimtestaat[[#This Row],[Code]],Locaties[#All],5,FALSE)</f>
        <v>7131 XM </v>
      </c>
      <c r="E234" s="241" t="str">
        <f>VLOOKUP(Ruimtestaat[[#This Row],[Code]],Locaties[#All],6,FALSE)</f>
        <v>Lichtenvoorde</v>
      </c>
      <c r="F234" s="195"/>
      <c r="G234" s="195" t="s">
        <v>772</v>
      </c>
      <c r="H234" s="195">
        <v>196</v>
      </c>
      <c r="I234" s="242" t="s">
        <v>395</v>
      </c>
      <c r="J234" s="195">
        <v>16</v>
      </c>
      <c r="K234" s="260" t="str">
        <f>VLOOKUP(Ruimtestaat[[#This Row],[Ruimte code]],Ruimtegroepen[#All],2,FALSE)</f>
        <v>Lokaal</v>
      </c>
      <c r="L234" s="195" t="s">
        <v>109</v>
      </c>
      <c r="M234" s="195" t="s">
        <v>38</v>
      </c>
      <c r="N234" s="197">
        <v>101.4</v>
      </c>
      <c r="O234" s="209"/>
      <c r="P234" s="241" t="str">
        <f>VLOOKUP(Ruimtestaat[[#This Row],[Ruimte code]],Ruimtegroepen[#All],4,FALSE)</f>
        <v>L  (Lesruimte)</v>
      </c>
      <c r="Q234" s="210"/>
      <c r="R234" s="211">
        <v>40</v>
      </c>
      <c r="S234" s="211" t="s">
        <v>2</v>
      </c>
      <c r="T234" s="211">
        <f>IF(R234&gt;0,IF(RIGHT(Ruimtestaat[[#This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234" s="211">
        <f>IF(T234&gt;0,VLOOKUP($J234,Ruimtegroepen[],3,FALSE)*VLOOKUP($L234,Vloersoorten[],3,FALSE)*VLOOKUP($S234,Frequenties[],3,FALSE)*VLOOKUP($A234,Locaties[],3,FALSE),0)</f>
        <v>100</v>
      </c>
      <c r="V234" s="211">
        <f>Ruimtestaat[[#This Row],[Uitvoeringen werkdagen]]*Ruimtestaat[[#This Row],[Oppervlak (netto)]]</f>
        <v>20280</v>
      </c>
      <c r="W234" s="257">
        <f>IF(U234&gt;0,Ruimtestaat[[#This Row],[Prest. (m2 /jaar) werkdagen]]/Ruimtestaat[[#This Row],[Norm (m2/uur) werkdagen]],0)</f>
        <v>202.8</v>
      </c>
      <c r="X234" s="258">
        <f>Ruimtestaat[[#This Row],[uren / jaar werkdagen]]*Tariefsopbouw!$D$38</f>
        <v>5070</v>
      </c>
      <c r="Y234" s="33"/>
      <c r="Z234" s="33">
        <f>IF(Ruimtestaat[[#This Row],[Frequentie weekend]]&gt;0,VALUE(LEFT(Y234,1))*R234,0)</f>
        <v>0</v>
      </c>
      <c r="AA234" s="33">
        <f>IF($Z234&gt;0,VLOOKUP($J234,Ruimtegroepen[],3,FALSE)*VLOOKUP($L234,Vloersoorten[],3,FALSE)*VLOOKUP($Y234,Frequenties[],3,FALSE)*VLOOKUP(#REF!,Locaties[],3,FALSE),0)</f>
        <v>0</v>
      </c>
      <c r="AB234" s="33"/>
      <c r="AC234" s="33"/>
      <c r="AD234" s="33">
        <f>Ruimtestaat[[#This Row],[uren / jaar weekend]]*Tariefsopbouw!$D$40</f>
        <v>0</v>
      </c>
      <c r="AE234" s="88">
        <f>Ruimtestaat[[#This Row],[Prest. (m2 /jaar) weekend]]+Ruimtestaat[[#This Row],[Prest. (m2 /jaar) werkdagen]]</f>
        <v>20280</v>
      </c>
      <c r="AF234" s="88">
        <f>Ruimtestaat[[#This Row],[uren / jaar weekend]]+Ruimtestaat[[#This Row],[uren / jaar werkdagen]]</f>
        <v>202.8</v>
      </c>
      <c r="AG234" s="89">
        <f>Ruimtestaat[[#This Row],[kosten / jaar weekend]]+Ruimtestaat[[#This Row],[kosten / jaar werkdagen]]</f>
        <v>5070</v>
      </c>
    </row>
    <row r="235" spans="1:33" ht="15" customHeight="1">
      <c r="A235" s="195">
        <v>3</v>
      </c>
      <c r="B235" s="195" t="str">
        <f>VLOOKUP(Ruimtestaat[[#This Row],[Code]],Locaties[#All],2,FALSE)</f>
        <v>Lichtenvoorde gebouw 1</v>
      </c>
      <c r="C235" s="241" t="str">
        <f>VLOOKUP(Ruimtestaat[[#This Row],[Code]],Locaties[#All],4,FALSE)</f>
        <v>Dr Ariensstraat 1</v>
      </c>
      <c r="D235" s="241" t="str">
        <f>VLOOKUP(Ruimtestaat[[#This Row],[Code]],Locaties[#All],5,FALSE)</f>
        <v>7131 XM </v>
      </c>
      <c r="E235" s="241" t="str">
        <f>VLOOKUP(Ruimtestaat[[#This Row],[Code]],Locaties[#All],6,FALSE)</f>
        <v>Lichtenvoorde</v>
      </c>
      <c r="F235" s="195"/>
      <c r="G235" s="195" t="s">
        <v>772</v>
      </c>
      <c r="H235" s="195">
        <v>197</v>
      </c>
      <c r="I235" s="242" t="s">
        <v>639</v>
      </c>
      <c r="J235" s="241">
        <v>6</v>
      </c>
      <c r="K235" s="260" t="str">
        <f>VLOOKUP(Ruimtestaat[[#This Row],[Ruimte code]],Ruimtegroepen[#All],2,FALSE)</f>
        <v>Gangen/hallen</v>
      </c>
      <c r="L235" s="195" t="s">
        <v>112</v>
      </c>
      <c r="M235" s="195" t="s">
        <v>130</v>
      </c>
      <c r="N235" s="197">
        <v>96.1</v>
      </c>
      <c r="O235" s="209"/>
      <c r="P235" s="241" t="str">
        <f>VLOOKUP(Ruimtestaat[[#This Row],[Ruimte code]],Ruimtegroepen[#All],4,FALSE)</f>
        <v>V  (Verkeersruimte)</v>
      </c>
      <c r="Q235" s="210"/>
      <c r="R235" s="211">
        <v>40</v>
      </c>
      <c r="S235" s="211" t="s">
        <v>2</v>
      </c>
      <c r="T235" s="211">
        <f>IF(R235&gt;0,IF(RIGHT(Ruimtestaat[[#This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235" s="211">
        <f>IF(T235&gt;0,VLOOKUP($J235,Ruimtegroepen[],3,FALSE)*VLOOKUP($L235,Vloersoorten[],3,FALSE)*VLOOKUP($S235,Frequenties[],3,FALSE)*VLOOKUP($A235,Locaties[],3,FALSE),0)</f>
        <v>100</v>
      </c>
      <c r="V235" s="211">
        <f>Ruimtestaat[[#This Row],[Uitvoeringen werkdagen]]*Ruimtestaat[[#This Row],[Oppervlak (netto)]]</f>
        <v>19220</v>
      </c>
      <c r="W235" s="257">
        <f>IF(U235&gt;0,Ruimtestaat[[#This Row],[Prest. (m2 /jaar) werkdagen]]/Ruimtestaat[[#This Row],[Norm (m2/uur) werkdagen]],0)</f>
        <v>192.2</v>
      </c>
      <c r="X235" s="258">
        <f>Ruimtestaat[[#This Row],[uren / jaar werkdagen]]*Tariefsopbouw!$D$38</f>
        <v>4805</v>
      </c>
      <c r="Y235" s="33"/>
      <c r="Z235" s="33">
        <f>IF(Ruimtestaat[[#This Row],[Frequentie weekend]]&gt;0,VALUE(LEFT(Y235,1))*R235,0)</f>
        <v>0</v>
      </c>
      <c r="AA235" s="33">
        <f>IF($Z235&gt;0,VLOOKUP($J235,Ruimtegroepen[],3,FALSE)*VLOOKUP($L235,Vloersoorten[],3,FALSE)*VLOOKUP($Y235,Frequenties[],3,FALSE)*VLOOKUP(#REF!,Locaties[],3,FALSE),0)</f>
        <v>0</v>
      </c>
      <c r="AB235" s="33"/>
      <c r="AC235" s="33"/>
      <c r="AD235" s="33">
        <f>Ruimtestaat[[#This Row],[uren / jaar weekend]]*Tariefsopbouw!$D$40</f>
        <v>0</v>
      </c>
      <c r="AE235" s="88">
        <f>Ruimtestaat[[#This Row],[Prest. (m2 /jaar) weekend]]+Ruimtestaat[[#This Row],[Prest. (m2 /jaar) werkdagen]]</f>
        <v>19220</v>
      </c>
      <c r="AF235" s="88">
        <f>Ruimtestaat[[#This Row],[uren / jaar weekend]]+Ruimtestaat[[#This Row],[uren / jaar werkdagen]]</f>
        <v>192.2</v>
      </c>
      <c r="AG235" s="89">
        <f>Ruimtestaat[[#This Row],[kosten / jaar weekend]]+Ruimtestaat[[#This Row],[kosten / jaar werkdagen]]</f>
        <v>4805</v>
      </c>
    </row>
    <row r="236" spans="1:33" ht="15" customHeight="1">
      <c r="A236" s="195">
        <v>3</v>
      </c>
      <c r="B236" s="195" t="str">
        <f>VLOOKUP(Ruimtestaat[[#This Row],[Code]],Locaties[#All],2,FALSE)</f>
        <v>Lichtenvoorde gebouw 1</v>
      </c>
      <c r="C236" s="241" t="str">
        <f>VLOOKUP(Ruimtestaat[[#This Row],[Code]],Locaties[#All],4,FALSE)</f>
        <v>Dr Ariensstraat 1</v>
      </c>
      <c r="D236" s="241" t="str">
        <f>VLOOKUP(Ruimtestaat[[#This Row],[Code]],Locaties[#All],5,FALSE)</f>
        <v>7131 XM </v>
      </c>
      <c r="E236" s="241" t="str">
        <f>VLOOKUP(Ruimtestaat[[#This Row],[Code]],Locaties[#All],6,FALSE)</f>
        <v>Lichtenvoorde</v>
      </c>
      <c r="F236" s="195"/>
      <c r="G236" s="195" t="s">
        <v>772</v>
      </c>
      <c r="H236" s="195">
        <v>198</v>
      </c>
      <c r="I236" s="242" t="s">
        <v>395</v>
      </c>
      <c r="J236" s="195">
        <v>16</v>
      </c>
      <c r="K236" s="260" t="str">
        <f>VLOOKUP(Ruimtestaat[[#This Row],[Ruimte code]],Ruimtegroepen[#All],2,FALSE)</f>
        <v>Lokaal</v>
      </c>
      <c r="L236" s="195" t="s">
        <v>109</v>
      </c>
      <c r="M236" s="195" t="s">
        <v>38</v>
      </c>
      <c r="N236" s="197">
        <v>65</v>
      </c>
      <c r="O236" s="209"/>
      <c r="P236" s="241" t="str">
        <f>VLOOKUP(Ruimtestaat[[#This Row],[Ruimte code]],Ruimtegroepen[#All],4,FALSE)</f>
        <v>L  (Lesruimte)</v>
      </c>
      <c r="Q236" s="210"/>
      <c r="R236" s="211">
        <v>40</v>
      </c>
      <c r="S236" s="211" t="s">
        <v>2</v>
      </c>
      <c r="T236" s="211">
        <f>IF(R236&gt;0,IF(RIGHT(Ruimtestaat[[#This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236" s="211">
        <f>IF(T236&gt;0,VLOOKUP($J236,Ruimtegroepen[],3,FALSE)*VLOOKUP($L236,Vloersoorten[],3,FALSE)*VLOOKUP($S236,Frequenties[],3,FALSE)*VLOOKUP($A236,Locaties[],3,FALSE),0)</f>
        <v>100</v>
      </c>
      <c r="V236" s="211">
        <f>Ruimtestaat[[#This Row],[Uitvoeringen werkdagen]]*Ruimtestaat[[#This Row],[Oppervlak (netto)]]</f>
        <v>13000</v>
      </c>
      <c r="W236" s="257">
        <f>IF(U236&gt;0,Ruimtestaat[[#This Row],[Prest. (m2 /jaar) werkdagen]]/Ruimtestaat[[#This Row],[Norm (m2/uur) werkdagen]],0)</f>
        <v>130</v>
      </c>
      <c r="X236" s="258">
        <f>Ruimtestaat[[#This Row],[uren / jaar werkdagen]]*Tariefsopbouw!$D$38</f>
        <v>3250</v>
      </c>
      <c r="Y236" s="33"/>
      <c r="Z236" s="33">
        <f>IF(Ruimtestaat[[#This Row],[Frequentie weekend]]&gt;0,VALUE(LEFT(Y236,1))*R236,0)</f>
        <v>0</v>
      </c>
      <c r="AA236" s="33">
        <f>IF($Z236&gt;0,VLOOKUP($J236,Ruimtegroepen[],3,FALSE)*VLOOKUP($L236,Vloersoorten[],3,FALSE)*VLOOKUP($Y236,Frequenties[],3,FALSE)*VLOOKUP(#REF!,Locaties[],3,FALSE),0)</f>
        <v>0</v>
      </c>
      <c r="AB236" s="33"/>
      <c r="AC236" s="33"/>
      <c r="AD236" s="33">
        <f>Ruimtestaat[[#This Row],[uren / jaar weekend]]*Tariefsopbouw!$D$40</f>
        <v>0</v>
      </c>
      <c r="AE236" s="88">
        <f>Ruimtestaat[[#This Row],[Prest. (m2 /jaar) weekend]]+Ruimtestaat[[#This Row],[Prest. (m2 /jaar) werkdagen]]</f>
        <v>13000</v>
      </c>
      <c r="AF236" s="88">
        <f>Ruimtestaat[[#This Row],[uren / jaar weekend]]+Ruimtestaat[[#This Row],[uren / jaar werkdagen]]</f>
        <v>130</v>
      </c>
      <c r="AG236" s="89">
        <f>Ruimtestaat[[#This Row],[kosten / jaar weekend]]+Ruimtestaat[[#This Row],[kosten / jaar werkdagen]]</f>
        <v>3250</v>
      </c>
    </row>
    <row r="237" spans="1:33" ht="15" customHeight="1">
      <c r="A237" s="195">
        <v>3</v>
      </c>
      <c r="B237" s="195" t="str">
        <f>VLOOKUP(Ruimtestaat[[#This Row],[Code]],Locaties[#All],2,FALSE)</f>
        <v>Lichtenvoorde gebouw 1</v>
      </c>
      <c r="C237" s="241" t="str">
        <f>VLOOKUP(Ruimtestaat[[#This Row],[Code]],Locaties[#All],4,FALSE)</f>
        <v>Dr Ariensstraat 1</v>
      </c>
      <c r="D237" s="241" t="str">
        <f>VLOOKUP(Ruimtestaat[[#This Row],[Code]],Locaties[#All],5,FALSE)</f>
        <v>7131 XM </v>
      </c>
      <c r="E237" s="241" t="str">
        <f>VLOOKUP(Ruimtestaat[[#This Row],[Code]],Locaties[#All],6,FALSE)</f>
        <v>Lichtenvoorde</v>
      </c>
      <c r="F237" s="195"/>
      <c r="G237" s="195" t="s">
        <v>772</v>
      </c>
      <c r="H237" s="195">
        <v>199</v>
      </c>
      <c r="I237" s="242" t="s">
        <v>395</v>
      </c>
      <c r="J237" s="195">
        <v>16</v>
      </c>
      <c r="K237" s="260" t="str">
        <f>VLOOKUP(Ruimtestaat[[#This Row],[Ruimte code]],Ruimtegroepen[#All],2,FALSE)</f>
        <v>Lokaal</v>
      </c>
      <c r="L237" s="195" t="s">
        <v>109</v>
      </c>
      <c r="M237" s="195" t="s">
        <v>38</v>
      </c>
      <c r="N237" s="197">
        <v>43.4</v>
      </c>
      <c r="O237" s="209"/>
      <c r="P237" s="241" t="str">
        <f>VLOOKUP(Ruimtestaat[[#This Row],[Ruimte code]],Ruimtegroepen[#All],4,FALSE)</f>
        <v>L  (Lesruimte)</v>
      </c>
      <c r="Q237" s="210"/>
      <c r="R237" s="211">
        <v>40</v>
      </c>
      <c r="S237" s="211" t="s">
        <v>2</v>
      </c>
      <c r="T237" s="211">
        <f>IF(R237&gt;0,IF(RIGHT(Ruimtestaat[[#This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237" s="211">
        <f>IF(T237&gt;0,VLOOKUP($J237,Ruimtegroepen[],3,FALSE)*VLOOKUP($L237,Vloersoorten[],3,FALSE)*VLOOKUP($S237,Frequenties[],3,FALSE)*VLOOKUP($A237,Locaties[],3,FALSE),0)</f>
        <v>100</v>
      </c>
      <c r="V237" s="211">
        <f>Ruimtestaat[[#This Row],[Uitvoeringen werkdagen]]*Ruimtestaat[[#This Row],[Oppervlak (netto)]]</f>
        <v>8680</v>
      </c>
      <c r="W237" s="257">
        <f>IF(U237&gt;0,Ruimtestaat[[#This Row],[Prest. (m2 /jaar) werkdagen]]/Ruimtestaat[[#This Row],[Norm (m2/uur) werkdagen]],0)</f>
        <v>86.8</v>
      </c>
      <c r="X237" s="258">
        <f>Ruimtestaat[[#This Row],[uren / jaar werkdagen]]*Tariefsopbouw!$D$38</f>
        <v>2170</v>
      </c>
      <c r="Y237" s="33"/>
      <c r="Z237" s="33">
        <f>IF(Ruimtestaat[[#This Row],[Frequentie weekend]]&gt;0,VALUE(LEFT(Y237,1))*R237,0)</f>
        <v>0</v>
      </c>
      <c r="AA237" s="33">
        <f>IF($Z237&gt;0,VLOOKUP($J237,Ruimtegroepen[],3,FALSE)*VLOOKUP($L237,Vloersoorten[],3,FALSE)*VLOOKUP($Y237,Frequenties[],3,FALSE)*VLOOKUP(#REF!,Locaties[],3,FALSE),0)</f>
        <v>0</v>
      </c>
      <c r="AB237" s="33"/>
      <c r="AC237" s="33"/>
      <c r="AD237" s="33">
        <f>Ruimtestaat[[#This Row],[uren / jaar weekend]]*Tariefsopbouw!$D$40</f>
        <v>0</v>
      </c>
      <c r="AE237" s="88">
        <f>Ruimtestaat[[#This Row],[Prest. (m2 /jaar) weekend]]+Ruimtestaat[[#This Row],[Prest. (m2 /jaar) werkdagen]]</f>
        <v>8680</v>
      </c>
      <c r="AF237" s="88">
        <f>Ruimtestaat[[#This Row],[uren / jaar weekend]]+Ruimtestaat[[#This Row],[uren / jaar werkdagen]]</f>
        <v>86.8</v>
      </c>
      <c r="AG237" s="89">
        <f>Ruimtestaat[[#This Row],[kosten / jaar weekend]]+Ruimtestaat[[#This Row],[kosten / jaar werkdagen]]</f>
        <v>2170</v>
      </c>
    </row>
    <row r="238" spans="1:33" ht="15" customHeight="1">
      <c r="A238" s="195">
        <v>3</v>
      </c>
      <c r="B238" s="195" t="str">
        <f>VLOOKUP(Ruimtestaat[[#This Row],[Code]],Locaties[#All],2,FALSE)</f>
        <v>Lichtenvoorde gebouw 1</v>
      </c>
      <c r="C238" s="241" t="str">
        <f>VLOOKUP(Ruimtestaat[[#This Row],[Code]],Locaties[#All],4,FALSE)</f>
        <v>Dr Ariensstraat 1</v>
      </c>
      <c r="D238" s="241" t="str">
        <f>VLOOKUP(Ruimtestaat[[#This Row],[Code]],Locaties[#All],5,FALSE)</f>
        <v>7131 XM </v>
      </c>
      <c r="E238" s="241" t="str">
        <f>VLOOKUP(Ruimtestaat[[#This Row],[Code]],Locaties[#All],6,FALSE)</f>
        <v>Lichtenvoorde</v>
      </c>
      <c r="F238" s="195"/>
      <c r="G238" s="195" t="s">
        <v>773</v>
      </c>
      <c r="H238" s="195">
        <v>202</v>
      </c>
      <c r="I238" s="242" t="s">
        <v>395</v>
      </c>
      <c r="J238" s="195">
        <v>16</v>
      </c>
      <c r="K238" s="260" t="str">
        <f>VLOOKUP(Ruimtestaat[[#This Row],[Ruimte code]],Ruimtegroepen[#All],2,FALSE)</f>
        <v>Lokaal</v>
      </c>
      <c r="L238" s="211" t="s">
        <v>109</v>
      </c>
      <c r="M238" s="195" t="s">
        <v>38</v>
      </c>
      <c r="N238" s="197">
        <v>185.5</v>
      </c>
      <c r="O238" s="209"/>
      <c r="P238" s="241" t="str">
        <f>VLOOKUP(Ruimtestaat[[#This Row],[Ruimte code]],Ruimtegroepen[#All],4,FALSE)</f>
        <v>L  (Lesruimte)</v>
      </c>
      <c r="Q238" s="210"/>
      <c r="R238" s="211">
        <v>40</v>
      </c>
      <c r="S238" s="211" t="s">
        <v>2</v>
      </c>
      <c r="T238" s="211">
        <f>IF(R238&gt;0,IF(RIGHT(Ruimtestaat[[#This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238" s="211">
        <f>IF(T238&gt;0,VLOOKUP($J238,Ruimtegroepen[],3,FALSE)*VLOOKUP($L238,Vloersoorten[],3,FALSE)*VLOOKUP($S238,Frequenties[],3,FALSE)*VLOOKUP($A238,Locaties[],3,FALSE),0)</f>
        <v>100</v>
      </c>
      <c r="V238" s="211">
        <f>Ruimtestaat[[#This Row],[Uitvoeringen werkdagen]]*Ruimtestaat[[#This Row],[Oppervlak (netto)]]</f>
        <v>37100</v>
      </c>
      <c r="W238" s="257">
        <f>IF(U238&gt;0,Ruimtestaat[[#This Row],[Prest. (m2 /jaar) werkdagen]]/Ruimtestaat[[#This Row],[Norm (m2/uur) werkdagen]],0)</f>
        <v>371</v>
      </c>
      <c r="X238" s="258">
        <f>Ruimtestaat[[#This Row],[uren / jaar werkdagen]]*Tariefsopbouw!$D$38</f>
        <v>9275</v>
      </c>
      <c r="Y238" s="33"/>
      <c r="Z238" s="33">
        <f>IF(Ruimtestaat[[#This Row],[Frequentie weekend]]&gt;0,VALUE(LEFT(Y238,1))*R238,0)</f>
        <v>0</v>
      </c>
      <c r="AA238" s="33">
        <f>IF($Z238&gt;0,VLOOKUP($J238,Ruimtegroepen[],3,FALSE)*VLOOKUP($L238,Vloersoorten[],3,FALSE)*VLOOKUP($Y238,Frequenties[],3,FALSE)*VLOOKUP(#REF!,Locaties[],3,FALSE),0)</f>
        <v>0</v>
      </c>
      <c r="AB238" s="33"/>
      <c r="AC238" s="33"/>
      <c r="AD238" s="33">
        <f>Ruimtestaat[[#This Row],[uren / jaar weekend]]*Tariefsopbouw!$D$40</f>
        <v>0</v>
      </c>
      <c r="AE238" s="88">
        <f>Ruimtestaat[[#This Row],[Prest. (m2 /jaar) weekend]]+Ruimtestaat[[#This Row],[Prest. (m2 /jaar) werkdagen]]</f>
        <v>37100</v>
      </c>
      <c r="AF238" s="88">
        <f>Ruimtestaat[[#This Row],[uren / jaar weekend]]+Ruimtestaat[[#This Row],[uren / jaar werkdagen]]</f>
        <v>371</v>
      </c>
      <c r="AG238" s="89">
        <f>Ruimtestaat[[#This Row],[kosten / jaar weekend]]+Ruimtestaat[[#This Row],[kosten / jaar werkdagen]]</f>
        <v>9275</v>
      </c>
    </row>
    <row r="239" spans="1:33" ht="15" customHeight="1">
      <c r="A239" s="195">
        <v>3</v>
      </c>
      <c r="B239" s="195" t="str">
        <f>VLOOKUP(Ruimtestaat[[#This Row],[Code]],Locaties[#All],2,FALSE)</f>
        <v>Lichtenvoorde gebouw 1</v>
      </c>
      <c r="C239" s="241" t="str">
        <f>VLOOKUP(Ruimtestaat[[#This Row],[Code]],Locaties[#All],4,FALSE)</f>
        <v>Dr Ariensstraat 1</v>
      </c>
      <c r="D239" s="241" t="str">
        <f>VLOOKUP(Ruimtestaat[[#This Row],[Code]],Locaties[#All],5,FALSE)</f>
        <v>7131 XM </v>
      </c>
      <c r="E239" s="241" t="str">
        <f>VLOOKUP(Ruimtestaat[[#This Row],[Code]],Locaties[#All],6,FALSE)</f>
        <v>Lichtenvoorde</v>
      </c>
      <c r="F239" s="195"/>
      <c r="G239" s="195" t="s">
        <v>773</v>
      </c>
      <c r="H239" s="195">
        <v>203</v>
      </c>
      <c r="I239" s="242" t="s">
        <v>395</v>
      </c>
      <c r="J239" s="241">
        <v>16</v>
      </c>
      <c r="K239" s="260" t="str">
        <f>VLOOKUP(Ruimtestaat[[#This Row],[Ruimte code]],Ruimtegroepen[#All],2,FALSE)</f>
        <v>Lokaal</v>
      </c>
      <c r="L239" s="211" t="s">
        <v>109</v>
      </c>
      <c r="M239" s="195" t="s">
        <v>38</v>
      </c>
      <c r="N239" s="197">
        <v>33.4</v>
      </c>
      <c r="O239" s="209"/>
      <c r="P239" s="241" t="str">
        <f>VLOOKUP(Ruimtestaat[[#This Row],[Ruimte code]],Ruimtegroepen[#All],4,FALSE)</f>
        <v>L  (Lesruimte)</v>
      </c>
      <c r="Q239" s="210"/>
      <c r="R239" s="211">
        <v>40</v>
      </c>
      <c r="S239" s="211" t="s">
        <v>2</v>
      </c>
      <c r="T239" s="211">
        <f>IF(R239&gt;0,IF(RIGHT(Ruimtestaat[[#This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239" s="211">
        <f>IF(T239&gt;0,VLOOKUP($J239,Ruimtegroepen[],3,FALSE)*VLOOKUP($L239,Vloersoorten[],3,FALSE)*VLOOKUP($S239,Frequenties[],3,FALSE)*VLOOKUP($A239,Locaties[],3,FALSE),0)</f>
        <v>100</v>
      </c>
      <c r="V239" s="211">
        <f>Ruimtestaat[[#This Row],[Uitvoeringen werkdagen]]*Ruimtestaat[[#This Row],[Oppervlak (netto)]]</f>
        <v>6680</v>
      </c>
      <c r="W239" s="257">
        <f>IF(U239&gt;0,Ruimtestaat[[#This Row],[Prest. (m2 /jaar) werkdagen]]/Ruimtestaat[[#This Row],[Norm (m2/uur) werkdagen]],0)</f>
        <v>66.8</v>
      </c>
      <c r="X239" s="258">
        <f>Ruimtestaat[[#This Row],[uren / jaar werkdagen]]*Tariefsopbouw!$D$38</f>
        <v>1670</v>
      </c>
      <c r="Y239" s="33"/>
      <c r="Z239" s="33">
        <f>IF(Ruimtestaat[[#This Row],[Frequentie weekend]]&gt;0,VALUE(LEFT(Y239,1))*R239,0)</f>
        <v>0</v>
      </c>
      <c r="AA239" s="33">
        <f>IF($Z239&gt;0,VLOOKUP($J239,Ruimtegroepen[],3,FALSE)*VLOOKUP($L239,Vloersoorten[],3,FALSE)*VLOOKUP($Y239,Frequenties[],3,FALSE)*VLOOKUP(#REF!,Locaties[],3,FALSE),0)</f>
        <v>0</v>
      </c>
      <c r="AB239" s="33"/>
      <c r="AC239" s="33"/>
      <c r="AD239" s="33">
        <f>Ruimtestaat[[#This Row],[uren / jaar weekend]]*Tariefsopbouw!$D$40</f>
        <v>0</v>
      </c>
      <c r="AE239" s="88">
        <f>Ruimtestaat[[#This Row],[Prest. (m2 /jaar) weekend]]+Ruimtestaat[[#This Row],[Prest. (m2 /jaar) werkdagen]]</f>
        <v>6680</v>
      </c>
      <c r="AF239" s="88">
        <f>Ruimtestaat[[#This Row],[uren / jaar weekend]]+Ruimtestaat[[#This Row],[uren / jaar werkdagen]]</f>
        <v>66.8</v>
      </c>
      <c r="AG239" s="89">
        <f>Ruimtestaat[[#This Row],[kosten / jaar weekend]]+Ruimtestaat[[#This Row],[kosten / jaar werkdagen]]</f>
        <v>1670</v>
      </c>
    </row>
    <row r="240" spans="1:33" ht="15" customHeight="1">
      <c r="A240" s="195">
        <v>3</v>
      </c>
      <c r="B240" s="195" t="str">
        <f>VLOOKUP(Ruimtestaat[[#This Row],[Code]],Locaties[#All],2,FALSE)</f>
        <v>Lichtenvoorde gebouw 1</v>
      </c>
      <c r="C240" s="241" t="str">
        <f>VLOOKUP(Ruimtestaat[[#This Row],[Code]],Locaties[#All],4,FALSE)</f>
        <v>Dr Ariensstraat 1</v>
      </c>
      <c r="D240" s="241" t="str">
        <f>VLOOKUP(Ruimtestaat[[#This Row],[Code]],Locaties[#All],5,FALSE)</f>
        <v>7131 XM </v>
      </c>
      <c r="E240" s="241" t="str">
        <f>VLOOKUP(Ruimtestaat[[#This Row],[Code]],Locaties[#All],6,FALSE)</f>
        <v>Lichtenvoorde</v>
      </c>
      <c r="F240" s="195"/>
      <c r="G240" s="195" t="s">
        <v>773</v>
      </c>
      <c r="H240" s="195">
        <v>204</v>
      </c>
      <c r="I240" s="242" t="s">
        <v>827</v>
      </c>
      <c r="J240" s="195">
        <v>20</v>
      </c>
      <c r="K240" s="260" t="str">
        <f>VLOOKUP(Ruimtestaat[[#This Row],[Ruimte code]],Ruimtegroepen[#All],2,FALSE)</f>
        <v>Beroepspraktijklokalen</v>
      </c>
      <c r="L240" s="241" t="s">
        <v>109</v>
      </c>
      <c r="M240" s="195" t="s">
        <v>38</v>
      </c>
      <c r="N240" s="197">
        <v>272.39999999999998</v>
      </c>
      <c r="O240" s="209"/>
      <c r="P240" s="241" t="str">
        <f>VLOOKUP(Ruimtestaat[[#This Row],[Ruimte code]],Ruimtegroepen[#All],4,FALSE)</f>
        <v>L  (Lesruimte)</v>
      </c>
      <c r="Q240" s="210"/>
      <c r="R240" s="211">
        <v>40</v>
      </c>
      <c r="S240" s="211" t="s">
        <v>2</v>
      </c>
      <c r="T240" s="211">
        <f>IF(R240&gt;0,IF(RIGHT(Ruimtestaat[[#This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240" s="211">
        <f>IF(T240&gt;0,VLOOKUP($J240,Ruimtegroepen[],3,FALSE)*VLOOKUP($L240,Vloersoorten[],3,FALSE)*VLOOKUP($S240,Frequenties[],3,FALSE)*VLOOKUP($A240,Locaties[],3,FALSE),0)</f>
        <v>100</v>
      </c>
      <c r="V240" s="211">
        <f>Ruimtestaat[[#This Row],[Uitvoeringen werkdagen]]*Ruimtestaat[[#This Row],[Oppervlak (netto)]]</f>
        <v>54479.999999999993</v>
      </c>
      <c r="W240" s="257">
        <f>IF(U240&gt;0,Ruimtestaat[[#This Row],[Prest. (m2 /jaar) werkdagen]]/Ruimtestaat[[#This Row],[Norm (m2/uur) werkdagen]],0)</f>
        <v>544.79999999999995</v>
      </c>
      <c r="X240" s="258">
        <f>Ruimtestaat[[#This Row],[uren / jaar werkdagen]]*Tariefsopbouw!$D$38</f>
        <v>13619.999999999998</v>
      </c>
      <c r="Y240" s="33"/>
      <c r="Z240" s="33">
        <f>IF(Ruimtestaat[[#This Row],[Frequentie weekend]]&gt;0,VALUE(LEFT(Y240,1))*R240,0)</f>
        <v>0</v>
      </c>
      <c r="AA240" s="33">
        <f>IF($Z240&gt;0,VLOOKUP($J240,Ruimtegroepen[],3,FALSE)*VLOOKUP($L240,Vloersoorten[],3,FALSE)*VLOOKUP($Y240,Frequenties[],3,FALSE)*VLOOKUP(#REF!,Locaties[],3,FALSE),0)</f>
        <v>0</v>
      </c>
      <c r="AB240" s="33"/>
      <c r="AC240" s="33"/>
      <c r="AD240" s="33">
        <f>Ruimtestaat[[#This Row],[uren / jaar weekend]]*Tariefsopbouw!$D$40</f>
        <v>0</v>
      </c>
      <c r="AE240" s="88">
        <f>Ruimtestaat[[#This Row],[Prest. (m2 /jaar) weekend]]+Ruimtestaat[[#This Row],[Prest. (m2 /jaar) werkdagen]]</f>
        <v>54479.999999999993</v>
      </c>
      <c r="AF240" s="88">
        <f>Ruimtestaat[[#This Row],[uren / jaar weekend]]+Ruimtestaat[[#This Row],[uren / jaar werkdagen]]</f>
        <v>544.79999999999995</v>
      </c>
      <c r="AG240" s="89">
        <f>Ruimtestaat[[#This Row],[kosten / jaar weekend]]+Ruimtestaat[[#This Row],[kosten / jaar werkdagen]]</f>
        <v>13619.999999999998</v>
      </c>
    </row>
    <row r="241" spans="1:33" ht="15" customHeight="1">
      <c r="A241" s="195">
        <v>3</v>
      </c>
      <c r="B241" s="195" t="str">
        <f>VLOOKUP(Ruimtestaat[[#This Row],[Code]],Locaties[#All],2,FALSE)</f>
        <v>Lichtenvoorde gebouw 1</v>
      </c>
      <c r="C241" s="241" t="str">
        <f>VLOOKUP(Ruimtestaat[[#This Row],[Code]],Locaties[#All],4,FALSE)</f>
        <v>Dr Ariensstraat 1</v>
      </c>
      <c r="D241" s="241" t="str">
        <f>VLOOKUP(Ruimtestaat[[#This Row],[Code]],Locaties[#All],5,FALSE)</f>
        <v>7131 XM </v>
      </c>
      <c r="E241" s="241" t="str">
        <f>VLOOKUP(Ruimtestaat[[#This Row],[Code]],Locaties[#All],6,FALSE)</f>
        <v>Lichtenvoorde</v>
      </c>
      <c r="F241" s="195"/>
      <c r="G241" s="195" t="s">
        <v>773</v>
      </c>
      <c r="H241" s="195">
        <v>205</v>
      </c>
      <c r="I241" s="242" t="s">
        <v>449</v>
      </c>
      <c r="J241" s="195">
        <v>2</v>
      </c>
      <c r="K241" s="260" t="str">
        <f>VLOOKUP(Ruimtestaat[[#This Row],[Ruimte code]],Ruimtegroepen[#All],2,FALSE)</f>
        <v>Kantoren</v>
      </c>
      <c r="L241" s="211" t="s">
        <v>109</v>
      </c>
      <c r="M241" s="195" t="s">
        <v>38</v>
      </c>
      <c r="N241" s="197">
        <v>29.6</v>
      </c>
      <c r="O241" s="209"/>
      <c r="P241" s="241" t="str">
        <f>VLOOKUP(Ruimtestaat[[#This Row],[Ruimte code]],Ruimtegroepen[#All],4,FALSE)</f>
        <v>B  (Bureauruimte)</v>
      </c>
      <c r="Q241" s="210"/>
      <c r="R241" s="211">
        <v>40</v>
      </c>
      <c r="S241" s="211" t="s">
        <v>2</v>
      </c>
      <c r="T241" s="211">
        <f>IF(R241&gt;0,IF(RIGHT(Ruimtestaat[[#This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241" s="211">
        <f>IF(T241&gt;0,VLOOKUP($J241,Ruimtegroepen[],3,FALSE)*VLOOKUP($L241,Vloersoorten[],3,FALSE)*VLOOKUP($S241,Frequenties[],3,FALSE)*VLOOKUP($A241,Locaties[],3,FALSE),0)</f>
        <v>100</v>
      </c>
      <c r="V241" s="211">
        <f>Ruimtestaat[[#This Row],[Uitvoeringen werkdagen]]*Ruimtestaat[[#This Row],[Oppervlak (netto)]]</f>
        <v>5920</v>
      </c>
      <c r="W241" s="257">
        <f>IF(U241&gt;0,Ruimtestaat[[#This Row],[Prest. (m2 /jaar) werkdagen]]/Ruimtestaat[[#This Row],[Norm (m2/uur) werkdagen]],0)</f>
        <v>59.2</v>
      </c>
      <c r="X241" s="258">
        <f>Ruimtestaat[[#This Row],[uren / jaar werkdagen]]*Tariefsopbouw!$D$38</f>
        <v>1480</v>
      </c>
      <c r="Y241" s="33"/>
      <c r="Z241" s="33">
        <f>IF(Ruimtestaat[[#This Row],[Frequentie weekend]]&gt;0,VALUE(LEFT(Y241,1))*R241,0)</f>
        <v>0</v>
      </c>
      <c r="AA241" s="33">
        <f>IF($Z241&gt;0,VLOOKUP($J241,Ruimtegroepen[],3,FALSE)*VLOOKUP($L241,Vloersoorten[],3,FALSE)*VLOOKUP($Y241,Frequenties[],3,FALSE)*VLOOKUP(#REF!,Locaties[],3,FALSE),0)</f>
        <v>0</v>
      </c>
      <c r="AB241" s="33"/>
      <c r="AC241" s="33"/>
      <c r="AD241" s="33">
        <f>Ruimtestaat[[#This Row],[uren / jaar weekend]]*Tariefsopbouw!$D$40</f>
        <v>0</v>
      </c>
      <c r="AE241" s="88">
        <f>Ruimtestaat[[#This Row],[Prest. (m2 /jaar) weekend]]+Ruimtestaat[[#This Row],[Prest. (m2 /jaar) werkdagen]]</f>
        <v>5920</v>
      </c>
      <c r="AF241" s="88">
        <f>Ruimtestaat[[#This Row],[uren / jaar weekend]]+Ruimtestaat[[#This Row],[uren / jaar werkdagen]]</f>
        <v>59.2</v>
      </c>
      <c r="AG241" s="89">
        <f>Ruimtestaat[[#This Row],[kosten / jaar weekend]]+Ruimtestaat[[#This Row],[kosten / jaar werkdagen]]</f>
        <v>1480</v>
      </c>
    </row>
    <row r="242" spans="1:33" ht="15" customHeight="1">
      <c r="A242" s="195">
        <v>3</v>
      </c>
      <c r="B242" s="195" t="str">
        <f>VLOOKUP(Ruimtestaat[[#This Row],[Code]],Locaties[#All],2,FALSE)</f>
        <v>Lichtenvoorde gebouw 1</v>
      </c>
      <c r="C242" s="241" t="str">
        <f>VLOOKUP(Ruimtestaat[[#This Row],[Code]],Locaties[#All],4,FALSE)</f>
        <v>Dr Ariensstraat 1</v>
      </c>
      <c r="D242" s="241" t="str">
        <f>VLOOKUP(Ruimtestaat[[#This Row],[Code]],Locaties[#All],5,FALSE)</f>
        <v>7131 XM </v>
      </c>
      <c r="E242" s="241" t="str">
        <f>VLOOKUP(Ruimtestaat[[#This Row],[Code]],Locaties[#All],6,FALSE)</f>
        <v>Lichtenvoorde</v>
      </c>
      <c r="F242" s="195"/>
      <c r="G242" s="195" t="s">
        <v>773</v>
      </c>
      <c r="H242" s="195">
        <v>206</v>
      </c>
      <c r="I242" s="242" t="s">
        <v>449</v>
      </c>
      <c r="J242" s="195">
        <v>2</v>
      </c>
      <c r="K242" s="260" t="str">
        <f>VLOOKUP(Ruimtestaat[[#This Row],[Ruimte code]],Ruimtegroepen[#All],2,FALSE)</f>
        <v>Kantoren</v>
      </c>
      <c r="L242" s="211" t="s">
        <v>109</v>
      </c>
      <c r="M242" s="195" t="s">
        <v>38</v>
      </c>
      <c r="N242" s="197">
        <v>16.399999999999999</v>
      </c>
      <c r="O242" s="209"/>
      <c r="P242" s="241" t="str">
        <f>VLOOKUP(Ruimtestaat[[#This Row],[Ruimte code]],Ruimtegroepen[#All],4,FALSE)</f>
        <v>B  (Bureauruimte)</v>
      </c>
      <c r="Q242" s="210"/>
      <c r="R242" s="211">
        <v>40</v>
      </c>
      <c r="S242" s="211" t="s">
        <v>18</v>
      </c>
      <c r="T242" s="211">
        <f>IF(R242&gt;0,IF(RIGHT(Ruimtestaat[[#This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U242" s="211">
        <f>IF(T242&gt;0,VLOOKUP($J242,Ruimtegroepen[],3,FALSE)*VLOOKUP($L242,Vloersoorten[],3,FALSE)*VLOOKUP($S242,Frequenties[],3,FALSE)*VLOOKUP($A242,Locaties[],3,FALSE),0)</f>
        <v>100</v>
      </c>
      <c r="V242" s="211">
        <f>Ruimtestaat[[#This Row],[Uitvoeringen werkdagen]]*Ruimtestaat[[#This Row],[Oppervlak (netto)]]</f>
        <v>1967.9999999999998</v>
      </c>
      <c r="W242" s="257">
        <f>IF(U242&gt;0,Ruimtestaat[[#This Row],[Prest. (m2 /jaar) werkdagen]]/Ruimtestaat[[#This Row],[Norm (m2/uur) werkdagen]],0)</f>
        <v>19.679999999999996</v>
      </c>
      <c r="X242" s="258">
        <f>Ruimtestaat[[#This Row],[uren / jaar werkdagen]]*Tariefsopbouw!$D$38</f>
        <v>491.99999999999989</v>
      </c>
      <c r="Y242" s="33"/>
      <c r="Z242" s="33">
        <f>IF(Ruimtestaat[[#This Row],[Frequentie weekend]]&gt;0,VALUE(LEFT(Y242,1))*R242,0)</f>
        <v>0</v>
      </c>
      <c r="AA242" s="33">
        <f>IF($Z242&gt;0,VLOOKUP($J242,Ruimtegroepen[],3,FALSE)*VLOOKUP($L242,Vloersoorten[],3,FALSE)*VLOOKUP($Y242,Frequenties[],3,FALSE)*VLOOKUP(#REF!,Locaties[],3,FALSE),0)</f>
        <v>0</v>
      </c>
      <c r="AB242" s="33"/>
      <c r="AC242" s="33"/>
      <c r="AD242" s="33">
        <f>Ruimtestaat[[#This Row],[uren / jaar weekend]]*Tariefsopbouw!$D$40</f>
        <v>0</v>
      </c>
      <c r="AE242" s="88">
        <f>Ruimtestaat[[#This Row],[Prest. (m2 /jaar) weekend]]+Ruimtestaat[[#This Row],[Prest. (m2 /jaar) werkdagen]]</f>
        <v>1967.9999999999998</v>
      </c>
      <c r="AF242" s="88">
        <f>Ruimtestaat[[#This Row],[uren / jaar weekend]]+Ruimtestaat[[#This Row],[uren / jaar werkdagen]]</f>
        <v>19.679999999999996</v>
      </c>
      <c r="AG242" s="89">
        <f>Ruimtestaat[[#This Row],[kosten / jaar weekend]]+Ruimtestaat[[#This Row],[kosten / jaar werkdagen]]</f>
        <v>491.99999999999989</v>
      </c>
    </row>
    <row r="243" spans="1:33" ht="15" customHeight="1">
      <c r="A243" s="195">
        <v>3</v>
      </c>
      <c r="B243" s="195" t="str">
        <f>VLOOKUP(Ruimtestaat[[#This Row],[Code]],Locaties[#All],2,FALSE)</f>
        <v>Lichtenvoorde gebouw 1</v>
      </c>
      <c r="C243" s="241" t="str">
        <f>VLOOKUP(Ruimtestaat[[#This Row],[Code]],Locaties[#All],4,FALSE)</f>
        <v>Dr Ariensstraat 1</v>
      </c>
      <c r="D243" s="241" t="str">
        <f>VLOOKUP(Ruimtestaat[[#This Row],[Code]],Locaties[#All],5,FALSE)</f>
        <v>7131 XM </v>
      </c>
      <c r="E243" s="241" t="str">
        <f>VLOOKUP(Ruimtestaat[[#This Row],[Code]],Locaties[#All],6,FALSE)</f>
        <v>Lichtenvoorde</v>
      </c>
      <c r="F243" s="195"/>
      <c r="G243" s="195" t="s">
        <v>773</v>
      </c>
      <c r="H243" s="195">
        <v>207</v>
      </c>
      <c r="I243" s="242" t="s">
        <v>382</v>
      </c>
      <c r="J243" s="195">
        <v>10</v>
      </c>
      <c r="K243" s="260" t="str">
        <f>VLOOKUP(Ruimtestaat[[#This Row],[Ruimte code]],Ruimtegroepen[#All],2,FALSE)</f>
        <v>Trappenhuizen/lift</v>
      </c>
      <c r="L243" s="211" t="s">
        <v>110</v>
      </c>
      <c r="M243" s="195" t="s">
        <v>133</v>
      </c>
      <c r="N243" s="197">
        <v>11.2</v>
      </c>
      <c r="O243" s="209"/>
      <c r="P243" s="241" t="str">
        <f>VLOOKUP(Ruimtestaat[[#This Row],[Ruimte code]],Ruimtegroepen[#All],4,FALSE)</f>
        <v>V  (Verkeersruimte)</v>
      </c>
      <c r="Q243" s="210"/>
      <c r="R243" s="211">
        <v>40</v>
      </c>
      <c r="S243" s="211" t="s">
        <v>2</v>
      </c>
      <c r="T243" s="211">
        <f>IF(R243&gt;0,IF(RIGHT(Ruimtestaat[[#This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243" s="211">
        <f>IF(T243&gt;0,VLOOKUP($J243,Ruimtegroepen[],3,FALSE)*VLOOKUP($L243,Vloersoorten[],3,FALSE)*VLOOKUP($S243,Frequenties[],3,FALSE)*VLOOKUP($A243,Locaties[],3,FALSE),0)</f>
        <v>100</v>
      </c>
      <c r="V243" s="211">
        <f>Ruimtestaat[[#This Row],[Uitvoeringen werkdagen]]*Ruimtestaat[[#This Row],[Oppervlak (netto)]]</f>
        <v>2240</v>
      </c>
      <c r="W243" s="257">
        <f>IF(U243&gt;0,Ruimtestaat[[#This Row],[Prest. (m2 /jaar) werkdagen]]/Ruimtestaat[[#This Row],[Norm (m2/uur) werkdagen]],0)</f>
        <v>22.4</v>
      </c>
      <c r="X243" s="258">
        <f>Ruimtestaat[[#This Row],[uren / jaar werkdagen]]*Tariefsopbouw!$D$38</f>
        <v>560</v>
      </c>
      <c r="Y243" s="33"/>
      <c r="Z243" s="33">
        <f>IF(Ruimtestaat[[#This Row],[Frequentie weekend]]&gt;0,VALUE(LEFT(Y243,1))*R243,0)</f>
        <v>0</v>
      </c>
      <c r="AA243" s="33">
        <f>IF($Z243&gt;0,VLOOKUP($J243,Ruimtegroepen[],3,FALSE)*VLOOKUP($L243,Vloersoorten[],3,FALSE)*VLOOKUP($Y243,Frequenties[],3,FALSE)*VLOOKUP(#REF!,Locaties[],3,FALSE),0)</f>
        <v>0</v>
      </c>
      <c r="AB243" s="33"/>
      <c r="AC243" s="33"/>
      <c r="AD243" s="33">
        <f>Ruimtestaat[[#This Row],[uren / jaar weekend]]*Tariefsopbouw!$D$40</f>
        <v>0</v>
      </c>
      <c r="AE243" s="88">
        <f>Ruimtestaat[[#This Row],[Prest. (m2 /jaar) weekend]]+Ruimtestaat[[#This Row],[Prest. (m2 /jaar) werkdagen]]</f>
        <v>2240</v>
      </c>
      <c r="AF243" s="88">
        <f>Ruimtestaat[[#This Row],[uren / jaar weekend]]+Ruimtestaat[[#This Row],[uren / jaar werkdagen]]</f>
        <v>22.4</v>
      </c>
      <c r="AG243" s="89">
        <f>Ruimtestaat[[#This Row],[kosten / jaar weekend]]+Ruimtestaat[[#This Row],[kosten / jaar werkdagen]]</f>
        <v>560</v>
      </c>
    </row>
    <row r="244" spans="1:33" ht="15" customHeight="1">
      <c r="A244" s="195">
        <v>3</v>
      </c>
      <c r="B244" s="195" t="str">
        <f>VLOOKUP(Ruimtestaat[[#This Row],[Code]],Locaties[#All],2,FALSE)</f>
        <v>Lichtenvoorde gebouw 1</v>
      </c>
      <c r="C244" s="241" t="str">
        <f>VLOOKUP(Ruimtestaat[[#This Row],[Code]],Locaties[#All],4,FALSE)</f>
        <v>Dr Ariensstraat 1</v>
      </c>
      <c r="D244" s="241" t="str">
        <f>VLOOKUP(Ruimtestaat[[#This Row],[Code]],Locaties[#All],5,FALSE)</f>
        <v>7131 XM </v>
      </c>
      <c r="E244" s="241" t="str">
        <f>VLOOKUP(Ruimtestaat[[#This Row],[Code]],Locaties[#All],6,FALSE)</f>
        <v>Lichtenvoorde</v>
      </c>
      <c r="F244" s="195"/>
      <c r="G244" s="195" t="s">
        <v>628</v>
      </c>
      <c r="H244" s="195" t="s">
        <v>460</v>
      </c>
      <c r="I244" s="242" t="s">
        <v>441</v>
      </c>
      <c r="J244" s="195">
        <v>21</v>
      </c>
      <c r="K244" s="260" t="str">
        <f>VLOOKUP(Ruimtestaat[[#This Row],[Ruimte code]],Ruimtegroepen[#All],2,FALSE)</f>
        <v>Niet in onderhoud</v>
      </c>
      <c r="L244" s="211"/>
      <c r="M244" s="195"/>
      <c r="N244" s="197"/>
      <c r="O244" s="209">
        <v>53.11</v>
      </c>
      <c r="P244" s="241" t="str">
        <f>VLOOKUP(Ruimtestaat[[#This Row],[Ruimte code]],Ruimtegroepen[#All],4,FALSE)</f>
        <v>Niet in onderhoud</v>
      </c>
      <c r="Q244" s="210"/>
      <c r="R244" s="211"/>
      <c r="S244" s="211"/>
      <c r="T244" s="211">
        <f>IF(R244&gt;0,IF(RIGHT(Ruimtestaat[[#This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244" s="211">
        <f>IF(T244&gt;0,VLOOKUP($J244,Ruimtegroepen[],3,FALSE)*VLOOKUP($L244,Vloersoorten[],3,FALSE)*VLOOKUP($S244,Frequenties[],3,FALSE)*VLOOKUP($A244,Locaties[],3,FALSE),0)</f>
        <v>0</v>
      </c>
      <c r="V244" s="211">
        <f>Ruimtestaat[[#This Row],[Uitvoeringen werkdagen]]*Ruimtestaat[[#This Row],[Oppervlak (netto)]]</f>
        <v>0</v>
      </c>
      <c r="W244" s="257">
        <f>IF(U244&gt;0,Ruimtestaat[[#This Row],[Prest. (m2 /jaar) werkdagen]]/Ruimtestaat[[#This Row],[Norm (m2/uur) werkdagen]],0)</f>
        <v>0</v>
      </c>
      <c r="X244" s="258">
        <f>Ruimtestaat[[#This Row],[uren / jaar werkdagen]]*Tariefsopbouw!$D$38</f>
        <v>0</v>
      </c>
      <c r="Y244" s="33"/>
      <c r="Z244" s="33">
        <f>IF(Ruimtestaat[[#This Row],[Frequentie weekend]]&gt;0,VALUE(LEFT(Y244,1))*R244,0)</f>
        <v>0</v>
      </c>
      <c r="AA244" s="33">
        <f>IF($Z244&gt;0,VLOOKUP($J244,Ruimtegroepen[],3,FALSE)*VLOOKUP($L244,Vloersoorten[],3,FALSE)*VLOOKUP($Y244,Frequenties[],3,FALSE)*VLOOKUP(#REF!,Locaties[],3,FALSE),0)</f>
        <v>0</v>
      </c>
      <c r="AB244" s="33"/>
      <c r="AC244" s="33"/>
      <c r="AD244" s="33">
        <f>Ruimtestaat[[#This Row],[uren / jaar weekend]]*Tariefsopbouw!$D$40</f>
        <v>0</v>
      </c>
      <c r="AE244" s="88">
        <f>Ruimtestaat[[#This Row],[Prest. (m2 /jaar) weekend]]+Ruimtestaat[[#This Row],[Prest. (m2 /jaar) werkdagen]]</f>
        <v>0</v>
      </c>
      <c r="AF244" s="88">
        <f>Ruimtestaat[[#This Row],[uren / jaar weekend]]+Ruimtestaat[[#This Row],[uren / jaar werkdagen]]</f>
        <v>0</v>
      </c>
      <c r="AG244" s="89">
        <f>Ruimtestaat[[#This Row],[kosten / jaar weekend]]+Ruimtestaat[[#This Row],[kosten / jaar werkdagen]]</f>
        <v>0</v>
      </c>
    </row>
    <row r="245" spans="1:33" ht="15" customHeight="1">
      <c r="A245" s="195">
        <v>3</v>
      </c>
      <c r="B245" s="195" t="str">
        <f>VLOOKUP(Ruimtestaat[[#This Row],[Code]],Locaties[#All],2,FALSE)</f>
        <v>Lichtenvoorde gebouw 1</v>
      </c>
      <c r="C245" s="241" t="str">
        <f>VLOOKUP(Ruimtestaat[[#This Row],[Code]],Locaties[#All],4,FALSE)</f>
        <v>Dr Ariensstraat 1</v>
      </c>
      <c r="D245" s="241" t="str">
        <f>VLOOKUP(Ruimtestaat[[#This Row],[Code]],Locaties[#All],5,FALSE)</f>
        <v>7131 XM </v>
      </c>
      <c r="E245" s="241" t="str">
        <f>VLOOKUP(Ruimtestaat[[#This Row],[Code]],Locaties[#All],6,FALSE)</f>
        <v>Lichtenvoorde</v>
      </c>
      <c r="F245" s="195"/>
      <c r="G245" s="195" t="s">
        <v>628</v>
      </c>
      <c r="H245" s="195" t="s">
        <v>527</v>
      </c>
      <c r="I245" s="242" t="s">
        <v>441</v>
      </c>
      <c r="J245" s="195">
        <v>21</v>
      </c>
      <c r="K245" s="260" t="str">
        <f>VLOOKUP(Ruimtestaat[[#This Row],[Ruimte code]],Ruimtegroepen[#All],2,FALSE)</f>
        <v>Niet in onderhoud</v>
      </c>
      <c r="L245" s="241"/>
      <c r="M245" s="195"/>
      <c r="N245" s="197"/>
      <c r="O245" s="209">
        <v>3.47</v>
      </c>
      <c r="P245" s="241" t="str">
        <f>VLOOKUP(Ruimtestaat[[#This Row],[Ruimte code]],Ruimtegroepen[#All],4,FALSE)</f>
        <v>Niet in onderhoud</v>
      </c>
      <c r="Q245" s="210"/>
      <c r="R245" s="211"/>
      <c r="S245" s="211"/>
      <c r="T245" s="211">
        <f>IF(R245&gt;0,IF(RIGHT(Ruimtestaat[[#This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245" s="211">
        <f>IF(T245&gt;0,VLOOKUP($J245,Ruimtegroepen[],3,FALSE)*VLOOKUP($L245,Vloersoorten[],3,FALSE)*VLOOKUP($S245,Frequenties[],3,FALSE)*VLOOKUP($A245,Locaties[],3,FALSE),0)</f>
        <v>0</v>
      </c>
      <c r="V245" s="211">
        <f>Ruimtestaat[[#This Row],[Uitvoeringen werkdagen]]*Ruimtestaat[[#This Row],[Oppervlak (netto)]]</f>
        <v>0</v>
      </c>
      <c r="W245" s="257">
        <f>IF(U245&gt;0,Ruimtestaat[[#This Row],[Prest. (m2 /jaar) werkdagen]]/Ruimtestaat[[#This Row],[Norm (m2/uur) werkdagen]],0)</f>
        <v>0</v>
      </c>
      <c r="X245" s="258">
        <f>Ruimtestaat[[#This Row],[uren / jaar werkdagen]]*Tariefsopbouw!$D$38</f>
        <v>0</v>
      </c>
      <c r="Y245" s="33"/>
      <c r="Z245" s="33">
        <f>IF(Ruimtestaat[[#This Row],[Frequentie weekend]]&gt;0,VALUE(LEFT(Y245,1))*R245,0)</f>
        <v>0</v>
      </c>
      <c r="AA245" s="33">
        <f>IF($Z245&gt;0,VLOOKUP($J245,Ruimtegroepen[],3,FALSE)*VLOOKUP($L245,Vloersoorten[],3,FALSE)*VLOOKUP($Y245,Frequenties[],3,FALSE)*VLOOKUP(#REF!,Locaties[],3,FALSE),0)</f>
        <v>0</v>
      </c>
      <c r="AB245" s="33"/>
      <c r="AC245" s="33"/>
      <c r="AD245" s="33">
        <f>Ruimtestaat[[#This Row],[uren / jaar weekend]]*Tariefsopbouw!$D$40</f>
        <v>0</v>
      </c>
      <c r="AE245" s="88">
        <f>Ruimtestaat[[#This Row],[Prest. (m2 /jaar) weekend]]+Ruimtestaat[[#This Row],[Prest. (m2 /jaar) werkdagen]]</f>
        <v>0</v>
      </c>
      <c r="AF245" s="88">
        <f>Ruimtestaat[[#This Row],[uren / jaar weekend]]+Ruimtestaat[[#This Row],[uren / jaar werkdagen]]</f>
        <v>0</v>
      </c>
      <c r="AG245" s="89">
        <f>Ruimtestaat[[#This Row],[kosten / jaar weekend]]+Ruimtestaat[[#This Row],[kosten / jaar werkdagen]]</f>
        <v>0</v>
      </c>
    </row>
    <row r="246" spans="1:33" ht="15" customHeight="1">
      <c r="A246" s="195">
        <v>3</v>
      </c>
      <c r="B246" s="195" t="str">
        <f>VLOOKUP(Ruimtestaat[[#This Row],[Code]],Locaties[#All],2,FALSE)</f>
        <v>Lichtenvoorde gebouw 1</v>
      </c>
      <c r="C246" s="241" t="str">
        <f>VLOOKUP(Ruimtestaat[[#This Row],[Code]],Locaties[#All],4,FALSE)</f>
        <v>Dr Ariensstraat 1</v>
      </c>
      <c r="D246" s="241" t="str">
        <f>VLOOKUP(Ruimtestaat[[#This Row],[Code]],Locaties[#All],5,FALSE)</f>
        <v>7131 XM </v>
      </c>
      <c r="E246" s="241" t="str">
        <f>VLOOKUP(Ruimtestaat[[#This Row],[Code]],Locaties[#All],6,FALSE)</f>
        <v>Lichtenvoorde</v>
      </c>
      <c r="F246" s="195"/>
      <c r="G246" s="195" t="s">
        <v>628</v>
      </c>
      <c r="H246" s="195" t="s">
        <v>629</v>
      </c>
      <c r="I246" s="242" t="s">
        <v>834</v>
      </c>
      <c r="J246" s="195">
        <v>21</v>
      </c>
      <c r="K246" s="260" t="str">
        <f>VLOOKUP(Ruimtestaat[[#This Row],[Ruimte code]],Ruimtegroepen[#All],2,FALSE)</f>
        <v>Niet in onderhoud</v>
      </c>
      <c r="L246" s="211"/>
      <c r="M246" s="195"/>
      <c r="N246" s="197"/>
      <c r="O246" s="209">
        <v>6.32</v>
      </c>
      <c r="P246" s="241" t="str">
        <f>VLOOKUP(Ruimtestaat[[#This Row],[Ruimte code]],Ruimtegroepen[#All],4,FALSE)</f>
        <v>Niet in onderhoud</v>
      </c>
      <c r="Q246" s="210"/>
      <c r="R246" s="211"/>
      <c r="S246" s="211"/>
      <c r="T246" s="211">
        <f>IF(R246&gt;0,IF(RIGHT(Ruimtestaat[[#This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246" s="211">
        <f>IF(T246&gt;0,VLOOKUP($J246,Ruimtegroepen[],3,FALSE)*VLOOKUP($L246,Vloersoorten[],3,FALSE)*VLOOKUP($S246,Frequenties[],3,FALSE)*VLOOKUP($A246,Locaties[],3,FALSE),0)</f>
        <v>0</v>
      </c>
      <c r="V246" s="211">
        <f>Ruimtestaat[[#This Row],[Uitvoeringen werkdagen]]*Ruimtestaat[[#This Row],[Oppervlak (netto)]]</f>
        <v>0</v>
      </c>
      <c r="W246" s="257">
        <f>IF(U246&gt;0,Ruimtestaat[[#This Row],[Prest. (m2 /jaar) werkdagen]]/Ruimtestaat[[#This Row],[Norm (m2/uur) werkdagen]],0)</f>
        <v>0</v>
      </c>
      <c r="X246" s="258">
        <f>Ruimtestaat[[#This Row],[uren / jaar werkdagen]]*Tariefsopbouw!$D$38</f>
        <v>0</v>
      </c>
      <c r="Y246" s="33"/>
      <c r="Z246" s="33">
        <f>IF(Ruimtestaat[[#This Row],[Frequentie weekend]]&gt;0,VALUE(LEFT(Y246,1))*R246,0)</f>
        <v>0</v>
      </c>
      <c r="AA246" s="33">
        <f>IF($Z246&gt;0,VLOOKUP($J246,Ruimtegroepen[],3,FALSE)*VLOOKUP($L246,Vloersoorten[],3,FALSE)*VLOOKUP($Y246,Frequenties[],3,FALSE)*VLOOKUP(#REF!,Locaties[],3,FALSE),0)</f>
        <v>0</v>
      </c>
      <c r="AB246" s="33"/>
      <c r="AC246" s="33"/>
      <c r="AD246" s="33">
        <f>Ruimtestaat[[#This Row],[uren / jaar weekend]]*Tariefsopbouw!$D$40</f>
        <v>0</v>
      </c>
      <c r="AE246" s="88">
        <f>Ruimtestaat[[#This Row],[Prest. (m2 /jaar) weekend]]+Ruimtestaat[[#This Row],[Prest. (m2 /jaar) werkdagen]]</f>
        <v>0</v>
      </c>
      <c r="AF246" s="88">
        <f>Ruimtestaat[[#This Row],[uren / jaar weekend]]+Ruimtestaat[[#This Row],[uren / jaar werkdagen]]</f>
        <v>0</v>
      </c>
      <c r="AG246" s="89">
        <f>Ruimtestaat[[#This Row],[kosten / jaar weekend]]+Ruimtestaat[[#This Row],[kosten / jaar werkdagen]]</f>
        <v>0</v>
      </c>
    </row>
    <row r="247" spans="1:33" ht="15" customHeight="1">
      <c r="A247" s="195">
        <v>3</v>
      </c>
      <c r="B247" s="195" t="str">
        <f>VLOOKUP(Ruimtestaat[[#This Row],[Code]],Locaties[#All],2,FALSE)</f>
        <v>Lichtenvoorde gebouw 1</v>
      </c>
      <c r="C247" s="241" t="str">
        <f>VLOOKUP(Ruimtestaat[[#This Row],[Code]],Locaties[#All],4,FALSE)</f>
        <v>Dr Ariensstraat 1</v>
      </c>
      <c r="D247" s="241" t="str">
        <f>VLOOKUP(Ruimtestaat[[#This Row],[Code]],Locaties[#All],5,FALSE)</f>
        <v>7131 XM </v>
      </c>
      <c r="E247" s="241" t="str">
        <f>VLOOKUP(Ruimtestaat[[#This Row],[Code]],Locaties[#All],6,FALSE)</f>
        <v>Lichtenvoorde</v>
      </c>
      <c r="F247" s="195"/>
      <c r="G247" s="195" t="s">
        <v>628</v>
      </c>
      <c r="H247" s="195" t="s">
        <v>630</v>
      </c>
      <c r="I247" s="242" t="s">
        <v>382</v>
      </c>
      <c r="J247" s="195">
        <v>21</v>
      </c>
      <c r="K247" s="260" t="str">
        <f>VLOOKUP(Ruimtestaat[[#This Row],[Ruimte code]],Ruimtegroepen[#All],2,FALSE)</f>
        <v>Niet in onderhoud</v>
      </c>
      <c r="L247" s="211"/>
      <c r="M247" s="195"/>
      <c r="N247" s="197"/>
      <c r="O247" s="209">
        <v>40.29</v>
      </c>
      <c r="P247" s="241" t="str">
        <f>VLOOKUP(Ruimtestaat[[#This Row],[Ruimte code]],Ruimtegroepen[#All],4,FALSE)</f>
        <v>Niet in onderhoud</v>
      </c>
      <c r="Q247" s="210"/>
      <c r="R247" s="211"/>
      <c r="S247" s="211"/>
      <c r="T247" s="211">
        <f>IF(R247&gt;0,IF(RIGHT(Ruimtestaat[[#This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247" s="211">
        <f>IF(T247&gt;0,VLOOKUP($J247,Ruimtegroepen[],3,FALSE)*VLOOKUP($L247,Vloersoorten[],3,FALSE)*VLOOKUP($S247,Frequenties[],3,FALSE)*VLOOKUP($A247,Locaties[],3,FALSE),0)</f>
        <v>0</v>
      </c>
      <c r="V247" s="211">
        <f>Ruimtestaat[[#This Row],[Uitvoeringen werkdagen]]*Ruimtestaat[[#This Row],[Oppervlak (netto)]]</f>
        <v>0</v>
      </c>
      <c r="W247" s="257">
        <f>IF(U247&gt;0,Ruimtestaat[[#This Row],[Prest. (m2 /jaar) werkdagen]]/Ruimtestaat[[#This Row],[Norm (m2/uur) werkdagen]],0)</f>
        <v>0</v>
      </c>
      <c r="X247" s="258">
        <f>Ruimtestaat[[#This Row],[uren / jaar werkdagen]]*Tariefsopbouw!$D$38</f>
        <v>0</v>
      </c>
      <c r="Y247" s="33"/>
      <c r="Z247" s="33">
        <f>IF(Ruimtestaat[[#This Row],[Frequentie weekend]]&gt;0,VALUE(LEFT(Y247,1))*R247,0)</f>
        <v>0</v>
      </c>
      <c r="AA247" s="33">
        <f>IF($Z247&gt;0,VLOOKUP($J247,Ruimtegroepen[],3,FALSE)*VLOOKUP($L247,Vloersoorten[],3,FALSE)*VLOOKUP($Y247,Frequenties[],3,FALSE)*VLOOKUP(#REF!,Locaties[],3,FALSE),0)</f>
        <v>0</v>
      </c>
      <c r="AB247" s="33"/>
      <c r="AC247" s="33"/>
      <c r="AD247" s="33">
        <f>Ruimtestaat[[#This Row],[uren / jaar weekend]]*Tariefsopbouw!$D$40</f>
        <v>0</v>
      </c>
      <c r="AE247" s="88">
        <f>Ruimtestaat[[#This Row],[Prest. (m2 /jaar) weekend]]+Ruimtestaat[[#This Row],[Prest. (m2 /jaar) werkdagen]]</f>
        <v>0</v>
      </c>
      <c r="AF247" s="88">
        <f>Ruimtestaat[[#This Row],[uren / jaar weekend]]+Ruimtestaat[[#This Row],[uren / jaar werkdagen]]</f>
        <v>0</v>
      </c>
      <c r="AG247" s="89">
        <f>Ruimtestaat[[#This Row],[kosten / jaar weekend]]+Ruimtestaat[[#This Row],[kosten / jaar werkdagen]]</f>
        <v>0</v>
      </c>
    </row>
    <row r="248" spans="1:33" ht="15" customHeight="1">
      <c r="A248" s="195">
        <v>3</v>
      </c>
      <c r="B248" s="195" t="str">
        <f>VLOOKUP(Ruimtestaat[[#This Row],[Code]],Locaties[#All],2,FALSE)</f>
        <v>Lichtenvoorde gebouw 1</v>
      </c>
      <c r="C248" s="241" t="str">
        <f>VLOOKUP(Ruimtestaat[[#This Row],[Code]],Locaties[#All],4,FALSE)</f>
        <v>Dr Ariensstraat 1</v>
      </c>
      <c r="D248" s="241" t="str">
        <f>VLOOKUP(Ruimtestaat[[#This Row],[Code]],Locaties[#All],5,FALSE)</f>
        <v>7131 XM </v>
      </c>
      <c r="E248" s="241" t="str">
        <f>VLOOKUP(Ruimtestaat[[#This Row],[Code]],Locaties[#All],6,FALSE)</f>
        <v>Lichtenvoorde</v>
      </c>
      <c r="F248" s="195"/>
      <c r="G248" s="195" t="s">
        <v>628</v>
      </c>
      <c r="H248" s="195" t="s">
        <v>631</v>
      </c>
      <c r="I248" s="242" t="s">
        <v>382</v>
      </c>
      <c r="J248" s="241">
        <v>21</v>
      </c>
      <c r="K248" s="260" t="str">
        <f>VLOOKUP(Ruimtestaat[[#This Row],[Ruimte code]],Ruimtegroepen[#All],2,FALSE)</f>
        <v>Niet in onderhoud</v>
      </c>
      <c r="L248" s="211"/>
      <c r="M248" s="195"/>
      <c r="N248" s="197"/>
      <c r="O248" s="209">
        <v>3.89</v>
      </c>
      <c r="P248" s="241" t="str">
        <f>VLOOKUP(Ruimtestaat[[#This Row],[Ruimte code]],Ruimtegroepen[#All],4,FALSE)</f>
        <v>Niet in onderhoud</v>
      </c>
      <c r="Q248" s="210"/>
      <c r="R248" s="211"/>
      <c r="S248" s="211"/>
      <c r="T248" s="211">
        <f>IF(R248&gt;0,IF(RIGHT(Ruimtestaat[[#This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248" s="211">
        <f>IF(T248&gt;0,VLOOKUP($J248,Ruimtegroepen[],3,FALSE)*VLOOKUP($L248,Vloersoorten[],3,FALSE)*VLOOKUP($S248,Frequenties[],3,FALSE)*VLOOKUP($A248,Locaties[],3,FALSE),0)</f>
        <v>0</v>
      </c>
      <c r="V248" s="211">
        <f>Ruimtestaat[[#This Row],[Uitvoeringen werkdagen]]*Ruimtestaat[[#This Row],[Oppervlak (netto)]]</f>
        <v>0</v>
      </c>
      <c r="W248" s="257">
        <f>IF(U248&gt;0,Ruimtestaat[[#This Row],[Prest. (m2 /jaar) werkdagen]]/Ruimtestaat[[#This Row],[Norm (m2/uur) werkdagen]],0)</f>
        <v>0</v>
      </c>
      <c r="X248" s="258">
        <f>Ruimtestaat[[#This Row],[uren / jaar werkdagen]]*Tariefsopbouw!$D$38</f>
        <v>0</v>
      </c>
      <c r="Y248" s="33"/>
      <c r="Z248" s="33">
        <f>IF(Ruimtestaat[[#This Row],[Frequentie weekend]]&gt;0,VALUE(LEFT(Y248,1))*R248,0)</f>
        <v>0</v>
      </c>
      <c r="AA248" s="33">
        <f>IF($Z248&gt;0,VLOOKUP($J248,Ruimtegroepen[],3,FALSE)*VLOOKUP($L248,Vloersoorten[],3,FALSE)*VLOOKUP($Y248,Frequenties[],3,FALSE)*VLOOKUP(#REF!,Locaties[],3,FALSE),0)</f>
        <v>0</v>
      </c>
      <c r="AB248" s="33"/>
      <c r="AC248" s="33"/>
      <c r="AD248" s="33">
        <f>Ruimtestaat[[#This Row],[uren / jaar weekend]]*Tariefsopbouw!$D$40</f>
        <v>0</v>
      </c>
      <c r="AE248" s="88">
        <f>Ruimtestaat[[#This Row],[Prest. (m2 /jaar) weekend]]+Ruimtestaat[[#This Row],[Prest. (m2 /jaar) werkdagen]]</f>
        <v>0</v>
      </c>
      <c r="AF248" s="88">
        <f>Ruimtestaat[[#This Row],[uren / jaar weekend]]+Ruimtestaat[[#This Row],[uren / jaar werkdagen]]</f>
        <v>0</v>
      </c>
      <c r="AG248" s="89">
        <f>Ruimtestaat[[#This Row],[kosten / jaar weekend]]+Ruimtestaat[[#This Row],[kosten / jaar werkdagen]]</f>
        <v>0</v>
      </c>
    </row>
    <row r="249" spans="1:33" ht="15" customHeight="1">
      <c r="A249" s="195">
        <v>3</v>
      </c>
      <c r="B249" s="195" t="str">
        <f>VLOOKUP(Ruimtestaat[[#This Row],[Code]],Locaties[#All],2,FALSE)</f>
        <v>Lichtenvoorde gebouw 1</v>
      </c>
      <c r="C249" s="241" t="str">
        <f>VLOOKUP(Ruimtestaat[[#This Row],[Code]],Locaties[#All],4,FALSE)</f>
        <v>Dr Ariensstraat 1</v>
      </c>
      <c r="D249" s="241" t="str">
        <f>VLOOKUP(Ruimtestaat[[#This Row],[Code]],Locaties[#All],5,FALSE)</f>
        <v>7131 XM </v>
      </c>
      <c r="E249" s="241" t="str">
        <f>VLOOKUP(Ruimtestaat[[#This Row],[Code]],Locaties[#All],6,FALSE)</f>
        <v>Lichtenvoorde</v>
      </c>
      <c r="F249" s="195"/>
      <c r="G249" s="195" t="s">
        <v>768</v>
      </c>
      <c r="H249" s="195" t="s">
        <v>695</v>
      </c>
      <c r="I249" s="242" t="s">
        <v>449</v>
      </c>
      <c r="J249" s="261">
        <v>2</v>
      </c>
      <c r="K249" s="260" t="str">
        <f>VLOOKUP(Ruimtestaat[[#This Row],[Ruimte code]],Ruimtegroepen[#All],2,FALSE)</f>
        <v>Kantoren</v>
      </c>
      <c r="L249" s="211" t="s">
        <v>109</v>
      </c>
      <c r="M249" s="195" t="s">
        <v>38</v>
      </c>
      <c r="N249" s="197">
        <v>28.52</v>
      </c>
      <c r="O249" s="209"/>
      <c r="P249" s="241" t="str">
        <f>VLOOKUP(Ruimtestaat[[#This Row],[Ruimte code]],Ruimtegroepen[#All],4,FALSE)</f>
        <v>B  (Bureauruimte)</v>
      </c>
      <c r="Q249" s="210"/>
      <c r="R249" s="211">
        <v>40</v>
      </c>
      <c r="S249" s="211" t="s">
        <v>18</v>
      </c>
      <c r="T249" s="211">
        <f>IF(R249&gt;0,IF(RIGHT(Ruimtestaat[[#This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U249" s="211">
        <f>IF(T249&gt;0,VLOOKUP($J249,Ruimtegroepen[],3,FALSE)*VLOOKUP($L249,Vloersoorten[],3,FALSE)*VLOOKUP($S249,Frequenties[],3,FALSE)*VLOOKUP($A249,Locaties[],3,FALSE),0)</f>
        <v>100</v>
      </c>
      <c r="V249" s="211">
        <f>Ruimtestaat[[#This Row],[Uitvoeringen werkdagen]]*Ruimtestaat[[#This Row],[Oppervlak (netto)]]</f>
        <v>3422.4</v>
      </c>
      <c r="W249" s="257">
        <f>IF(U249&gt;0,Ruimtestaat[[#This Row],[Prest. (m2 /jaar) werkdagen]]/Ruimtestaat[[#This Row],[Norm (m2/uur) werkdagen]],0)</f>
        <v>34.224000000000004</v>
      </c>
      <c r="X249" s="258">
        <f>Ruimtestaat[[#This Row],[uren / jaar werkdagen]]*Tariefsopbouw!$D$38</f>
        <v>855.60000000000014</v>
      </c>
      <c r="Y249" s="33"/>
      <c r="Z249" s="33">
        <f>IF(Ruimtestaat[[#This Row],[Frequentie weekend]]&gt;0,VALUE(LEFT(Y249,1))*R249,0)</f>
        <v>0</v>
      </c>
      <c r="AA249" s="33">
        <f>IF($Z249&gt;0,VLOOKUP($J249,Ruimtegroepen[],3,FALSE)*VLOOKUP($L249,Vloersoorten[],3,FALSE)*VLOOKUP($Y249,Frequenties[],3,FALSE)*VLOOKUP(#REF!,Locaties[],3,FALSE),0)</f>
        <v>0</v>
      </c>
      <c r="AB249" s="33"/>
      <c r="AC249" s="33"/>
      <c r="AD249" s="33">
        <f>Ruimtestaat[[#This Row],[uren / jaar weekend]]*Tariefsopbouw!$D$40</f>
        <v>0</v>
      </c>
      <c r="AE249" s="88">
        <f>Ruimtestaat[[#This Row],[Prest. (m2 /jaar) weekend]]+Ruimtestaat[[#This Row],[Prest. (m2 /jaar) werkdagen]]</f>
        <v>3422.4</v>
      </c>
      <c r="AF249" s="88">
        <f>Ruimtestaat[[#This Row],[uren / jaar weekend]]+Ruimtestaat[[#This Row],[uren / jaar werkdagen]]</f>
        <v>34.224000000000004</v>
      </c>
      <c r="AG249" s="89">
        <f>Ruimtestaat[[#This Row],[kosten / jaar weekend]]+Ruimtestaat[[#This Row],[kosten / jaar werkdagen]]</f>
        <v>855.60000000000014</v>
      </c>
    </row>
    <row r="250" spans="1:33" ht="15" customHeight="1">
      <c r="A250" s="195">
        <v>3</v>
      </c>
      <c r="B250" s="195" t="str">
        <f>VLOOKUP(Ruimtestaat[[#This Row],[Code]],Locaties[#All],2,FALSE)</f>
        <v>Lichtenvoorde gebouw 1</v>
      </c>
      <c r="C250" s="241" t="str">
        <f>VLOOKUP(Ruimtestaat[[#This Row],[Code]],Locaties[#All],4,FALSE)</f>
        <v>Dr Ariensstraat 1</v>
      </c>
      <c r="D250" s="241" t="str">
        <f>VLOOKUP(Ruimtestaat[[#This Row],[Code]],Locaties[#All],5,FALSE)</f>
        <v>7131 XM </v>
      </c>
      <c r="E250" s="241" t="str">
        <f>VLOOKUP(Ruimtestaat[[#This Row],[Code]],Locaties[#All],6,FALSE)</f>
        <v>Lichtenvoorde</v>
      </c>
      <c r="F250" s="195"/>
      <c r="G250" s="195" t="s">
        <v>768</v>
      </c>
      <c r="H250" s="195" t="s">
        <v>696</v>
      </c>
      <c r="I250" s="242" t="s">
        <v>382</v>
      </c>
      <c r="J250" s="195">
        <v>7</v>
      </c>
      <c r="K250" s="260" t="str">
        <f>VLOOKUP(Ruimtestaat[[#This Row],[Ruimte code]],Ruimtegroepen[#All],2,FALSE)</f>
        <v>Entree</v>
      </c>
      <c r="L250" s="211" t="s">
        <v>111</v>
      </c>
      <c r="M250" s="195" t="s">
        <v>693</v>
      </c>
      <c r="N250" s="197">
        <v>132.91</v>
      </c>
      <c r="O250" s="209"/>
      <c r="P250" s="241" t="str">
        <f>VLOOKUP(Ruimtestaat[[#This Row],[Ruimte code]],Ruimtegroepen[#All],4,FALSE)</f>
        <v>V  (Verkeersruimte)</v>
      </c>
      <c r="Q250" s="210"/>
      <c r="R250" s="211">
        <v>40</v>
      </c>
      <c r="S250" s="211" t="s">
        <v>2</v>
      </c>
      <c r="T250" s="211">
        <f>IF(R250&gt;0,IF(RIGHT(Ruimtestaat[[#This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250" s="211">
        <f>IF(T250&gt;0,VLOOKUP($J250,Ruimtegroepen[],3,FALSE)*VLOOKUP($L250,Vloersoorten[],3,FALSE)*VLOOKUP($S250,Frequenties[],3,FALSE)*VLOOKUP($A250,Locaties[],3,FALSE),0)</f>
        <v>100</v>
      </c>
      <c r="V250" s="211">
        <f>Ruimtestaat[[#This Row],[Uitvoeringen werkdagen]]*Ruimtestaat[[#This Row],[Oppervlak (netto)]]</f>
        <v>26582</v>
      </c>
      <c r="W250" s="257">
        <f>IF(U250&gt;0,Ruimtestaat[[#This Row],[Prest. (m2 /jaar) werkdagen]]/Ruimtestaat[[#This Row],[Norm (m2/uur) werkdagen]],0)</f>
        <v>265.82</v>
      </c>
      <c r="X250" s="258">
        <f>Ruimtestaat[[#This Row],[uren / jaar werkdagen]]*Tariefsopbouw!$D$38</f>
        <v>6645.5</v>
      </c>
      <c r="Y250" s="33"/>
      <c r="Z250" s="33">
        <f>IF(Ruimtestaat[[#This Row],[Frequentie weekend]]&gt;0,VALUE(LEFT(Y250,1))*R250,0)</f>
        <v>0</v>
      </c>
      <c r="AA250" s="33">
        <f>IF($Z250&gt;0,VLOOKUP($J250,Ruimtegroepen[],3,FALSE)*VLOOKUP($L250,Vloersoorten[],3,FALSE)*VLOOKUP($Y250,Frequenties[],3,FALSE)*VLOOKUP(#REF!,Locaties[],3,FALSE),0)</f>
        <v>0</v>
      </c>
      <c r="AB250" s="33"/>
      <c r="AC250" s="33"/>
      <c r="AD250" s="33">
        <f>Ruimtestaat[[#This Row],[uren / jaar weekend]]*Tariefsopbouw!$D$40</f>
        <v>0</v>
      </c>
      <c r="AE250" s="88">
        <f>Ruimtestaat[[#This Row],[Prest. (m2 /jaar) weekend]]+Ruimtestaat[[#This Row],[Prest. (m2 /jaar) werkdagen]]</f>
        <v>26582</v>
      </c>
      <c r="AF250" s="88">
        <f>Ruimtestaat[[#This Row],[uren / jaar weekend]]+Ruimtestaat[[#This Row],[uren / jaar werkdagen]]</f>
        <v>265.82</v>
      </c>
      <c r="AG250" s="89">
        <f>Ruimtestaat[[#This Row],[kosten / jaar weekend]]+Ruimtestaat[[#This Row],[kosten / jaar werkdagen]]</f>
        <v>6645.5</v>
      </c>
    </row>
    <row r="251" spans="1:33" ht="15" customHeight="1">
      <c r="A251" s="195">
        <v>3</v>
      </c>
      <c r="B251" s="195" t="str">
        <f>VLOOKUP(Ruimtestaat[[#This Row],[Code]],Locaties[#All],2,FALSE)</f>
        <v>Lichtenvoorde gebouw 1</v>
      </c>
      <c r="C251" s="241" t="str">
        <f>VLOOKUP(Ruimtestaat[[#This Row],[Code]],Locaties[#All],4,FALSE)</f>
        <v>Dr Ariensstraat 1</v>
      </c>
      <c r="D251" s="241" t="str">
        <f>VLOOKUP(Ruimtestaat[[#This Row],[Code]],Locaties[#All],5,FALSE)</f>
        <v>7131 XM </v>
      </c>
      <c r="E251" s="241" t="str">
        <f>VLOOKUP(Ruimtestaat[[#This Row],[Code]],Locaties[#All],6,FALSE)</f>
        <v>Lichtenvoorde</v>
      </c>
      <c r="F251" s="195"/>
      <c r="G251" s="195" t="s">
        <v>768</v>
      </c>
      <c r="H251" s="195" t="s">
        <v>697</v>
      </c>
      <c r="I251" s="242" t="s">
        <v>22</v>
      </c>
      <c r="J251" s="195">
        <v>5</v>
      </c>
      <c r="K251" s="260" t="str">
        <f>VLOOKUP(Ruimtestaat[[#This Row],[Ruimte code]],Ruimtegroepen[#All],2,FALSE)</f>
        <v>Sanitair</v>
      </c>
      <c r="L251" s="211" t="s">
        <v>111</v>
      </c>
      <c r="M251" s="195" t="s">
        <v>693</v>
      </c>
      <c r="N251" s="197">
        <v>9.18</v>
      </c>
      <c r="O251" s="209"/>
      <c r="P251" s="241" t="str">
        <f>VLOOKUP(Ruimtestaat[[#This Row],[Ruimte code]],Ruimtegroepen[#All],4,FALSE)</f>
        <v>S  (Sanitair)</v>
      </c>
      <c r="Q251" s="210"/>
      <c r="R251" s="211">
        <v>40</v>
      </c>
      <c r="S251" s="211" t="s">
        <v>2</v>
      </c>
      <c r="T251" s="211">
        <f>IF(R251&gt;0,IF(RIGHT(Ruimtestaat[[#This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251" s="211">
        <f>IF(T251&gt;0,VLOOKUP($J251,Ruimtegroepen[],3,FALSE)*VLOOKUP($L251,Vloersoorten[],3,FALSE)*VLOOKUP($S251,Frequenties[],3,FALSE)*VLOOKUP($A251,Locaties[],3,FALSE),0)</f>
        <v>100</v>
      </c>
      <c r="V251" s="211">
        <f>Ruimtestaat[[#This Row],[Uitvoeringen werkdagen]]*Ruimtestaat[[#This Row],[Oppervlak (netto)]]</f>
        <v>1836</v>
      </c>
      <c r="W251" s="257">
        <f>IF(U251&gt;0,Ruimtestaat[[#This Row],[Prest. (m2 /jaar) werkdagen]]/Ruimtestaat[[#This Row],[Norm (m2/uur) werkdagen]],0)</f>
        <v>18.36</v>
      </c>
      <c r="X251" s="258">
        <f>Ruimtestaat[[#This Row],[uren / jaar werkdagen]]*Tariefsopbouw!$D$38</f>
        <v>459</v>
      </c>
      <c r="Y251" s="33"/>
      <c r="Z251" s="33">
        <f>IF(Ruimtestaat[[#This Row],[Frequentie weekend]]&gt;0,VALUE(LEFT(Y251,1))*R251,0)</f>
        <v>0</v>
      </c>
      <c r="AA251" s="33">
        <f>IF($Z251&gt;0,VLOOKUP($J251,Ruimtegroepen[],3,FALSE)*VLOOKUP($L251,Vloersoorten[],3,FALSE)*VLOOKUP($Y251,Frequenties[],3,FALSE)*VLOOKUP(#REF!,Locaties[],3,FALSE),0)</f>
        <v>0</v>
      </c>
      <c r="AB251" s="33"/>
      <c r="AC251" s="33"/>
      <c r="AD251" s="33">
        <f>Ruimtestaat[[#This Row],[uren / jaar weekend]]*Tariefsopbouw!$D$40</f>
        <v>0</v>
      </c>
      <c r="AE251" s="88">
        <f>Ruimtestaat[[#This Row],[Prest. (m2 /jaar) weekend]]+Ruimtestaat[[#This Row],[Prest. (m2 /jaar) werkdagen]]</f>
        <v>1836</v>
      </c>
      <c r="AF251" s="88">
        <f>Ruimtestaat[[#This Row],[uren / jaar weekend]]+Ruimtestaat[[#This Row],[uren / jaar werkdagen]]</f>
        <v>18.36</v>
      </c>
      <c r="AG251" s="89">
        <f>Ruimtestaat[[#This Row],[kosten / jaar weekend]]+Ruimtestaat[[#This Row],[kosten / jaar werkdagen]]</f>
        <v>459</v>
      </c>
    </row>
    <row r="252" spans="1:33" ht="15" customHeight="1">
      <c r="A252" s="195">
        <v>3</v>
      </c>
      <c r="B252" s="195" t="str">
        <f>VLOOKUP(Ruimtestaat[[#This Row],[Code]],Locaties[#All],2,FALSE)</f>
        <v>Lichtenvoorde gebouw 1</v>
      </c>
      <c r="C252" s="241" t="str">
        <f>VLOOKUP(Ruimtestaat[[#This Row],[Code]],Locaties[#All],4,FALSE)</f>
        <v>Dr Ariensstraat 1</v>
      </c>
      <c r="D252" s="241" t="str">
        <f>VLOOKUP(Ruimtestaat[[#This Row],[Code]],Locaties[#All],5,FALSE)</f>
        <v>7131 XM </v>
      </c>
      <c r="E252" s="241" t="str">
        <f>VLOOKUP(Ruimtestaat[[#This Row],[Code]],Locaties[#All],6,FALSE)</f>
        <v>Lichtenvoorde</v>
      </c>
      <c r="F252" s="195"/>
      <c r="G252" s="195" t="s">
        <v>768</v>
      </c>
      <c r="H252" s="195" t="s">
        <v>698</v>
      </c>
      <c r="I252" s="242" t="s">
        <v>22</v>
      </c>
      <c r="J252" s="195">
        <v>5</v>
      </c>
      <c r="K252" s="260" t="str">
        <f>VLOOKUP(Ruimtestaat[[#This Row],[Ruimte code]],Ruimtegroepen[#All],2,FALSE)</f>
        <v>Sanitair</v>
      </c>
      <c r="L252" s="211" t="s">
        <v>111</v>
      </c>
      <c r="M252" s="195" t="s">
        <v>693</v>
      </c>
      <c r="N252" s="197">
        <v>10.83</v>
      </c>
      <c r="O252" s="209"/>
      <c r="P252" s="241" t="str">
        <f>VLOOKUP(Ruimtestaat[[#This Row],[Ruimte code]],Ruimtegroepen[#All],4,FALSE)</f>
        <v>S  (Sanitair)</v>
      </c>
      <c r="Q252" s="210"/>
      <c r="R252" s="211">
        <v>40</v>
      </c>
      <c r="S252" s="211" t="s">
        <v>2</v>
      </c>
      <c r="T252" s="211">
        <f>IF(R252&gt;0,IF(RIGHT(Ruimtestaat[[#This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252" s="211">
        <f>IF(T252&gt;0,VLOOKUP($J252,Ruimtegroepen[],3,FALSE)*VLOOKUP($L252,Vloersoorten[],3,FALSE)*VLOOKUP($S252,Frequenties[],3,FALSE)*VLOOKUP($A252,Locaties[],3,FALSE),0)</f>
        <v>100</v>
      </c>
      <c r="V252" s="211">
        <f>Ruimtestaat[[#This Row],[Uitvoeringen werkdagen]]*Ruimtestaat[[#This Row],[Oppervlak (netto)]]</f>
        <v>2166</v>
      </c>
      <c r="W252" s="257">
        <f>IF(U252&gt;0,Ruimtestaat[[#This Row],[Prest. (m2 /jaar) werkdagen]]/Ruimtestaat[[#This Row],[Norm (m2/uur) werkdagen]],0)</f>
        <v>21.66</v>
      </c>
      <c r="X252" s="258">
        <f>Ruimtestaat[[#This Row],[uren / jaar werkdagen]]*Tariefsopbouw!$D$38</f>
        <v>541.5</v>
      </c>
      <c r="Y252" s="33"/>
      <c r="Z252" s="33">
        <f>IF(Ruimtestaat[[#This Row],[Frequentie weekend]]&gt;0,VALUE(LEFT(Y252,1))*R252,0)</f>
        <v>0</v>
      </c>
      <c r="AA252" s="33">
        <f>IF($Z252&gt;0,VLOOKUP($J252,Ruimtegroepen[],3,FALSE)*VLOOKUP($L252,Vloersoorten[],3,FALSE)*VLOOKUP($Y252,Frequenties[],3,FALSE)*VLOOKUP(#REF!,Locaties[],3,FALSE),0)</f>
        <v>0</v>
      </c>
      <c r="AB252" s="33"/>
      <c r="AC252" s="33"/>
      <c r="AD252" s="33">
        <f>Ruimtestaat[[#This Row],[uren / jaar weekend]]*Tariefsopbouw!$D$40</f>
        <v>0</v>
      </c>
      <c r="AE252" s="88">
        <f>Ruimtestaat[[#This Row],[Prest. (m2 /jaar) weekend]]+Ruimtestaat[[#This Row],[Prest. (m2 /jaar) werkdagen]]</f>
        <v>2166</v>
      </c>
      <c r="AF252" s="88">
        <f>Ruimtestaat[[#This Row],[uren / jaar weekend]]+Ruimtestaat[[#This Row],[uren / jaar werkdagen]]</f>
        <v>21.66</v>
      </c>
      <c r="AG252" s="89">
        <f>Ruimtestaat[[#This Row],[kosten / jaar weekend]]+Ruimtestaat[[#This Row],[kosten / jaar werkdagen]]</f>
        <v>541.5</v>
      </c>
    </row>
    <row r="253" spans="1:33" ht="15" customHeight="1">
      <c r="A253" s="195">
        <v>3</v>
      </c>
      <c r="B253" s="195" t="str">
        <f>VLOOKUP(Ruimtestaat[[#This Row],[Code]],Locaties[#All],2,FALSE)</f>
        <v>Lichtenvoorde gebouw 1</v>
      </c>
      <c r="C253" s="241" t="str">
        <f>VLOOKUP(Ruimtestaat[[#This Row],[Code]],Locaties[#All],4,FALSE)</f>
        <v>Dr Ariensstraat 1</v>
      </c>
      <c r="D253" s="241" t="str">
        <f>VLOOKUP(Ruimtestaat[[#This Row],[Code]],Locaties[#All],5,FALSE)</f>
        <v>7131 XM </v>
      </c>
      <c r="E253" s="241" t="str">
        <f>VLOOKUP(Ruimtestaat[[#This Row],[Code]],Locaties[#All],6,FALSE)</f>
        <v>Lichtenvoorde</v>
      </c>
      <c r="F253" s="195"/>
      <c r="G253" s="195" t="s">
        <v>768</v>
      </c>
      <c r="H253" s="195" t="s">
        <v>699</v>
      </c>
      <c r="I253" s="242" t="s">
        <v>382</v>
      </c>
      <c r="J253" s="195">
        <v>10</v>
      </c>
      <c r="K253" s="260" t="str">
        <f>VLOOKUP(Ruimtestaat[[#This Row],[Ruimte code]],Ruimtegroepen[#All],2,FALSE)</f>
        <v>Trappenhuizen/lift</v>
      </c>
      <c r="L253" s="211" t="s">
        <v>111</v>
      </c>
      <c r="M253" s="195" t="s">
        <v>693</v>
      </c>
      <c r="N253" s="197">
        <v>18.28</v>
      </c>
      <c r="O253" s="209"/>
      <c r="P253" s="241" t="str">
        <f>VLOOKUP(Ruimtestaat[[#This Row],[Ruimte code]],Ruimtegroepen[#All],4,FALSE)</f>
        <v>V  (Verkeersruimte)</v>
      </c>
      <c r="Q253" s="210"/>
      <c r="R253" s="211">
        <v>40</v>
      </c>
      <c r="S253" s="211" t="s">
        <v>2</v>
      </c>
      <c r="T253" s="211">
        <f>IF(R253&gt;0,IF(RIGHT(Ruimtestaat[[#This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253" s="211">
        <f>IF(T253&gt;0,VLOOKUP($J253,Ruimtegroepen[],3,FALSE)*VLOOKUP($L253,Vloersoorten[],3,FALSE)*VLOOKUP($S253,Frequenties[],3,FALSE)*VLOOKUP($A253,Locaties[],3,FALSE),0)</f>
        <v>100</v>
      </c>
      <c r="V253" s="211">
        <f>Ruimtestaat[[#This Row],[Uitvoeringen werkdagen]]*Ruimtestaat[[#This Row],[Oppervlak (netto)]]</f>
        <v>3656</v>
      </c>
      <c r="W253" s="257">
        <f>IF(U253&gt;0,Ruimtestaat[[#This Row],[Prest. (m2 /jaar) werkdagen]]/Ruimtestaat[[#This Row],[Norm (m2/uur) werkdagen]],0)</f>
        <v>36.56</v>
      </c>
      <c r="X253" s="258">
        <f>Ruimtestaat[[#This Row],[uren / jaar werkdagen]]*Tariefsopbouw!$D$38</f>
        <v>914</v>
      </c>
      <c r="Y253" s="33"/>
      <c r="Z253" s="33">
        <f>IF(Ruimtestaat[[#This Row],[Frequentie weekend]]&gt;0,VALUE(LEFT(Y253,1))*R253,0)</f>
        <v>0</v>
      </c>
      <c r="AA253" s="33">
        <f>IF($Z253&gt;0,VLOOKUP($J253,Ruimtegroepen[],3,FALSE)*VLOOKUP($L253,Vloersoorten[],3,FALSE)*VLOOKUP($Y253,Frequenties[],3,FALSE)*VLOOKUP(#REF!,Locaties[],3,FALSE),0)</f>
        <v>0</v>
      </c>
      <c r="AB253" s="33"/>
      <c r="AC253" s="33"/>
      <c r="AD253" s="33">
        <f>Ruimtestaat[[#This Row],[uren / jaar weekend]]*Tariefsopbouw!$D$40</f>
        <v>0</v>
      </c>
      <c r="AE253" s="88">
        <f>Ruimtestaat[[#This Row],[Prest. (m2 /jaar) weekend]]+Ruimtestaat[[#This Row],[Prest. (m2 /jaar) werkdagen]]</f>
        <v>3656</v>
      </c>
      <c r="AF253" s="88">
        <f>Ruimtestaat[[#This Row],[uren / jaar weekend]]+Ruimtestaat[[#This Row],[uren / jaar werkdagen]]</f>
        <v>36.56</v>
      </c>
      <c r="AG253" s="89">
        <f>Ruimtestaat[[#This Row],[kosten / jaar weekend]]+Ruimtestaat[[#This Row],[kosten / jaar werkdagen]]</f>
        <v>914</v>
      </c>
    </row>
    <row r="254" spans="1:33" ht="15" customHeight="1">
      <c r="A254" s="195">
        <v>3</v>
      </c>
      <c r="B254" s="195" t="str">
        <f>VLOOKUP(Ruimtestaat[[#This Row],[Code]],Locaties[#All],2,FALSE)</f>
        <v>Lichtenvoorde gebouw 1</v>
      </c>
      <c r="C254" s="241" t="str">
        <f>VLOOKUP(Ruimtestaat[[#This Row],[Code]],Locaties[#All],4,FALSE)</f>
        <v>Dr Ariensstraat 1</v>
      </c>
      <c r="D254" s="241" t="str">
        <f>VLOOKUP(Ruimtestaat[[#This Row],[Code]],Locaties[#All],5,FALSE)</f>
        <v>7131 XM </v>
      </c>
      <c r="E254" s="241" t="str">
        <f>VLOOKUP(Ruimtestaat[[#This Row],[Code]],Locaties[#All],6,FALSE)</f>
        <v>Lichtenvoorde</v>
      </c>
      <c r="F254" s="195"/>
      <c r="G254" s="195" t="s">
        <v>768</v>
      </c>
      <c r="H254" s="195" t="s">
        <v>835</v>
      </c>
      <c r="I254" s="242" t="s">
        <v>272</v>
      </c>
      <c r="J254" s="195">
        <v>10</v>
      </c>
      <c r="K254" s="260" t="str">
        <f>VLOOKUP(Ruimtestaat[[#This Row],[Ruimte code]],Ruimtegroepen[#All],2,FALSE)</f>
        <v>Trappenhuizen/lift</v>
      </c>
      <c r="L254" s="211" t="s">
        <v>110</v>
      </c>
      <c r="M254" s="195" t="s">
        <v>133</v>
      </c>
      <c r="N254" s="197">
        <v>2.2000000000000002</v>
      </c>
      <c r="O254" s="209"/>
      <c r="P254" s="241" t="str">
        <f>VLOOKUP(Ruimtestaat[[#This Row],[Ruimte code]],Ruimtegroepen[#All],4,FALSE)</f>
        <v>V  (Verkeersruimte)</v>
      </c>
      <c r="Q254" s="210"/>
      <c r="R254" s="211">
        <v>40</v>
      </c>
      <c r="S254" s="211" t="s">
        <v>18</v>
      </c>
      <c r="T254" s="211">
        <f>IF(R254&gt;0,IF(RIGHT(Ruimtestaat[[#This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U254" s="211">
        <f>IF(T254&gt;0,VLOOKUP($J254,Ruimtegroepen[],3,FALSE)*VLOOKUP($L254,Vloersoorten[],3,FALSE)*VLOOKUP($S254,Frequenties[],3,FALSE)*VLOOKUP($A254,Locaties[],3,FALSE),0)</f>
        <v>100</v>
      </c>
      <c r="V254" s="211">
        <f>Ruimtestaat[[#This Row],[Uitvoeringen werkdagen]]*Ruimtestaat[[#This Row],[Oppervlak (netto)]]</f>
        <v>264</v>
      </c>
      <c r="W254" s="257">
        <f>IF(U254&gt;0,Ruimtestaat[[#This Row],[Prest. (m2 /jaar) werkdagen]]/Ruimtestaat[[#This Row],[Norm (m2/uur) werkdagen]],0)</f>
        <v>2.64</v>
      </c>
      <c r="X254" s="258">
        <f>Ruimtestaat[[#This Row],[uren / jaar werkdagen]]*Tariefsopbouw!$D$38</f>
        <v>66</v>
      </c>
      <c r="Y254" s="33"/>
      <c r="Z254" s="33">
        <f>IF(Ruimtestaat[[#This Row],[Frequentie weekend]]&gt;0,VALUE(LEFT(Y254,1))*R254,0)</f>
        <v>0</v>
      </c>
      <c r="AA254" s="33">
        <f>IF($Z254&gt;0,VLOOKUP($J254,Ruimtegroepen[],3,FALSE)*VLOOKUP($L254,Vloersoorten[],3,FALSE)*VLOOKUP($Y254,Frequenties[],3,FALSE)*VLOOKUP(#REF!,Locaties[],3,FALSE),0)</f>
        <v>0</v>
      </c>
      <c r="AB254" s="33"/>
      <c r="AC254" s="33"/>
      <c r="AD254" s="33">
        <f>Ruimtestaat[[#This Row],[uren / jaar weekend]]*Tariefsopbouw!$D$40</f>
        <v>0</v>
      </c>
      <c r="AE254" s="88">
        <f>Ruimtestaat[[#This Row],[Prest. (m2 /jaar) weekend]]+Ruimtestaat[[#This Row],[Prest. (m2 /jaar) werkdagen]]</f>
        <v>264</v>
      </c>
      <c r="AF254" s="88">
        <f>Ruimtestaat[[#This Row],[uren / jaar weekend]]+Ruimtestaat[[#This Row],[uren / jaar werkdagen]]</f>
        <v>2.64</v>
      </c>
      <c r="AG254" s="89">
        <f>Ruimtestaat[[#This Row],[kosten / jaar weekend]]+Ruimtestaat[[#This Row],[kosten / jaar werkdagen]]</f>
        <v>66</v>
      </c>
    </row>
    <row r="255" spans="1:33" ht="15" customHeight="1">
      <c r="A255" s="195">
        <v>3</v>
      </c>
      <c r="B255" s="195" t="str">
        <f>VLOOKUP(Ruimtestaat[[#This Row],[Code]],Locaties[#All],2,FALSE)</f>
        <v>Lichtenvoorde gebouw 1</v>
      </c>
      <c r="C255" s="241" t="str">
        <f>VLOOKUP(Ruimtestaat[[#This Row],[Code]],Locaties[#All],4,FALSE)</f>
        <v>Dr Ariensstraat 1</v>
      </c>
      <c r="D255" s="241" t="str">
        <f>VLOOKUP(Ruimtestaat[[#This Row],[Code]],Locaties[#All],5,FALSE)</f>
        <v>7131 XM </v>
      </c>
      <c r="E255" s="241" t="str">
        <f>VLOOKUP(Ruimtestaat[[#This Row],[Code]],Locaties[#All],6,FALSE)</f>
        <v>Lichtenvoorde</v>
      </c>
      <c r="F255" s="195"/>
      <c r="G255" s="195" t="s">
        <v>768</v>
      </c>
      <c r="H255" s="195" t="s">
        <v>700</v>
      </c>
      <c r="I255" s="242" t="s">
        <v>441</v>
      </c>
      <c r="J255" s="195">
        <v>1</v>
      </c>
      <c r="K255" s="260" t="str">
        <f>VLOOKUP(Ruimtestaat[[#This Row],[Ruimte code]],Ruimtegroepen[#All],2,FALSE)</f>
        <v>Magazijnen/bergingen</v>
      </c>
      <c r="L255" s="211" t="s">
        <v>112</v>
      </c>
      <c r="M255" s="195" t="s">
        <v>694</v>
      </c>
      <c r="N255" s="197">
        <v>75.16</v>
      </c>
      <c r="O255" s="209"/>
      <c r="P255" s="241" t="str">
        <f>VLOOKUP(Ruimtestaat[[#This Row],[Ruimte code]],Ruimtegroepen[#All],4,FALSE)</f>
        <v>V  (Verkeersruimte)</v>
      </c>
      <c r="Q255" s="210"/>
      <c r="R255" s="211">
        <v>40</v>
      </c>
      <c r="S255" s="211" t="s">
        <v>16</v>
      </c>
      <c r="T255" s="211">
        <f>IF(R255&gt;0,IF(RIGHT(Ruimtestaat[[#This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U255" s="211">
        <f>IF(T255&gt;0,VLOOKUP($J255,Ruimtegroepen[],3,FALSE)*VLOOKUP($L255,Vloersoorten[],3,FALSE)*VLOOKUP($S255,Frequenties[],3,FALSE)*VLOOKUP($A255,Locaties[],3,FALSE),0)</f>
        <v>100</v>
      </c>
      <c r="V255" s="211">
        <f>Ruimtestaat[[#This Row],[Uitvoeringen werkdagen]]*Ruimtestaat[[#This Row],[Oppervlak (netto)]]</f>
        <v>901.92</v>
      </c>
      <c r="W255" s="257">
        <f>IF(U255&gt;0,Ruimtestaat[[#This Row],[Prest. (m2 /jaar) werkdagen]]/Ruimtestaat[[#This Row],[Norm (m2/uur) werkdagen]],0)</f>
        <v>9.0191999999999997</v>
      </c>
      <c r="X255" s="258">
        <f>Ruimtestaat[[#This Row],[uren / jaar werkdagen]]*Tariefsopbouw!$D$38</f>
        <v>225.48</v>
      </c>
      <c r="Y255" s="33"/>
      <c r="Z255" s="33">
        <f>IF(Ruimtestaat[[#This Row],[Frequentie weekend]]&gt;0,VALUE(LEFT(Y255,1))*R255,0)</f>
        <v>0</v>
      </c>
      <c r="AA255" s="33">
        <f>IF($Z255&gt;0,VLOOKUP($J255,Ruimtegroepen[],3,FALSE)*VLOOKUP($L255,Vloersoorten[],3,FALSE)*VLOOKUP($Y255,Frequenties[],3,FALSE)*VLOOKUP(#REF!,Locaties[],3,FALSE),0)</f>
        <v>0</v>
      </c>
      <c r="AB255" s="33"/>
      <c r="AC255" s="33"/>
      <c r="AD255" s="33">
        <f>Ruimtestaat[[#This Row],[uren / jaar weekend]]*Tariefsopbouw!$D$40</f>
        <v>0</v>
      </c>
      <c r="AE255" s="88">
        <f>Ruimtestaat[[#This Row],[Prest. (m2 /jaar) weekend]]+Ruimtestaat[[#This Row],[Prest. (m2 /jaar) werkdagen]]</f>
        <v>901.92</v>
      </c>
      <c r="AF255" s="88">
        <f>Ruimtestaat[[#This Row],[uren / jaar weekend]]+Ruimtestaat[[#This Row],[uren / jaar werkdagen]]</f>
        <v>9.0191999999999997</v>
      </c>
      <c r="AG255" s="89">
        <f>Ruimtestaat[[#This Row],[kosten / jaar weekend]]+Ruimtestaat[[#This Row],[kosten / jaar werkdagen]]</f>
        <v>225.48</v>
      </c>
    </row>
    <row r="256" spans="1:33" ht="15" customHeight="1">
      <c r="A256" s="195">
        <v>3</v>
      </c>
      <c r="B256" s="195" t="str">
        <f>VLOOKUP(Ruimtestaat[[#This Row],[Code]],Locaties[#All],2,FALSE)</f>
        <v>Lichtenvoorde gebouw 1</v>
      </c>
      <c r="C256" s="241" t="str">
        <f>VLOOKUP(Ruimtestaat[[#This Row],[Code]],Locaties[#All],4,FALSE)</f>
        <v>Dr Ariensstraat 1</v>
      </c>
      <c r="D256" s="241" t="str">
        <f>VLOOKUP(Ruimtestaat[[#This Row],[Code]],Locaties[#All],5,FALSE)</f>
        <v>7131 XM </v>
      </c>
      <c r="E256" s="241" t="str">
        <f>VLOOKUP(Ruimtestaat[[#This Row],[Code]],Locaties[#All],6,FALSE)</f>
        <v>Lichtenvoorde</v>
      </c>
      <c r="F256" s="195"/>
      <c r="G256" s="195" t="s">
        <v>768</v>
      </c>
      <c r="H256" s="195" t="s">
        <v>701</v>
      </c>
      <c r="I256" s="242" t="s">
        <v>765</v>
      </c>
      <c r="J256" s="195">
        <v>11</v>
      </c>
      <c r="K256" s="260" t="str">
        <f>VLOOKUP(Ruimtestaat[[#This Row],[Ruimte code]],Ruimtegroepen[#All],2,FALSE)</f>
        <v>Praktijklokaal</v>
      </c>
      <c r="L256" s="211" t="s">
        <v>112</v>
      </c>
      <c r="M256" s="195" t="s">
        <v>694</v>
      </c>
      <c r="N256" s="197">
        <v>211.86</v>
      </c>
      <c r="O256" s="209"/>
      <c r="P256" s="241" t="str">
        <f>VLOOKUP(Ruimtestaat[[#This Row],[Ruimte code]],Ruimtegroepen[#All],4,FALSE)</f>
        <v>L  (Lesruimte)</v>
      </c>
      <c r="Q256" s="210"/>
      <c r="R256" s="211">
        <v>40</v>
      </c>
      <c r="S256" s="211" t="s">
        <v>2</v>
      </c>
      <c r="T256" s="211">
        <f>IF(R256&gt;0,IF(RIGHT(Ruimtestaat[[#This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256" s="211">
        <f>IF(T256&gt;0,VLOOKUP($J256,Ruimtegroepen[],3,FALSE)*VLOOKUP($L256,Vloersoorten[],3,FALSE)*VLOOKUP($S256,Frequenties[],3,FALSE)*VLOOKUP($A256,Locaties[],3,FALSE),0)</f>
        <v>100</v>
      </c>
      <c r="V256" s="211">
        <f>Ruimtestaat[[#This Row],[Uitvoeringen werkdagen]]*Ruimtestaat[[#This Row],[Oppervlak (netto)]]</f>
        <v>42372</v>
      </c>
      <c r="W256" s="257">
        <f>IF(U256&gt;0,Ruimtestaat[[#This Row],[Prest. (m2 /jaar) werkdagen]]/Ruimtestaat[[#This Row],[Norm (m2/uur) werkdagen]],0)</f>
        <v>423.72</v>
      </c>
      <c r="X256" s="258">
        <f>Ruimtestaat[[#This Row],[uren / jaar werkdagen]]*Tariefsopbouw!$D$38</f>
        <v>10593</v>
      </c>
      <c r="Y256" s="33"/>
      <c r="Z256" s="33">
        <f>IF(Ruimtestaat[[#This Row],[Frequentie weekend]]&gt;0,VALUE(LEFT(Y256,1))*R256,0)</f>
        <v>0</v>
      </c>
      <c r="AA256" s="33">
        <f>IF($Z256&gt;0,VLOOKUP($J256,Ruimtegroepen[],3,FALSE)*VLOOKUP($L256,Vloersoorten[],3,FALSE)*VLOOKUP($Y256,Frequenties[],3,FALSE)*VLOOKUP(#REF!,Locaties[],3,FALSE),0)</f>
        <v>0</v>
      </c>
      <c r="AB256" s="33"/>
      <c r="AC256" s="33"/>
      <c r="AD256" s="33">
        <f>Ruimtestaat[[#This Row],[uren / jaar weekend]]*Tariefsopbouw!$D$40</f>
        <v>0</v>
      </c>
      <c r="AE256" s="88">
        <f>Ruimtestaat[[#This Row],[Prest. (m2 /jaar) weekend]]+Ruimtestaat[[#This Row],[Prest. (m2 /jaar) werkdagen]]</f>
        <v>42372</v>
      </c>
      <c r="AF256" s="88">
        <f>Ruimtestaat[[#This Row],[uren / jaar weekend]]+Ruimtestaat[[#This Row],[uren / jaar werkdagen]]</f>
        <v>423.72</v>
      </c>
      <c r="AG256" s="89">
        <f>Ruimtestaat[[#This Row],[kosten / jaar weekend]]+Ruimtestaat[[#This Row],[kosten / jaar werkdagen]]</f>
        <v>10593</v>
      </c>
    </row>
    <row r="257" spans="1:219" ht="15" customHeight="1">
      <c r="A257" s="195">
        <v>3</v>
      </c>
      <c r="B257" s="195" t="str">
        <f>VLOOKUP(Ruimtestaat[[#This Row],[Code]],Locaties[#All],2,FALSE)</f>
        <v>Lichtenvoorde gebouw 1</v>
      </c>
      <c r="C257" s="241" t="str">
        <f>VLOOKUP(Ruimtestaat[[#This Row],[Code]],Locaties[#All],4,FALSE)</f>
        <v>Dr Ariensstraat 1</v>
      </c>
      <c r="D257" s="241" t="str">
        <f>VLOOKUP(Ruimtestaat[[#This Row],[Code]],Locaties[#All],5,FALSE)</f>
        <v>7131 XM </v>
      </c>
      <c r="E257" s="241" t="str">
        <f>VLOOKUP(Ruimtestaat[[#This Row],[Code]],Locaties[#All],6,FALSE)</f>
        <v>Lichtenvoorde</v>
      </c>
      <c r="F257" s="195"/>
      <c r="G257" s="195" t="s">
        <v>768</v>
      </c>
      <c r="H257" s="195" t="s">
        <v>603</v>
      </c>
      <c r="I257" s="242" t="s">
        <v>765</v>
      </c>
      <c r="J257" s="241">
        <v>11</v>
      </c>
      <c r="K257" s="260" t="str">
        <f>VLOOKUP(Ruimtestaat[[#This Row],[Ruimte code]],Ruimtegroepen[#All],2,FALSE)</f>
        <v>Praktijklokaal</v>
      </c>
      <c r="L257" s="211" t="s">
        <v>112</v>
      </c>
      <c r="M257" s="195" t="s">
        <v>694</v>
      </c>
      <c r="N257" s="197">
        <v>55.87</v>
      </c>
      <c r="O257" s="209"/>
      <c r="P257" s="241" t="str">
        <f>VLOOKUP(Ruimtestaat[[#This Row],[Ruimte code]],Ruimtegroepen[#All],4,FALSE)</f>
        <v>L  (Lesruimte)</v>
      </c>
      <c r="Q257" s="210"/>
      <c r="R257" s="211">
        <v>40</v>
      </c>
      <c r="S257" s="211" t="s">
        <v>2</v>
      </c>
      <c r="T257" s="211">
        <f>IF(R257&gt;0,IF(RIGHT(Ruimtestaat[[#This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257" s="211">
        <f>IF(T257&gt;0,VLOOKUP($J257,Ruimtegroepen[],3,FALSE)*VLOOKUP($L257,Vloersoorten[],3,FALSE)*VLOOKUP($S257,Frequenties[],3,FALSE)*VLOOKUP($A257,Locaties[],3,FALSE),0)</f>
        <v>100</v>
      </c>
      <c r="V257" s="211">
        <f>Ruimtestaat[[#This Row],[Uitvoeringen werkdagen]]*Ruimtestaat[[#This Row],[Oppervlak (netto)]]</f>
        <v>11174</v>
      </c>
      <c r="W257" s="257">
        <f>IF(U257&gt;0,Ruimtestaat[[#This Row],[Prest. (m2 /jaar) werkdagen]]/Ruimtestaat[[#This Row],[Norm (m2/uur) werkdagen]],0)</f>
        <v>111.74</v>
      </c>
      <c r="X257" s="258">
        <f>Ruimtestaat[[#This Row],[uren / jaar werkdagen]]*Tariefsopbouw!$D$38</f>
        <v>2793.5</v>
      </c>
      <c r="Y257" s="33"/>
      <c r="Z257" s="33">
        <f>IF(Ruimtestaat[[#This Row],[Frequentie weekend]]&gt;0,VALUE(LEFT(Y257,1))*R257,0)</f>
        <v>0</v>
      </c>
      <c r="AA257" s="33">
        <f>IF($Z257&gt;0,VLOOKUP($J257,Ruimtegroepen[],3,FALSE)*VLOOKUP($L257,Vloersoorten[],3,FALSE)*VLOOKUP($Y257,Frequenties[],3,FALSE)*VLOOKUP(#REF!,Locaties[],3,FALSE),0)</f>
        <v>0</v>
      </c>
      <c r="AB257" s="33"/>
      <c r="AC257" s="33"/>
      <c r="AD257" s="33">
        <f>Ruimtestaat[[#This Row],[uren / jaar weekend]]*Tariefsopbouw!$D$40</f>
        <v>0</v>
      </c>
      <c r="AE257" s="88">
        <f>Ruimtestaat[[#This Row],[Prest. (m2 /jaar) weekend]]+Ruimtestaat[[#This Row],[Prest. (m2 /jaar) werkdagen]]</f>
        <v>11174</v>
      </c>
      <c r="AF257" s="88">
        <f>Ruimtestaat[[#This Row],[uren / jaar weekend]]+Ruimtestaat[[#This Row],[uren / jaar werkdagen]]</f>
        <v>111.74</v>
      </c>
      <c r="AG257" s="89">
        <f>Ruimtestaat[[#This Row],[kosten / jaar weekend]]+Ruimtestaat[[#This Row],[kosten / jaar werkdagen]]</f>
        <v>2793.5</v>
      </c>
    </row>
    <row r="258" spans="1:219" ht="15" customHeight="1">
      <c r="A258" s="195">
        <v>3</v>
      </c>
      <c r="B258" s="195" t="str">
        <f>VLOOKUP(Ruimtestaat[[#This Row],[Code]],Locaties[#All],2,FALSE)</f>
        <v>Lichtenvoorde gebouw 1</v>
      </c>
      <c r="C258" s="241" t="str">
        <f>VLOOKUP(Ruimtestaat[[#This Row],[Code]],Locaties[#All],4,FALSE)</f>
        <v>Dr Ariensstraat 1</v>
      </c>
      <c r="D258" s="241" t="str">
        <f>VLOOKUP(Ruimtestaat[[#This Row],[Code]],Locaties[#All],5,FALSE)</f>
        <v>7131 XM </v>
      </c>
      <c r="E258" s="241" t="str">
        <f>VLOOKUP(Ruimtestaat[[#This Row],[Code]],Locaties[#All],6,FALSE)</f>
        <v>Lichtenvoorde</v>
      </c>
      <c r="F258" s="195"/>
      <c r="G258" s="195" t="s">
        <v>768</v>
      </c>
      <c r="H258" s="195" t="s">
        <v>604</v>
      </c>
      <c r="I258" s="242" t="s">
        <v>382</v>
      </c>
      <c r="J258" s="241">
        <v>10</v>
      </c>
      <c r="K258" s="260" t="str">
        <f>VLOOKUP(Ruimtestaat[[#This Row],[Ruimte code]],Ruimtegroepen[#All],2,FALSE)</f>
        <v>Trappenhuizen/lift</v>
      </c>
      <c r="L258" s="211" t="s">
        <v>110</v>
      </c>
      <c r="M258" s="195" t="s">
        <v>133</v>
      </c>
      <c r="N258" s="197">
        <v>3.78</v>
      </c>
      <c r="O258" s="209"/>
      <c r="P258" s="241" t="str">
        <f>VLOOKUP(Ruimtestaat[[#This Row],[Ruimte code]],Ruimtegroepen[#All],4,FALSE)</f>
        <v>V  (Verkeersruimte)</v>
      </c>
      <c r="Q258" s="210"/>
      <c r="R258" s="211">
        <v>40</v>
      </c>
      <c r="S258" s="211" t="s">
        <v>2</v>
      </c>
      <c r="T258" s="211">
        <f>IF(R258&gt;0,IF(RIGHT(Ruimtestaat[[#This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258" s="211">
        <f>IF(T258&gt;0,VLOOKUP($J258,Ruimtegroepen[],3,FALSE)*VLOOKUP($L258,Vloersoorten[],3,FALSE)*VLOOKUP($S258,Frequenties[],3,FALSE)*VLOOKUP($A258,Locaties[],3,FALSE),0)</f>
        <v>100</v>
      </c>
      <c r="V258" s="211">
        <f>Ruimtestaat[[#This Row],[Uitvoeringen werkdagen]]*Ruimtestaat[[#This Row],[Oppervlak (netto)]]</f>
        <v>756</v>
      </c>
      <c r="W258" s="257">
        <f>IF(U258&gt;0,Ruimtestaat[[#This Row],[Prest. (m2 /jaar) werkdagen]]/Ruimtestaat[[#This Row],[Norm (m2/uur) werkdagen]],0)</f>
        <v>7.56</v>
      </c>
      <c r="X258" s="258">
        <f>Ruimtestaat[[#This Row],[uren / jaar werkdagen]]*Tariefsopbouw!$D$38</f>
        <v>189</v>
      </c>
      <c r="Y258" s="33"/>
      <c r="Z258" s="33">
        <f>IF(Ruimtestaat[[#This Row],[Frequentie weekend]]&gt;0,VALUE(LEFT(Y258,1))*R258,0)</f>
        <v>0</v>
      </c>
      <c r="AA258" s="33">
        <f>IF($Z258&gt;0,VLOOKUP($J258,Ruimtegroepen[],3,FALSE)*VLOOKUP($L258,Vloersoorten[],3,FALSE)*VLOOKUP($Y258,Frequenties[],3,FALSE)*VLOOKUP(#REF!,Locaties[],3,FALSE),0)</f>
        <v>0</v>
      </c>
      <c r="AB258" s="33"/>
      <c r="AC258" s="33"/>
      <c r="AD258" s="33">
        <f>Ruimtestaat[[#This Row],[uren / jaar weekend]]*Tariefsopbouw!$D$40</f>
        <v>0</v>
      </c>
      <c r="AE258" s="88">
        <f>Ruimtestaat[[#This Row],[Prest. (m2 /jaar) weekend]]+Ruimtestaat[[#This Row],[Prest. (m2 /jaar) werkdagen]]</f>
        <v>756</v>
      </c>
      <c r="AF258" s="88">
        <f>Ruimtestaat[[#This Row],[uren / jaar weekend]]+Ruimtestaat[[#This Row],[uren / jaar werkdagen]]</f>
        <v>7.56</v>
      </c>
      <c r="AG258" s="89">
        <f>Ruimtestaat[[#This Row],[kosten / jaar weekend]]+Ruimtestaat[[#This Row],[kosten / jaar werkdagen]]</f>
        <v>189</v>
      </c>
    </row>
    <row r="259" spans="1:219" ht="15" customHeight="1">
      <c r="A259" s="195">
        <v>3</v>
      </c>
      <c r="B259" s="195" t="str">
        <f>VLOOKUP(Ruimtestaat[[#This Row],[Code]],Locaties[#All],2,FALSE)</f>
        <v>Lichtenvoorde gebouw 1</v>
      </c>
      <c r="C259" s="241" t="str">
        <f>VLOOKUP(Ruimtestaat[[#This Row],[Code]],Locaties[#All],4,FALSE)</f>
        <v>Dr Ariensstraat 1</v>
      </c>
      <c r="D259" s="241" t="str">
        <f>VLOOKUP(Ruimtestaat[[#This Row],[Code]],Locaties[#All],5,FALSE)</f>
        <v>7131 XM </v>
      </c>
      <c r="E259" s="241" t="str">
        <f>VLOOKUP(Ruimtestaat[[#This Row],[Code]],Locaties[#All],6,FALSE)</f>
        <v>Lichtenvoorde</v>
      </c>
      <c r="F259" s="195"/>
      <c r="G259" s="195" t="s">
        <v>768</v>
      </c>
      <c r="H259" s="195" t="s">
        <v>702</v>
      </c>
      <c r="I259" s="242" t="s">
        <v>827</v>
      </c>
      <c r="J259" s="195">
        <v>20</v>
      </c>
      <c r="K259" s="260" t="str">
        <f>VLOOKUP(Ruimtestaat[[#This Row],[Ruimte code]],Ruimtegroepen[#All],2,FALSE)</f>
        <v>Beroepspraktijklokalen</v>
      </c>
      <c r="L259" s="211" t="s">
        <v>112</v>
      </c>
      <c r="M259" s="195" t="s">
        <v>130</v>
      </c>
      <c r="N259" s="197">
        <v>28.54</v>
      </c>
      <c r="O259" s="209"/>
      <c r="P259" s="241" t="str">
        <f>VLOOKUP(Ruimtestaat[[#This Row],[Ruimte code]],Ruimtegroepen[#All],4,FALSE)</f>
        <v>L  (Lesruimte)</v>
      </c>
      <c r="Q259" s="210"/>
      <c r="R259" s="211">
        <v>40</v>
      </c>
      <c r="S259" s="211" t="s">
        <v>15</v>
      </c>
      <c r="T259" s="211">
        <f>IF(R259&gt;0,IF(RIGHT(Ruimtestaat[[#This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U259" s="211">
        <f>IF(T259&gt;0,VLOOKUP($J259,Ruimtegroepen[],3,FALSE)*VLOOKUP($L259,Vloersoorten[],3,FALSE)*VLOOKUP($S259,Frequenties[],3,FALSE)*VLOOKUP($A259,Locaties[],3,FALSE),0)</f>
        <v>100</v>
      </c>
      <c r="V259" s="211">
        <f>Ruimtestaat[[#This Row],[Uitvoeringen werkdagen]]*Ruimtestaat[[#This Row],[Oppervlak (netto)]]</f>
        <v>1141.5999999999999</v>
      </c>
      <c r="W259" s="257">
        <f>IF(U259&gt;0,Ruimtestaat[[#This Row],[Prest. (m2 /jaar) werkdagen]]/Ruimtestaat[[#This Row],[Norm (m2/uur) werkdagen]],0)</f>
        <v>11.415999999999999</v>
      </c>
      <c r="X259" s="258">
        <f>Ruimtestaat[[#This Row],[uren / jaar werkdagen]]*Tariefsopbouw!$D$38</f>
        <v>285.39999999999998</v>
      </c>
      <c r="Y259" s="33"/>
      <c r="Z259" s="33">
        <f>IF(Ruimtestaat[[#This Row],[Frequentie weekend]]&gt;0,VALUE(LEFT(Y259,1))*R259,0)</f>
        <v>0</v>
      </c>
      <c r="AA259" s="33">
        <f>IF($Z259&gt;0,VLOOKUP($J259,Ruimtegroepen[],3,FALSE)*VLOOKUP($L259,Vloersoorten[],3,FALSE)*VLOOKUP($Y259,Frequenties[],3,FALSE)*VLOOKUP(#REF!,Locaties[],3,FALSE),0)</f>
        <v>0</v>
      </c>
      <c r="AB259" s="33"/>
      <c r="AC259" s="33"/>
      <c r="AD259" s="33">
        <f>Ruimtestaat[[#This Row],[uren / jaar weekend]]*Tariefsopbouw!$D$40</f>
        <v>0</v>
      </c>
      <c r="AE259" s="88">
        <f>Ruimtestaat[[#This Row],[Prest. (m2 /jaar) weekend]]+Ruimtestaat[[#This Row],[Prest. (m2 /jaar) werkdagen]]</f>
        <v>1141.5999999999999</v>
      </c>
      <c r="AF259" s="88">
        <f>Ruimtestaat[[#This Row],[uren / jaar weekend]]+Ruimtestaat[[#This Row],[uren / jaar werkdagen]]</f>
        <v>11.415999999999999</v>
      </c>
      <c r="AG259" s="89">
        <f>Ruimtestaat[[#This Row],[kosten / jaar weekend]]+Ruimtestaat[[#This Row],[kosten / jaar werkdagen]]</f>
        <v>285.39999999999998</v>
      </c>
    </row>
    <row r="260" spans="1:219" ht="15" customHeight="1">
      <c r="A260" s="195">
        <v>3</v>
      </c>
      <c r="B260" s="195" t="str">
        <f>VLOOKUP(Ruimtestaat[[#This Row],[Code]],Locaties[#All],2,FALSE)</f>
        <v>Lichtenvoorde gebouw 1</v>
      </c>
      <c r="C260" s="241" t="str">
        <f>VLOOKUP(Ruimtestaat[[#This Row],[Code]],Locaties[#All],4,FALSE)</f>
        <v>Dr Ariensstraat 1</v>
      </c>
      <c r="D260" s="241" t="str">
        <f>VLOOKUP(Ruimtestaat[[#This Row],[Code]],Locaties[#All],5,FALSE)</f>
        <v>7131 XM </v>
      </c>
      <c r="E260" s="241" t="str">
        <f>VLOOKUP(Ruimtestaat[[#This Row],[Code]],Locaties[#All],6,FALSE)</f>
        <v>Lichtenvoorde</v>
      </c>
      <c r="F260" s="195"/>
      <c r="G260" s="195" t="s">
        <v>768</v>
      </c>
      <c r="H260" s="195" t="s">
        <v>703</v>
      </c>
      <c r="I260" s="242" t="s">
        <v>827</v>
      </c>
      <c r="J260" s="195">
        <v>20</v>
      </c>
      <c r="K260" s="260" t="str">
        <f>VLOOKUP(Ruimtestaat[[#This Row],[Ruimte code]],Ruimtegroepen[#All],2,FALSE)</f>
        <v>Beroepspraktijklokalen</v>
      </c>
      <c r="L260" s="211" t="s">
        <v>112</v>
      </c>
      <c r="M260" s="195" t="s">
        <v>130</v>
      </c>
      <c r="N260" s="197">
        <v>4.5</v>
      </c>
      <c r="O260" s="209"/>
      <c r="P260" s="241" t="str">
        <f>VLOOKUP(Ruimtestaat[[#This Row],[Ruimte code]],Ruimtegroepen[#All],4,FALSE)</f>
        <v>L  (Lesruimte)</v>
      </c>
      <c r="Q260" s="210"/>
      <c r="R260" s="211">
        <v>40</v>
      </c>
      <c r="S260" s="211" t="s">
        <v>16</v>
      </c>
      <c r="T260" s="211">
        <f>IF(R260&gt;0,IF(RIGHT(Ruimtestaat[[#This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U260" s="211">
        <f>IF(T260&gt;0,VLOOKUP($J260,Ruimtegroepen[],3,FALSE)*VLOOKUP($L260,Vloersoorten[],3,FALSE)*VLOOKUP($S260,Frequenties[],3,FALSE)*VLOOKUP($A260,Locaties[],3,FALSE),0)</f>
        <v>100</v>
      </c>
      <c r="V260" s="211">
        <f>Ruimtestaat[[#This Row],[Uitvoeringen werkdagen]]*Ruimtestaat[[#This Row],[Oppervlak (netto)]]</f>
        <v>54</v>
      </c>
      <c r="W260" s="257">
        <f>IF(U260&gt;0,Ruimtestaat[[#This Row],[Prest. (m2 /jaar) werkdagen]]/Ruimtestaat[[#This Row],[Norm (m2/uur) werkdagen]],0)</f>
        <v>0.54</v>
      </c>
      <c r="X260" s="258">
        <f>Ruimtestaat[[#This Row],[uren / jaar werkdagen]]*Tariefsopbouw!$D$38</f>
        <v>13.5</v>
      </c>
      <c r="Y260" s="33"/>
      <c r="Z260" s="33">
        <f>IF(Ruimtestaat[[#This Row],[Frequentie weekend]]&gt;0,VALUE(LEFT(Y260,1))*R260,0)</f>
        <v>0</v>
      </c>
      <c r="AA260" s="33">
        <f>IF($Z260&gt;0,VLOOKUP($J260,Ruimtegroepen[],3,FALSE)*VLOOKUP($L260,Vloersoorten[],3,FALSE)*VLOOKUP($Y260,Frequenties[],3,FALSE)*VLOOKUP(#REF!,Locaties[],3,FALSE),0)</f>
        <v>0</v>
      </c>
      <c r="AB260" s="33"/>
      <c r="AC260" s="33"/>
      <c r="AD260" s="33">
        <f>Ruimtestaat[[#This Row],[uren / jaar weekend]]*Tariefsopbouw!$D$40</f>
        <v>0</v>
      </c>
      <c r="AE260" s="88">
        <f>Ruimtestaat[[#This Row],[Prest. (m2 /jaar) weekend]]+Ruimtestaat[[#This Row],[Prest. (m2 /jaar) werkdagen]]</f>
        <v>54</v>
      </c>
      <c r="AF260" s="88">
        <f>Ruimtestaat[[#This Row],[uren / jaar weekend]]+Ruimtestaat[[#This Row],[uren / jaar werkdagen]]</f>
        <v>0.54</v>
      </c>
      <c r="AG260" s="89">
        <f>Ruimtestaat[[#This Row],[kosten / jaar weekend]]+Ruimtestaat[[#This Row],[kosten / jaar werkdagen]]</f>
        <v>13.5</v>
      </c>
    </row>
    <row r="261" spans="1:219" ht="15" customHeight="1">
      <c r="A261" s="195">
        <v>3</v>
      </c>
      <c r="B261" s="195" t="str">
        <f>VLOOKUP(Ruimtestaat[[#This Row],[Code]],Locaties[#All],2,FALSE)</f>
        <v>Lichtenvoorde gebouw 1</v>
      </c>
      <c r="C261" s="241" t="str">
        <f>VLOOKUP(Ruimtestaat[[#This Row],[Code]],Locaties[#All],4,FALSE)</f>
        <v>Dr Ariensstraat 1</v>
      </c>
      <c r="D261" s="241" t="str">
        <f>VLOOKUP(Ruimtestaat[[#This Row],[Code]],Locaties[#All],5,FALSE)</f>
        <v>7131 XM </v>
      </c>
      <c r="E261" s="241" t="str">
        <f>VLOOKUP(Ruimtestaat[[#This Row],[Code]],Locaties[#All],6,FALSE)</f>
        <v>Lichtenvoorde</v>
      </c>
      <c r="F261" s="195"/>
      <c r="G261" s="195" t="s">
        <v>768</v>
      </c>
      <c r="H261" s="211" t="s">
        <v>704</v>
      </c>
      <c r="I261" s="256" t="s">
        <v>827</v>
      </c>
      <c r="J261" s="195">
        <v>20</v>
      </c>
      <c r="K261" s="262" t="str">
        <f>VLOOKUP(Ruimtestaat[[#This Row],[Ruimte code]],Ruimtegroepen[#All],2,FALSE)</f>
        <v>Beroepspraktijklokalen</v>
      </c>
      <c r="L261" s="211" t="s">
        <v>112</v>
      </c>
      <c r="M261" s="195" t="s">
        <v>130</v>
      </c>
      <c r="N261" s="197">
        <v>33.840000000000003</v>
      </c>
      <c r="O261" s="209"/>
      <c r="P261" s="241" t="str">
        <f>VLOOKUP(Ruimtestaat[[#This Row],[Ruimte code]],Ruimtegroepen[#All],4,FALSE)</f>
        <v>L  (Lesruimte)</v>
      </c>
      <c r="Q261" s="210"/>
      <c r="R261" s="211">
        <v>40</v>
      </c>
      <c r="S261" s="211" t="s">
        <v>15</v>
      </c>
      <c r="T261" s="211">
        <f>IF(R261&gt;0,IF(RIGHT(Ruimtestaat[[#This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U261" s="211">
        <f>IF(T261&gt;0,VLOOKUP($J261,Ruimtegroepen[],3,FALSE)*VLOOKUP($L261,Vloersoorten[],3,FALSE)*VLOOKUP($S261,Frequenties[],3,FALSE)*VLOOKUP($A261,Locaties[],3,FALSE),0)</f>
        <v>100</v>
      </c>
      <c r="V261" s="211">
        <f>Ruimtestaat[[#This Row],[Uitvoeringen werkdagen]]*Ruimtestaat[[#This Row],[Oppervlak (netto)]]</f>
        <v>1353.6000000000001</v>
      </c>
      <c r="W261" s="257">
        <f>IF(U261&gt;0,Ruimtestaat[[#This Row],[Prest. (m2 /jaar) werkdagen]]/Ruimtestaat[[#This Row],[Norm (m2/uur) werkdagen]],0)</f>
        <v>13.536000000000001</v>
      </c>
      <c r="X261" s="258">
        <f>Ruimtestaat[[#This Row],[uren / jaar werkdagen]]*Tariefsopbouw!$D$38</f>
        <v>338.40000000000003</v>
      </c>
      <c r="Y261" s="33"/>
      <c r="Z261" s="33">
        <f>IF(Ruimtestaat[[#This Row],[Frequentie weekend]]&gt;0,VALUE(LEFT(Y261,1))*R261,0)</f>
        <v>0</v>
      </c>
      <c r="AA261" s="33">
        <f>IF($Z261&gt;0,VLOOKUP($J261,Ruimtegroepen[],3,FALSE)*VLOOKUP($L261,Vloersoorten[],3,FALSE)*VLOOKUP($Y261,Frequenties[],3,FALSE)*VLOOKUP(#REF!,Locaties[],3,FALSE),0)</f>
        <v>0</v>
      </c>
      <c r="AB261" s="33"/>
      <c r="AC261" s="33"/>
      <c r="AD261" s="33">
        <f>Ruimtestaat[[#This Row],[uren / jaar weekend]]*Tariefsopbouw!$D$40</f>
        <v>0</v>
      </c>
      <c r="AE261" s="88">
        <f>Ruimtestaat[[#This Row],[Prest. (m2 /jaar) weekend]]+Ruimtestaat[[#This Row],[Prest. (m2 /jaar) werkdagen]]</f>
        <v>1353.6000000000001</v>
      </c>
      <c r="AF261" s="88">
        <f>Ruimtestaat[[#This Row],[uren / jaar weekend]]+Ruimtestaat[[#This Row],[uren / jaar werkdagen]]</f>
        <v>13.536000000000001</v>
      </c>
      <c r="AG261" s="89">
        <f>Ruimtestaat[[#This Row],[kosten / jaar weekend]]+Ruimtestaat[[#This Row],[kosten / jaar werkdagen]]</f>
        <v>338.40000000000003</v>
      </c>
    </row>
    <row r="262" spans="1:219" ht="15" customHeight="1">
      <c r="A262" s="195">
        <v>3</v>
      </c>
      <c r="B262" s="195" t="str">
        <f>VLOOKUP(Ruimtestaat[[#This Row],[Code]],Locaties[#All],2,FALSE)</f>
        <v>Lichtenvoorde gebouw 1</v>
      </c>
      <c r="C262" s="241" t="str">
        <f>VLOOKUP(Ruimtestaat[[#This Row],[Code]],Locaties[#All],4,FALSE)</f>
        <v>Dr Ariensstraat 1</v>
      </c>
      <c r="D262" s="241" t="str">
        <f>VLOOKUP(Ruimtestaat[[#This Row],[Code]],Locaties[#All],5,FALSE)</f>
        <v>7131 XM </v>
      </c>
      <c r="E262" s="241" t="str">
        <f>VLOOKUP(Ruimtestaat[[#This Row],[Code]],Locaties[#All],6,FALSE)</f>
        <v>Lichtenvoorde</v>
      </c>
      <c r="F262" s="195"/>
      <c r="G262" s="195" t="s">
        <v>768</v>
      </c>
      <c r="H262" s="211" t="s">
        <v>705</v>
      </c>
      <c r="I262" s="256" t="s">
        <v>827</v>
      </c>
      <c r="J262" s="195">
        <v>20</v>
      </c>
      <c r="K262" s="262" t="str">
        <f>VLOOKUP(Ruimtestaat[[#This Row],[Ruimte code]],Ruimtegroepen[#All],2,FALSE)</f>
        <v>Beroepspraktijklokalen</v>
      </c>
      <c r="L262" s="211" t="s">
        <v>112</v>
      </c>
      <c r="M262" s="195" t="s">
        <v>130</v>
      </c>
      <c r="N262" s="197">
        <v>89.01</v>
      </c>
      <c r="O262" s="209"/>
      <c r="P262" s="241" t="str">
        <f>VLOOKUP(Ruimtestaat[[#This Row],[Ruimte code]],Ruimtegroepen[#All],4,FALSE)</f>
        <v>L  (Lesruimte)</v>
      </c>
      <c r="Q262" s="210"/>
      <c r="R262" s="211">
        <v>40</v>
      </c>
      <c r="S262" s="211" t="s">
        <v>15</v>
      </c>
      <c r="T262" s="211">
        <f>IF(R262&gt;0,IF(RIGHT(Ruimtestaat[[#This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U262" s="211">
        <f>IF(T262&gt;0,VLOOKUP($J262,Ruimtegroepen[],3,FALSE)*VLOOKUP($L262,Vloersoorten[],3,FALSE)*VLOOKUP($S262,Frequenties[],3,FALSE)*VLOOKUP($A262,Locaties[],3,FALSE),0)</f>
        <v>100</v>
      </c>
      <c r="V262" s="211">
        <f>Ruimtestaat[[#This Row],[Uitvoeringen werkdagen]]*Ruimtestaat[[#This Row],[Oppervlak (netto)]]</f>
        <v>3560.4</v>
      </c>
      <c r="W262" s="257">
        <f>IF(U262&gt;0,Ruimtestaat[[#This Row],[Prest. (m2 /jaar) werkdagen]]/Ruimtestaat[[#This Row],[Norm (m2/uur) werkdagen]],0)</f>
        <v>35.603999999999999</v>
      </c>
      <c r="X262" s="258">
        <f>Ruimtestaat[[#This Row],[uren / jaar werkdagen]]*Tariefsopbouw!$D$38</f>
        <v>890.1</v>
      </c>
      <c r="Y262" s="33"/>
      <c r="Z262" s="33">
        <f>IF(Ruimtestaat[[#This Row],[Frequentie weekend]]&gt;0,VALUE(LEFT(Y262,1))*R262,0)</f>
        <v>0</v>
      </c>
      <c r="AA262" s="33">
        <f>IF($Z262&gt;0,VLOOKUP($J262,Ruimtegroepen[],3,FALSE)*VLOOKUP($L262,Vloersoorten[],3,FALSE)*VLOOKUP($Y262,Frequenties[],3,FALSE)*VLOOKUP(#REF!,Locaties[],3,FALSE),0)</f>
        <v>0</v>
      </c>
      <c r="AB262" s="33"/>
      <c r="AC262" s="33"/>
      <c r="AD262" s="33">
        <f>Ruimtestaat[[#This Row],[uren / jaar weekend]]*Tariefsopbouw!$D$40</f>
        <v>0</v>
      </c>
      <c r="AE262" s="88">
        <f>Ruimtestaat[[#This Row],[Prest. (m2 /jaar) weekend]]+Ruimtestaat[[#This Row],[Prest. (m2 /jaar) werkdagen]]</f>
        <v>3560.4</v>
      </c>
      <c r="AF262" s="88">
        <f>Ruimtestaat[[#This Row],[uren / jaar weekend]]+Ruimtestaat[[#This Row],[uren / jaar werkdagen]]</f>
        <v>35.603999999999999</v>
      </c>
      <c r="AG262" s="89">
        <f>Ruimtestaat[[#This Row],[kosten / jaar weekend]]+Ruimtestaat[[#This Row],[kosten / jaar werkdagen]]</f>
        <v>890.1</v>
      </c>
    </row>
    <row r="263" spans="1:219" ht="15" customHeight="1">
      <c r="A263" s="195">
        <v>3</v>
      </c>
      <c r="B263" s="195" t="str">
        <f>VLOOKUP(Ruimtestaat[[#This Row],[Code]],Locaties[#All],2,FALSE)</f>
        <v>Lichtenvoorde gebouw 1</v>
      </c>
      <c r="C263" s="241" t="str">
        <f>VLOOKUP(Ruimtestaat[[#This Row],[Code]],Locaties[#All],4,FALSE)</f>
        <v>Dr Ariensstraat 1</v>
      </c>
      <c r="D263" s="241" t="str">
        <f>VLOOKUP(Ruimtestaat[[#This Row],[Code]],Locaties[#All],5,FALSE)</f>
        <v>7131 XM </v>
      </c>
      <c r="E263" s="241" t="str">
        <f>VLOOKUP(Ruimtestaat[[#This Row],[Code]],Locaties[#All],6,FALSE)</f>
        <v>Lichtenvoorde</v>
      </c>
      <c r="F263" s="195"/>
      <c r="G263" s="195" t="s">
        <v>768</v>
      </c>
      <c r="H263" s="195" t="s">
        <v>605</v>
      </c>
      <c r="I263" s="242" t="s">
        <v>382</v>
      </c>
      <c r="J263" s="195">
        <v>16</v>
      </c>
      <c r="K263" s="260" t="str">
        <f>VLOOKUP(Ruimtestaat[[#This Row],[Ruimte code]],Ruimtegroepen[#All],2,FALSE)</f>
        <v>Lokaal</v>
      </c>
      <c r="L263" s="211" t="s">
        <v>109</v>
      </c>
      <c r="M263" s="195" t="s">
        <v>38</v>
      </c>
      <c r="N263" s="197">
        <v>58.5</v>
      </c>
      <c r="O263" s="209"/>
      <c r="P263" s="241" t="str">
        <f>VLOOKUP(Ruimtestaat[[#This Row],[Ruimte code]],Ruimtegroepen[#All],4,FALSE)</f>
        <v>L  (Lesruimte)</v>
      </c>
      <c r="Q263" s="210"/>
      <c r="R263" s="211">
        <v>40</v>
      </c>
      <c r="S263" s="211" t="s">
        <v>2</v>
      </c>
      <c r="T263" s="211">
        <f>IF(R263&gt;0,IF(RIGHT(Ruimtestaat[[#This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263" s="211">
        <f>IF(T263&gt;0,VLOOKUP($J263,Ruimtegroepen[],3,FALSE)*VLOOKUP($L263,Vloersoorten[],3,FALSE)*VLOOKUP($S263,Frequenties[],3,FALSE)*VLOOKUP($A263,Locaties[],3,FALSE),0)</f>
        <v>100</v>
      </c>
      <c r="V263" s="211">
        <f>Ruimtestaat[[#This Row],[Uitvoeringen werkdagen]]*Ruimtestaat[[#This Row],[Oppervlak (netto)]]</f>
        <v>11700</v>
      </c>
      <c r="W263" s="257">
        <f>IF(U263&gt;0,Ruimtestaat[[#This Row],[Prest. (m2 /jaar) werkdagen]]/Ruimtestaat[[#This Row],[Norm (m2/uur) werkdagen]],0)</f>
        <v>117</v>
      </c>
      <c r="X263" s="258">
        <f>Ruimtestaat[[#This Row],[uren / jaar werkdagen]]*Tariefsopbouw!$D$38</f>
        <v>2925</v>
      </c>
      <c r="Y263" s="33"/>
      <c r="Z263" s="33">
        <f>IF(Ruimtestaat[[#This Row],[Frequentie weekend]]&gt;0,VALUE(LEFT(Y263,1))*R263,0)</f>
        <v>0</v>
      </c>
      <c r="AA263" s="33">
        <f>IF($Z263&gt;0,VLOOKUP($J263,Ruimtegroepen[],3,FALSE)*VLOOKUP($L263,Vloersoorten[],3,FALSE)*VLOOKUP($Y263,Frequenties[],3,FALSE)*VLOOKUP(#REF!,Locaties[],3,FALSE),0)</f>
        <v>0</v>
      </c>
      <c r="AB263" s="33"/>
      <c r="AC263" s="33"/>
      <c r="AD263" s="33">
        <f>Ruimtestaat[[#This Row],[uren / jaar weekend]]*Tariefsopbouw!$D$40</f>
        <v>0</v>
      </c>
      <c r="AE263" s="88">
        <f>Ruimtestaat[[#This Row],[Prest. (m2 /jaar) weekend]]+Ruimtestaat[[#This Row],[Prest. (m2 /jaar) werkdagen]]</f>
        <v>11700</v>
      </c>
      <c r="AF263" s="88">
        <f>Ruimtestaat[[#This Row],[uren / jaar weekend]]+Ruimtestaat[[#This Row],[uren / jaar werkdagen]]</f>
        <v>117</v>
      </c>
      <c r="AG263" s="89">
        <f>Ruimtestaat[[#This Row],[kosten / jaar weekend]]+Ruimtestaat[[#This Row],[kosten / jaar werkdagen]]</f>
        <v>2925</v>
      </c>
    </row>
    <row r="264" spans="1:219" ht="15" customHeight="1">
      <c r="A264" s="195">
        <v>3</v>
      </c>
      <c r="B264" s="195" t="str">
        <f>VLOOKUP(Ruimtestaat[[#This Row],[Code]],Locaties[#All],2,FALSE)</f>
        <v>Lichtenvoorde gebouw 1</v>
      </c>
      <c r="C264" s="241" t="str">
        <f>VLOOKUP(Ruimtestaat[[#This Row],[Code]],Locaties[#All],4,FALSE)</f>
        <v>Dr Ariensstraat 1</v>
      </c>
      <c r="D264" s="241" t="str">
        <f>VLOOKUP(Ruimtestaat[[#This Row],[Code]],Locaties[#All],5,FALSE)</f>
        <v>7131 XM </v>
      </c>
      <c r="E264" s="241" t="str">
        <f>VLOOKUP(Ruimtestaat[[#This Row],[Code]],Locaties[#All],6,FALSE)</f>
        <v>Lichtenvoorde</v>
      </c>
      <c r="F264" s="195"/>
      <c r="G264" s="195" t="s">
        <v>768</v>
      </c>
      <c r="H264" s="195" t="s">
        <v>706</v>
      </c>
      <c r="I264" s="242" t="s">
        <v>382</v>
      </c>
      <c r="J264" s="195">
        <v>10</v>
      </c>
      <c r="K264" s="260" t="str">
        <f>VLOOKUP(Ruimtestaat[[#This Row],[Ruimte code]],Ruimtegroepen[#All],2,FALSE)</f>
        <v>Trappenhuizen/lift</v>
      </c>
      <c r="L264" s="211" t="s">
        <v>111</v>
      </c>
      <c r="M264" s="195" t="s">
        <v>845</v>
      </c>
      <c r="N264" s="197">
        <v>7.04</v>
      </c>
      <c r="O264" s="209"/>
      <c r="P264" s="241" t="str">
        <f>VLOOKUP(Ruimtestaat[[#This Row],[Ruimte code]],Ruimtegroepen[#All],4,FALSE)</f>
        <v>V  (Verkeersruimte)</v>
      </c>
      <c r="Q264" s="210"/>
      <c r="R264" s="211">
        <v>40</v>
      </c>
      <c r="S264" s="211" t="s">
        <v>2</v>
      </c>
      <c r="T264" s="211">
        <f>IF(R264&gt;0,IF(RIGHT(Ruimtestaat[[#This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264" s="211">
        <f>IF(T264&gt;0,VLOOKUP($J264,Ruimtegroepen[],3,FALSE)*VLOOKUP($L264,Vloersoorten[],3,FALSE)*VLOOKUP($S264,Frequenties[],3,FALSE)*VLOOKUP($A264,Locaties[],3,FALSE),0)</f>
        <v>100</v>
      </c>
      <c r="V264" s="211">
        <f>Ruimtestaat[[#This Row],[Uitvoeringen werkdagen]]*Ruimtestaat[[#This Row],[Oppervlak (netto)]]</f>
        <v>1408</v>
      </c>
      <c r="W264" s="257">
        <f>IF(U264&gt;0,Ruimtestaat[[#This Row],[Prest. (m2 /jaar) werkdagen]]/Ruimtestaat[[#This Row],[Norm (m2/uur) werkdagen]],0)</f>
        <v>14.08</v>
      </c>
      <c r="X264" s="258">
        <f>Ruimtestaat[[#This Row],[uren / jaar werkdagen]]*Tariefsopbouw!$D$38</f>
        <v>352</v>
      </c>
      <c r="Y264" s="33"/>
      <c r="Z264" s="33">
        <f>IF(Ruimtestaat[[#This Row],[Frequentie weekend]]&gt;0,VALUE(LEFT(Y264,1))*R264,0)</f>
        <v>0</v>
      </c>
      <c r="AA264" s="33">
        <f>IF($Z264&gt;0,VLOOKUP($J264,Ruimtegroepen[],3,FALSE)*VLOOKUP($L264,Vloersoorten[],3,FALSE)*VLOOKUP($Y264,Frequenties[],3,FALSE)*VLOOKUP(#REF!,Locaties[],3,FALSE),0)</f>
        <v>0</v>
      </c>
      <c r="AB264" s="33"/>
      <c r="AC264" s="33"/>
      <c r="AD264" s="33">
        <f>Ruimtestaat[[#This Row],[uren / jaar weekend]]*Tariefsopbouw!$D$40</f>
        <v>0</v>
      </c>
      <c r="AE264" s="88">
        <f>Ruimtestaat[[#This Row],[Prest. (m2 /jaar) weekend]]+Ruimtestaat[[#This Row],[Prest. (m2 /jaar) werkdagen]]</f>
        <v>1408</v>
      </c>
      <c r="AF264" s="88">
        <f>Ruimtestaat[[#This Row],[uren / jaar weekend]]+Ruimtestaat[[#This Row],[uren / jaar werkdagen]]</f>
        <v>14.08</v>
      </c>
      <c r="AG264" s="89">
        <f>Ruimtestaat[[#This Row],[kosten / jaar weekend]]+Ruimtestaat[[#This Row],[kosten / jaar werkdagen]]</f>
        <v>352</v>
      </c>
    </row>
    <row r="265" spans="1:219" ht="15" customHeight="1">
      <c r="A265" s="195">
        <v>3</v>
      </c>
      <c r="B265" s="195" t="str">
        <f>VLOOKUP(Ruimtestaat[[#This Row],[Code]],Locaties[#All],2,FALSE)</f>
        <v>Lichtenvoorde gebouw 1</v>
      </c>
      <c r="C265" s="241" t="str">
        <f>VLOOKUP(Ruimtestaat[[#This Row],[Code]],Locaties[#All],4,FALSE)</f>
        <v>Dr Ariensstraat 1</v>
      </c>
      <c r="D265" s="241" t="str">
        <f>VLOOKUP(Ruimtestaat[[#This Row],[Code]],Locaties[#All],5,FALSE)</f>
        <v>7131 XM </v>
      </c>
      <c r="E265" s="241" t="str">
        <f>VLOOKUP(Ruimtestaat[[#This Row],[Code]],Locaties[#All],6,FALSE)</f>
        <v>Lichtenvoorde</v>
      </c>
      <c r="F265" s="195"/>
      <c r="G265" s="195" t="s">
        <v>628</v>
      </c>
      <c r="H265" s="195" t="s">
        <v>632</v>
      </c>
      <c r="I265" s="242" t="s">
        <v>441</v>
      </c>
      <c r="J265" s="211">
        <v>21</v>
      </c>
      <c r="K265" s="260" t="str">
        <f>VLOOKUP(Ruimtestaat[[#This Row],[Ruimte code]],Ruimtegroepen[#All],2,FALSE)</f>
        <v>Niet in onderhoud</v>
      </c>
      <c r="L265" s="211"/>
      <c r="M265" s="195"/>
      <c r="N265" s="197"/>
      <c r="O265" s="209">
        <v>21.56</v>
      </c>
      <c r="P265" s="241" t="str">
        <f>VLOOKUP(Ruimtestaat[[#This Row],[Ruimte code]],Ruimtegroepen[#All],4,FALSE)</f>
        <v>Niet in onderhoud</v>
      </c>
      <c r="Q265" s="210"/>
      <c r="R265" s="211"/>
      <c r="S265" s="211"/>
      <c r="T265" s="211">
        <f>IF(R265&gt;0,IF(RIGHT(Ruimtestaat[[#This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265" s="211">
        <f>IF(T265&gt;0,VLOOKUP($J265,Ruimtegroepen[],3,FALSE)*VLOOKUP($L265,Vloersoorten[],3,FALSE)*VLOOKUP($S265,Frequenties[],3,FALSE)*VLOOKUP($A265,Locaties[],3,FALSE),0)</f>
        <v>0</v>
      </c>
      <c r="V265" s="211">
        <f>Ruimtestaat[[#This Row],[Uitvoeringen werkdagen]]*Ruimtestaat[[#This Row],[Oppervlak (netto)]]</f>
        <v>0</v>
      </c>
      <c r="W265" s="257">
        <f>IF(U265&gt;0,Ruimtestaat[[#This Row],[Prest. (m2 /jaar) werkdagen]]/Ruimtestaat[[#This Row],[Norm (m2/uur) werkdagen]],0)</f>
        <v>0</v>
      </c>
      <c r="X265" s="258">
        <f>Ruimtestaat[[#This Row],[uren / jaar werkdagen]]*Tariefsopbouw!$D$38</f>
        <v>0</v>
      </c>
      <c r="Y265" s="33"/>
      <c r="Z265" s="33">
        <f>IF(Ruimtestaat[[#This Row],[Frequentie weekend]]&gt;0,VALUE(LEFT(Y265,1))*R265,0)</f>
        <v>0</v>
      </c>
      <c r="AA265" s="33">
        <f>IF($Z265&gt;0,VLOOKUP($J265,Ruimtegroepen[],3,FALSE)*VLOOKUP($L265,Vloersoorten[],3,FALSE)*VLOOKUP($Y265,Frequenties[],3,FALSE)*VLOOKUP(#REF!,Locaties[],3,FALSE),0)</f>
        <v>0</v>
      </c>
      <c r="AB265" s="33"/>
      <c r="AC265" s="33"/>
      <c r="AD265" s="33">
        <f>Ruimtestaat[[#This Row],[uren / jaar weekend]]*Tariefsopbouw!$D$40</f>
        <v>0</v>
      </c>
      <c r="AE265" s="88">
        <f>Ruimtestaat[[#This Row],[Prest. (m2 /jaar) weekend]]+Ruimtestaat[[#This Row],[Prest. (m2 /jaar) werkdagen]]</f>
        <v>0</v>
      </c>
      <c r="AF265" s="88">
        <f>Ruimtestaat[[#This Row],[uren / jaar weekend]]+Ruimtestaat[[#This Row],[uren / jaar werkdagen]]</f>
        <v>0</v>
      </c>
      <c r="AG265" s="89">
        <f>Ruimtestaat[[#This Row],[kosten / jaar weekend]]+Ruimtestaat[[#This Row],[kosten / jaar werkdagen]]</f>
        <v>0</v>
      </c>
    </row>
    <row r="266" spans="1:219" ht="15" customHeight="1">
      <c r="A266" s="195">
        <v>3</v>
      </c>
      <c r="B266" s="195" t="str">
        <f>VLOOKUP(Ruimtestaat[[#This Row],[Code]],Locaties[#All],2,FALSE)</f>
        <v>Lichtenvoorde gebouw 1</v>
      </c>
      <c r="C266" s="241" t="str">
        <f>VLOOKUP(Ruimtestaat[[#This Row],[Code]],Locaties[#All],4,FALSE)</f>
        <v>Dr Ariensstraat 1</v>
      </c>
      <c r="D266" s="241" t="str">
        <f>VLOOKUP(Ruimtestaat[[#This Row],[Code]],Locaties[#All],5,FALSE)</f>
        <v>7131 XM </v>
      </c>
      <c r="E266" s="241" t="str">
        <f>VLOOKUP(Ruimtestaat[[#This Row],[Code]],Locaties[#All],6,FALSE)</f>
        <v>Lichtenvoorde</v>
      </c>
      <c r="F266" s="195"/>
      <c r="G266" s="195" t="s">
        <v>768</v>
      </c>
      <c r="H266" s="195" t="s">
        <v>707</v>
      </c>
      <c r="I266" s="242" t="s">
        <v>827</v>
      </c>
      <c r="J266" s="195">
        <v>20</v>
      </c>
      <c r="K266" s="260" t="str">
        <f>VLOOKUP(Ruimtestaat[[#This Row],[Ruimte code]],Ruimtegroepen[#All],2,FALSE)</f>
        <v>Beroepspraktijklokalen</v>
      </c>
      <c r="L266" s="211" t="s">
        <v>110</v>
      </c>
      <c r="M266" s="195" t="s">
        <v>133</v>
      </c>
      <c r="N266" s="197">
        <v>518.42999999999995</v>
      </c>
      <c r="O266" s="209"/>
      <c r="P266" s="241" t="str">
        <f>VLOOKUP(Ruimtestaat[[#This Row],[Ruimte code]],Ruimtegroepen[#All],4,FALSE)</f>
        <v>L  (Lesruimte)</v>
      </c>
      <c r="Q266" s="210"/>
      <c r="R266" s="211">
        <v>40</v>
      </c>
      <c r="S266" s="211" t="s">
        <v>15</v>
      </c>
      <c r="T266" s="211">
        <f>IF(R266&gt;0,IF(RIGHT(Ruimtestaat[[#This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U266" s="211">
        <f>IF(T266&gt;0,VLOOKUP($J266,Ruimtegroepen[],3,FALSE)*VLOOKUP($L266,Vloersoorten[],3,FALSE)*VLOOKUP($S266,Frequenties[],3,FALSE)*VLOOKUP($A266,Locaties[],3,FALSE),0)</f>
        <v>100</v>
      </c>
      <c r="V266" s="211">
        <f>Ruimtestaat[[#This Row],[Uitvoeringen werkdagen]]*Ruimtestaat[[#This Row],[Oppervlak (netto)]]</f>
        <v>20737.199999999997</v>
      </c>
      <c r="W266" s="257">
        <f>IF(U266&gt;0,Ruimtestaat[[#This Row],[Prest. (m2 /jaar) werkdagen]]/Ruimtestaat[[#This Row],[Norm (m2/uur) werkdagen]],0)</f>
        <v>207.37199999999996</v>
      </c>
      <c r="X266" s="258">
        <f>Ruimtestaat[[#This Row],[uren / jaar werkdagen]]*Tariefsopbouw!$D$38</f>
        <v>5184.2999999999993</v>
      </c>
      <c r="Y266" s="33"/>
      <c r="Z266" s="33">
        <f>IF(Ruimtestaat[[#This Row],[Frequentie weekend]]&gt;0,VALUE(LEFT(Y266,1))*R266,0)</f>
        <v>0</v>
      </c>
      <c r="AA266" s="33">
        <f>IF($Z266&gt;0,VLOOKUP($J266,Ruimtegroepen[],3,FALSE)*VLOOKUP($L266,Vloersoorten[],3,FALSE)*VLOOKUP($Y266,Frequenties[],3,FALSE)*VLOOKUP(#REF!,Locaties[],3,FALSE),0)</f>
        <v>0</v>
      </c>
      <c r="AB266" s="33"/>
      <c r="AC266" s="33"/>
      <c r="AD266" s="33">
        <f>Ruimtestaat[[#This Row],[uren / jaar weekend]]*Tariefsopbouw!$D$40</f>
        <v>0</v>
      </c>
      <c r="AE266" s="88">
        <f>Ruimtestaat[[#This Row],[Prest. (m2 /jaar) weekend]]+Ruimtestaat[[#This Row],[Prest. (m2 /jaar) werkdagen]]</f>
        <v>20737.199999999997</v>
      </c>
      <c r="AF266" s="88">
        <f>Ruimtestaat[[#This Row],[uren / jaar weekend]]+Ruimtestaat[[#This Row],[uren / jaar werkdagen]]</f>
        <v>207.37199999999996</v>
      </c>
      <c r="AG266" s="89">
        <f>Ruimtestaat[[#This Row],[kosten / jaar weekend]]+Ruimtestaat[[#This Row],[kosten / jaar werkdagen]]</f>
        <v>5184.2999999999993</v>
      </c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  <c r="BM266" s="4"/>
      <c r="BN266" s="4"/>
      <c r="BO266" s="4"/>
      <c r="BP266" s="4"/>
      <c r="BQ266" s="4"/>
      <c r="BR266" s="4"/>
      <c r="BS266" s="4"/>
      <c r="BT266" s="4"/>
      <c r="BU266" s="4"/>
      <c r="BV266" s="4"/>
      <c r="BW266" s="4"/>
      <c r="BX266" s="4"/>
      <c r="BY266" s="4"/>
      <c r="BZ266" s="4"/>
      <c r="CA266" s="4"/>
      <c r="CB266" s="4"/>
      <c r="CC266" s="4"/>
      <c r="CD266" s="4"/>
      <c r="CE266" s="4"/>
      <c r="CF266" s="4"/>
      <c r="CG266" s="4"/>
      <c r="CH266" s="4"/>
      <c r="CI266" s="4"/>
      <c r="CJ266" s="4"/>
      <c r="CK266" s="4"/>
      <c r="CL266" s="4"/>
      <c r="CM266" s="4"/>
      <c r="CN266" s="4"/>
      <c r="CO266" s="4"/>
      <c r="CP266" s="4"/>
      <c r="CQ266" s="4"/>
      <c r="CR266" s="4"/>
      <c r="CS266" s="4"/>
      <c r="CT266" s="4"/>
      <c r="CU266" s="4"/>
      <c r="CV266" s="4"/>
      <c r="CW266" s="4"/>
      <c r="CX266" s="4"/>
      <c r="CY266" s="4"/>
      <c r="CZ266" s="4"/>
      <c r="DA266" s="4"/>
      <c r="DB266" s="4"/>
      <c r="DC266" s="4"/>
      <c r="DD266" s="4"/>
      <c r="DE266" s="4"/>
      <c r="DF266" s="4"/>
      <c r="DG266" s="4"/>
      <c r="DH266" s="4"/>
      <c r="DI266" s="4"/>
      <c r="DJ266" s="4"/>
      <c r="DK266" s="4"/>
      <c r="DL266" s="4"/>
      <c r="DM266" s="4"/>
      <c r="DN266" s="4"/>
      <c r="DO266" s="4"/>
      <c r="DP266" s="4"/>
      <c r="DQ266" s="4"/>
      <c r="DR266" s="4"/>
      <c r="DS266" s="4"/>
      <c r="DT266" s="4"/>
      <c r="DU266" s="4"/>
      <c r="DV266" s="4"/>
      <c r="DW266" s="4"/>
      <c r="DX266" s="4"/>
      <c r="DY266" s="4"/>
      <c r="DZ266" s="4"/>
      <c r="EA266" s="4"/>
      <c r="EB266" s="4"/>
      <c r="EC266" s="4"/>
      <c r="ED266" s="4"/>
      <c r="EE266" s="4"/>
      <c r="EF266" s="4"/>
      <c r="EG266" s="4"/>
      <c r="EH266" s="4"/>
      <c r="EI266" s="4"/>
      <c r="EJ266" s="4"/>
      <c r="EK266" s="4"/>
      <c r="EL266" s="4"/>
      <c r="EM266" s="4"/>
      <c r="EN266" s="4"/>
      <c r="EO266" s="4"/>
      <c r="EP266" s="4"/>
      <c r="EQ266" s="4"/>
      <c r="ER266" s="4"/>
      <c r="ES266" s="4"/>
      <c r="ET266" s="4"/>
      <c r="EU266" s="4"/>
      <c r="EV266" s="4"/>
      <c r="EW266" s="4"/>
      <c r="EX266" s="4"/>
      <c r="EY266" s="4"/>
      <c r="EZ266" s="4"/>
      <c r="FA266" s="4"/>
      <c r="FB266" s="4"/>
      <c r="FC266" s="4"/>
      <c r="FD266" s="4"/>
      <c r="FE266" s="4"/>
      <c r="FF266" s="4"/>
      <c r="FG266" s="4"/>
      <c r="FH266" s="4"/>
      <c r="FI266" s="4"/>
      <c r="FJ266" s="4"/>
      <c r="FK266" s="4"/>
      <c r="FL266" s="4"/>
      <c r="FM266" s="4"/>
      <c r="FN266" s="4"/>
      <c r="FO266" s="4"/>
      <c r="FP266" s="4"/>
      <c r="FQ266" s="4"/>
      <c r="FR266" s="4"/>
      <c r="FS266" s="4"/>
      <c r="FT266" s="4"/>
      <c r="FU266" s="4"/>
      <c r="FV266" s="4"/>
      <c r="FW266" s="4"/>
      <c r="FX266" s="4"/>
      <c r="FY266" s="4"/>
      <c r="FZ266" s="4"/>
      <c r="GA266" s="4"/>
      <c r="GB266" s="4"/>
      <c r="GC266" s="4"/>
      <c r="GD266" s="4"/>
      <c r="GE266" s="4"/>
      <c r="GF266" s="4"/>
      <c r="GG266" s="4"/>
      <c r="GH266" s="4"/>
      <c r="GI266" s="4"/>
      <c r="GJ266" s="4"/>
      <c r="GK266" s="4"/>
      <c r="GL266" s="4"/>
      <c r="GM266" s="4"/>
      <c r="GN266" s="4"/>
      <c r="GO266" s="4"/>
      <c r="GP266" s="4"/>
      <c r="GQ266" s="4"/>
      <c r="GR266" s="4"/>
      <c r="GS266" s="4"/>
      <c r="GT266" s="4"/>
      <c r="GU266" s="4"/>
      <c r="GV266" s="4"/>
      <c r="GW266" s="4"/>
      <c r="GX266" s="4"/>
      <c r="GY266" s="4"/>
      <c r="GZ266" s="4"/>
      <c r="HA266" s="4"/>
      <c r="HB266" s="4"/>
      <c r="HC266" s="4"/>
      <c r="HD266" s="4"/>
      <c r="HE266" s="4"/>
      <c r="HF266" s="4"/>
      <c r="HG266" s="4"/>
      <c r="HH266" s="4"/>
      <c r="HI266" s="4"/>
      <c r="HJ266" s="4"/>
      <c r="HK266" s="4"/>
    </row>
    <row r="267" spans="1:219" ht="15" customHeight="1">
      <c r="A267" s="195">
        <v>3</v>
      </c>
      <c r="B267" s="195" t="str">
        <f>VLOOKUP(Ruimtestaat[[#This Row],[Code]],Locaties[#All],2,FALSE)</f>
        <v>Lichtenvoorde gebouw 1</v>
      </c>
      <c r="C267" s="241" t="str">
        <f>VLOOKUP(Ruimtestaat[[#This Row],[Code]],Locaties[#All],4,FALSE)</f>
        <v>Dr Ariensstraat 1</v>
      </c>
      <c r="D267" s="241" t="str">
        <f>VLOOKUP(Ruimtestaat[[#This Row],[Code]],Locaties[#All],5,FALSE)</f>
        <v>7131 XM </v>
      </c>
      <c r="E267" s="241" t="str">
        <f>VLOOKUP(Ruimtestaat[[#This Row],[Code]],Locaties[#All],6,FALSE)</f>
        <v>Lichtenvoorde</v>
      </c>
      <c r="F267" s="195"/>
      <c r="G267" s="195" t="s">
        <v>768</v>
      </c>
      <c r="H267" s="195" t="s">
        <v>606</v>
      </c>
      <c r="I267" s="242" t="s">
        <v>766</v>
      </c>
      <c r="J267" s="195">
        <v>16</v>
      </c>
      <c r="K267" s="260" t="str">
        <f>VLOOKUP(Ruimtestaat[[#This Row],[Ruimte code]],Ruimtegroepen[#All],2,FALSE)</f>
        <v>Lokaal</v>
      </c>
      <c r="L267" s="241" t="s">
        <v>109</v>
      </c>
      <c r="M267" s="195" t="s">
        <v>38</v>
      </c>
      <c r="N267" s="197">
        <v>48.54</v>
      </c>
      <c r="O267" s="209"/>
      <c r="P267" s="241" t="str">
        <f>VLOOKUP(Ruimtestaat[[#This Row],[Ruimte code]],Ruimtegroepen[#All],4,FALSE)</f>
        <v>L  (Lesruimte)</v>
      </c>
      <c r="Q267" s="210"/>
      <c r="R267" s="211">
        <v>40</v>
      </c>
      <c r="S267" s="211" t="s">
        <v>2</v>
      </c>
      <c r="T267" s="211">
        <f>IF(R267&gt;0,IF(RIGHT(Ruimtestaat[[#This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267" s="211">
        <f>IF(T267&gt;0,VLOOKUP($J267,Ruimtegroepen[],3,FALSE)*VLOOKUP($L267,Vloersoorten[],3,FALSE)*VLOOKUP($S267,Frequenties[],3,FALSE)*VLOOKUP($A267,Locaties[],3,FALSE),0)</f>
        <v>100</v>
      </c>
      <c r="V267" s="211">
        <f>Ruimtestaat[[#This Row],[Uitvoeringen werkdagen]]*Ruimtestaat[[#This Row],[Oppervlak (netto)]]</f>
        <v>9708</v>
      </c>
      <c r="W267" s="257">
        <f>IF(U267&gt;0,Ruimtestaat[[#This Row],[Prest. (m2 /jaar) werkdagen]]/Ruimtestaat[[#This Row],[Norm (m2/uur) werkdagen]],0)</f>
        <v>97.08</v>
      </c>
      <c r="X267" s="258">
        <f>Ruimtestaat[[#This Row],[uren / jaar werkdagen]]*Tariefsopbouw!$D$38</f>
        <v>2427</v>
      </c>
      <c r="Y267" s="33"/>
      <c r="Z267" s="33">
        <f>IF(Ruimtestaat[[#This Row],[Frequentie weekend]]&gt;0,VALUE(LEFT(Y267,1))*R267,0)</f>
        <v>0</v>
      </c>
      <c r="AA267" s="33">
        <f>IF($Z267&gt;0,VLOOKUP($J267,Ruimtegroepen[],3,FALSE)*VLOOKUP($L267,Vloersoorten[],3,FALSE)*VLOOKUP($Y267,Frequenties[],3,FALSE)*VLOOKUP(#REF!,Locaties[],3,FALSE),0)</f>
        <v>0</v>
      </c>
      <c r="AB267" s="33"/>
      <c r="AC267" s="33"/>
      <c r="AD267" s="33">
        <f>Ruimtestaat[[#This Row],[uren / jaar weekend]]*Tariefsopbouw!$D$40</f>
        <v>0</v>
      </c>
      <c r="AE267" s="88">
        <f>Ruimtestaat[[#This Row],[Prest. (m2 /jaar) weekend]]+Ruimtestaat[[#This Row],[Prest. (m2 /jaar) werkdagen]]</f>
        <v>9708</v>
      </c>
      <c r="AF267" s="88">
        <f>Ruimtestaat[[#This Row],[uren / jaar weekend]]+Ruimtestaat[[#This Row],[uren / jaar werkdagen]]</f>
        <v>97.08</v>
      </c>
      <c r="AG267" s="89">
        <f>Ruimtestaat[[#This Row],[kosten / jaar weekend]]+Ruimtestaat[[#This Row],[kosten / jaar werkdagen]]</f>
        <v>2427</v>
      </c>
    </row>
    <row r="268" spans="1:219" ht="15" customHeight="1">
      <c r="A268" s="195">
        <v>3</v>
      </c>
      <c r="B268" s="195" t="str">
        <f>VLOOKUP(Ruimtestaat[[#This Row],[Code]],Locaties[#All],2,FALSE)</f>
        <v>Lichtenvoorde gebouw 1</v>
      </c>
      <c r="C268" s="241" t="str">
        <f>VLOOKUP(Ruimtestaat[[#This Row],[Code]],Locaties[#All],4,FALSE)</f>
        <v>Dr Ariensstraat 1</v>
      </c>
      <c r="D268" s="241" t="str">
        <f>VLOOKUP(Ruimtestaat[[#This Row],[Code]],Locaties[#All],5,FALSE)</f>
        <v>7131 XM </v>
      </c>
      <c r="E268" s="241" t="str">
        <f>VLOOKUP(Ruimtestaat[[#This Row],[Code]],Locaties[#All],6,FALSE)</f>
        <v>Lichtenvoorde</v>
      </c>
      <c r="F268" s="195"/>
      <c r="G268" s="195" t="s">
        <v>768</v>
      </c>
      <c r="H268" s="195" t="s">
        <v>607</v>
      </c>
      <c r="I268" s="242" t="s">
        <v>552</v>
      </c>
      <c r="J268" s="195">
        <v>10</v>
      </c>
      <c r="K268" s="260" t="str">
        <f>VLOOKUP(Ruimtestaat[[#This Row],[Ruimte code]],Ruimtegroepen[#All],2,FALSE)</f>
        <v>Trappenhuizen/lift</v>
      </c>
      <c r="L268" s="211" t="s">
        <v>111</v>
      </c>
      <c r="M268" s="195" t="s">
        <v>845</v>
      </c>
      <c r="N268" s="197">
        <v>6.62</v>
      </c>
      <c r="O268" s="209"/>
      <c r="P268" s="241" t="str">
        <f>VLOOKUP(Ruimtestaat[[#This Row],[Ruimte code]],Ruimtegroepen[#All],4,FALSE)</f>
        <v>V  (Verkeersruimte)</v>
      </c>
      <c r="Q268" s="210"/>
      <c r="R268" s="211">
        <v>40</v>
      </c>
      <c r="S268" s="211" t="s">
        <v>2</v>
      </c>
      <c r="T268" s="211">
        <f>IF(R268&gt;0,IF(RIGHT(Ruimtestaat[[#This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268" s="211">
        <f>IF(T268&gt;0,VLOOKUP($J268,Ruimtegroepen[],3,FALSE)*VLOOKUP($L268,Vloersoorten[],3,FALSE)*VLOOKUP($S268,Frequenties[],3,FALSE)*VLOOKUP($A268,Locaties[],3,FALSE),0)</f>
        <v>100</v>
      </c>
      <c r="V268" s="211">
        <f>Ruimtestaat[[#This Row],[Uitvoeringen werkdagen]]*Ruimtestaat[[#This Row],[Oppervlak (netto)]]</f>
        <v>1324</v>
      </c>
      <c r="W268" s="257">
        <f>IF(U268&gt;0,Ruimtestaat[[#This Row],[Prest. (m2 /jaar) werkdagen]]/Ruimtestaat[[#This Row],[Norm (m2/uur) werkdagen]],0)</f>
        <v>13.24</v>
      </c>
      <c r="X268" s="258">
        <f>Ruimtestaat[[#This Row],[uren / jaar werkdagen]]*Tariefsopbouw!$D$38</f>
        <v>331</v>
      </c>
      <c r="Y268" s="33"/>
      <c r="Z268" s="33">
        <f>IF(Ruimtestaat[[#This Row],[Frequentie weekend]]&gt;0,VALUE(LEFT(Y268,1))*R268,0)</f>
        <v>0</v>
      </c>
      <c r="AA268" s="33">
        <f>IF($Z268&gt;0,VLOOKUP($J268,Ruimtegroepen[],3,FALSE)*VLOOKUP($L268,Vloersoorten[],3,FALSE)*VLOOKUP($Y268,Frequenties[],3,FALSE)*VLOOKUP(#REF!,Locaties[],3,FALSE),0)</f>
        <v>0</v>
      </c>
      <c r="AB268" s="33"/>
      <c r="AC268" s="33"/>
      <c r="AD268" s="33">
        <f>Ruimtestaat[[#This Row],[uren / jaar weekend]]*Tariefsopbouw!$D$40</f>
        <v>0</v>
      </c>
      <c r="AE268" s="88">
        <f>Ruimtestaat[[#This Row],[Prest. (m2 /jaar) weekend]]+Ruimtestaat[[#This Row],[Prest. (m2 /jaar) werkdagen]]</f>
        <v>1324</v>
      </c>
      <c r="AF268" s="88">
        <f>Ruimtestaat[[#This Row],[uren / jaar weekend]]+Ruimtestaat[[#This Row],[uren / jaar werkdagen]]</f>
        <v>13.24</v>
      </c>
      <c r="AG268" s="89">
        <f>Ruimtestaat[[#This Row],[kosten / jaar weekend]]+Ruimtestaat[[#This Row],[kosten / jaar werkdagen]]</f>
        <v>331</v>
      </c>
    </row>
    <row r="269" spans="1:219" ht="15" customHeight="1">
      <c r="A269" s="195">
        <v>3</v>
      </c>
      <c r="B269" s="195" t="str">
        <f>VLOOKUP(Ruimtestaat[[#This Row],[Code]],Locaties[#All],2,FALSE)</f>
        <v>Lichtenvoorde gebouw 1</v>
      </c>
      <c r="C269" s="241" t="str">
        <f>VLOOKUP(Ruimtestaat[[#This Row],[Code]],Locaties[#All],4,FALSE)</f>
        <v>Dr Ariensstraat 1</v>
      </c>
      <c r="D269" s="241" t="str">
        <f>VLOOKUP(Ruimtestaat[[#This Row],[Code]],Locaties[#All],5,FALSE)</f>
        <v>7131 XM </v>
      </c>
      <c r="E269" s="241" t="str">
        <f>VLOOKUP(Ruimtestaat[[#This Row],[Code]],Locaties[#All],6,FALSE)</f>
        <v>Lichtenvoorde</v>
      </c>
      <c r="F269" s="195"/>
      <c r="G269" s="195" t="s">
        <v>768</v>
      </c>
      <c r="H269" s="195" t="s">
        <v>608</v>
      </c>
      <c r="I269" s="242" t="s">
        <v>766</v>
      </c>
      <c r="J269" s="195">
        <v>16</v>
      </c>
      <c r="K269" s="260" t="str">
        <f>VLOOKUP(Ruimtestaat[[#This Row],[Ruimte code]],Ruimtegroepen[#All],2,FALSE)</f>
        <v>Lokaal</v>
      </c>
      <c r="L269" s="211" t="s">
        <v>109</v>
      </c>
      <c r="M269" s="195" t="s">
        <v>38</v>
      </c>
      <c r="N269" s="197">
        <v>41.5</v>
      </c>
      <c r="O269" s="209"/>
      <c r="P269" s="241" t="str">
        <f>VLOOKUP(Ruimtestaat[[#This Row],[Ruimte code]],Ruimtegroepen[#All],4,FALSE)</f>
        <v>L  (Lesruimte)</v>
      </c>
      <c r="Q269" s="210"/>
      <c r="R269" s="211">
        <v>40</v>
      </c>
      <c r="S269" s="211" t="s">
        <v>2</v>
      </c>
      <c r="T269" s="211">
        <f>IF(R269&gt;0,IF(RIGHT(Ruimtestaat[[#This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269" s="211">
        <f>IF(T269&gt;0,VLOOKUP($J269,Ruimtegroepen[],3,FALSE)*VLOOKUP($L269,Vloersoorten[],3,FALSE)*VLOOKUP($S269,Frequenties[],3,FALSE)*VLOOKUP($A269,Locaties[],3,FALSE),0)</f>
        <v>100</v>
      </c>
      <c r="V269" s="211">
        <f>Ruimtestaat[[#This Row],[Uitvoeringen werkdagen]]*Ruimtestaat[[#This Row],[Oppervlak (netto)]]</f>
        <v>8300</v>
      </c>
      <c r="W269" s="257">
        <f>IF(U269&gt;0,Ruimtestaat[[#This Row],[Prest. (m2 /jaar) werkdagen]]/Ruimtestaat[[#This Row],[Norm (m2/uur) werkdagen]],0)</f>
        <v>83</v>
      </c>
      <c r="X269" s="258">
        <f>Ruimtestaat[[#This Row],[uren / jaar werkdagen]]*Tariefsopbouw!$D$38</f>
        <v>2075</v>
      </c>
      <c r="Y269" s="33"/>
      <c r="Z269" s="33">
        <f>IF(Ruimtestaat[[#This Row],[Frequentie weekend]]&gt;0,VALUE(LEFT(Y269,1))*R269,0)</f>
        <v>0</v>
      </c>
      <c r="AA269" s="33">
        <f>IF($Z269&gt;0,VLOOKUP($J269,Ruimtegroepen[],3,FALSE)*VLOOKUP($L269,Vloersoorten[],3,FALSE)*VLOOKUP($Y269,Frequenties[],3,FALSE)*VLOOKUP(#REF!,Locaties[],3,FALSE),0)</f>
        <v>0</v>
      </c>
      <c r="AB269" s="33"/>
      <c r="AC269" s="33"/>
      <c r="AD269" s="33">
        <f>Ruimtestaat[[#This Row],[uren / jaar weekend]]*Tariefsopbouw!$D$40</f>
        <v>0</v>
      </c>
      <c r="AE269" s="88">
        <f>Ruimtestaat[[#This Row],[Prest. (m2 /jaar) weekend]]+Ruimtestaat[[#This Row],[Prest. (m2 /jaar) werkdagen]]</f>
        <v>8300</v>
      </c>
      <c r="AF269" s="88">
        <f>Ruimtestaat[[#This Row],[uren / jaar weekend]]+Ruimtestaat[[#This Row],[uren / jaar werkdagen]]</f>
        <v>83</v>
      </c>
      <c r="AG269" s="89">
        <f>Ruimtestaat[[#This Row],[kosten / jaar weekend]]+Ruimtestaat[[#This Row],[kosten / jaar werkdagen]]</f>
        <v>2075</v>
      </c>
    </row>
    <row r="270" spans="1:219" ht="15" customHeight="1">
      <c r="A270" s="195">
        <v>3</v>
      </c>
      <c r="B270" s="195" t="str">
        <f>VLOOKUP(Ruimtestaat[[#This Row],[Code]],Locaties[#All],2,FALSE)</f>
        <v>Lichtenvoorde gebouw 1</v>
      </c>
      <c r="C270" s="241" t="str">
        <f>VLOOKUP(Ruimtestaat[[#This Row],[Code]],Locaties[#All],4,FALSE)</f>
        <v>Dr Ariensstraat 1</v>
      </c>
      <c r="D270" s="241" t="str">
        <f>VLOOKUP(Ruimtestaat[[#This Row],[Code]],Locaties[#All],5,FALSE)</f>
        <v>7131 XM </v>
      </c>
      <c r="E270" s="241" t="str">
        <f>VLOOKUP(Ruimtestaat[[#This Row],[Code]],Locaties[#All],6,FALSE)</f>
        <v>Lichtenvoorde</v>
      </c>
      <c r="F270" s="195"/>
      <c r="G270" s="195" t="s">
        <v>768</v>
      </c>
      <c r="H270" s="195" t="s">
        <v>609</v>
      </c>
      <c r="I270" s="242" t="s">
        <v>552</v>
      </c>
      <c r="J270" s="195">
        <v>10</v>
      </c>
      <c r="K270" s="260" t="str">
        <f>VLOOKUP(Ruimtestaat[[#This Row],[Ruimte code]],Ruimtegroepen[#All],2,FALSE)</f>
        <v>Trappenhuizen/lift</v>
      </c>
      <c r="L270" s="195" t="s">
        <v>110</v>
      </c>
      <c r="M270" s="195" t="s">
        <v>133</v>
      </c>
      <c r="N270" s="197">
        <v>6.43</v>
      </c>
      <c r="O270" s="209"/>
      <c r="P270" s="241" t="str">
        <f>VLOOKUP(Ruimtestaat[[#This Row],[Ruimte code]],Ruimtegroepen[#All],4,FALSE)</f>
        <v>V  (Verkeersruimte)</v>
      </c>
      <c r="Q270" s="210"/>
      <c r="R270" s="211">
        <v>40</v>
      </c>
      <c r="S270" s="211" t="s">
        <v>2</v>
      </c>
      <c r="T270" s="211">
        <f>IF(R270&gt;0,IF(RIGHT(Ruimtestaat[[#This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270" s="211">
        <f>IF(T270&gt;0,VLOOKUP($J270,Ruimtegroepen[],3,FALSE)*VLOOKUP($L270,Vloersoorten[],3,FALSE)*VLOOKUP($S270,Frequenties[],3,FALSE)*VLOOKUP($A270,Locaties[],3,FALSE),0)</f>
        <v>100</v>
      </c>
      <c r="V270" s="211">
        <f>Ruimtestaat[[#This Row],[Uitvoeringen werkdagen]]*Ruimtestaat[[#This Row],[Oppervlak (netto)]]</f>
        <v>1286</v>
      </c>
      <c r="W270" s="257">
        <f>IF(U270&gt;0,Ruimtestaat[[#This Row],[Prest. (m2 /jaar) werkdagen]]/Ruimtestaat[[#This Row],[Norm (m2/uur) werkdagen]],0)</f>
        <v>12.86</v>
      </c>
      <c r="X270" s="258">
        <f>Ruimtestaat[[#This Row],[uren / jaar werkdagen]]*Tariefsopbouw!$D$38</f>
        <v>321.5</v>
      </c>
      <c r="Y270" s="33"/>
      <c r="Z270" s="33">
        <f>IF(Ruimtestaat[[#This Row],[Frequentie weekend]]&gt;0,VALUE(LEFT(Y270,1))*R270,0)</f>
        <v>0</v>
      </c>
      <c r="AA270" s="33">
        <f>IF($Z270&gt;0,VLOOKUP($J270,Ruimtegroepen[],3,FALSE)*VLOOKUP($L270,Vloersoorten[],3,FALSE)*VLOOKUP($Y270,Frequenties[],3,FALSE)*VLOOKUP(#REF!,Locaties[],3,FALSE),0)</f>
        <v>0</v>
      </c>
      <c r="AB270" s="33"/>
      <c r="AC270" s="33"/>
      <c r="AD270" s="33">
        <f>Ruimtestaat[[#This Row],[uren / jaar weekend]]*Tariefsopbouw!$D$40</f>
        <v>0</v>
      </c>
      <c r="AE270" s="88">
        <f>Ruimtestaat[[#This Row],[Prest. (m2 /jaar) weekend]]+Ruimtestaat[[#This Row],[Prest. (m2 /jaar) werkdagen]]</f>
        <v>1286</v>
      </c>
      <c r="AF270" s="88">
        <f>Ruimtestaat[[#This Row],[uren / jaar weekend]]+Ruimtestaat[[#This Row],[uren / jaar werkdagen]]</f>
        <v>12.86</v>
      </c>
      <c r="AG270" s="89">
        <f>Ruimtestaat[[#This Row],[kosten / jaar weekend]]+Ruimtestaat[[#This Row],[kosten / jaar werkdagen]]</f>
        <v>321.5</v>
      </c>
    </row>
    <row r="271" spans="1:219" ht="15" customHeight="1">
      <c r="A271" s="195">
        <v>3</v>
      </c>
      <c r="B271" s="195" t="str">
        <f>VLOOKUP(Ruimtestaat[[#This Row],[Code]],Locaties[#All],2,FALSE)</f>
        <v>Lichtenvoorde gebouw 1</v>
      </c>
      <c r="C271" s="241" t="str">
        <f>VLOOKUP(Ruimtestaat[[#This Row],[Code]],Locaties[#All],4,FALSE)</f>
        <v>Dr Ariensstraat 1</v>
      </c>
      <c r="D271" s="241" t="str">
        <f>VLOOKUP(Ruimtestaat[[#This Row],[Code]],Locaties[#All],5,FALSE)</f>
        <v>7131 XM </v>
      </c>
      <c r="E271" s="241" t="str">
        <f>VLOOKUP(Ruimtestaat[[#This Row],[Code]],Locaties[#All],6,FALSE)</f>
        <v>Lichtenvoorde</v>
      </c>
      <c r="F271" s="195"/>
      <c r="G271" s="195" t="s">
        <v>768</v>
      </c>
      <c r="H271" s="195" t="s">
        <v>708</v>
      </c>
      <c r="I271" s="242" t="s">
        <v>382</v>
      </c>
      <c r="J271" s="195">
        <v>10</v>
      </c>
      <c r="K271" s="260" t="str">
        <f>VLOOKUP(Ruimtestaat[[#This Row],[Ruimte code]],Ruimtegroepen[#All],2,FALSE)</f>
        <v>Trappenhuizen/lift</v>
      </c>
      <c r="L271" s="211" t="s">
        <v>111</v>
      </c>
      <c r="M271" s="195" t="s">
        <v>693</v>
      </c>
      <c r="N271" s="197">
        <v>38.04</v>
      </c>
      <c r="O271" s="209"/>
      <c r="P271" s="241" t="str">
        <f>VLOOKUP(Ruimtestaat[[#This Row],[Ruimte code]],Ruimtegroepen[#All],4,FALSE)</f>
        <v>V  (Verkeersruimte)</v>
      </c>
      <c r="Q271" s="210"/>
      <c r="R271" s="211">
        <v>40</v>
      </c>
      <c r="S271" s="211" t="s">
        <v>2</v>
      </c>
      <c r="T271" s="211">
        <f>IF(R271&gt;0,IF(RIGHT(Ruimtestaat[[#This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271" s="211">
        <f>IF(T271&gt;0,VLOOKUP($J271,Ruimtegroepen[],3,FALSE)*VLOOKUP($L271,Vloersoorten[],3,FALSE)*VLOOKUP($S271,Frequenties[],3,FALSE)*VLOOKUP($A271,Locaties[],3,FALSE),0)</f>
        <v>100</v>
      </c>
      <c r="V271" s="211">
        <f>Ruimtestaat[[#This Row],[Uitvoeringen werkdagen]]*Ruimtestaat[[#This Row],[Oppervlak (netto)]]</f>
        <v>7608</v>
      </c>
      <c r="W271" s="257">
        <f>IF(U271&gt;0,Ruimtestaat[[#This Row],[Prest. (m2 /jaar) werkdagen]]/Ruimtestaat[[#This Row],[Norm (m2/uur) werkdagen]],0)</f>
        <v>76.08</v>
      </c>
      <c r="X271" s="258">
        <f>Ruimtestaat[[#This Row],[uren / jaar werkdagen]]*Tariefsopbouw!$D$38</f>
        <v>1902</v>
      </c>
      <c r="Y271" s="33"/>
      <c r="Z271" s="33">
        <f>IF(Ruimtestaat[[#This Row],[Frequentie weekend]]&gt;0,VALUE(LEFT(Y271,1))*R271,0)</f>
        <v>0</v>
      </c>
      <c r="AA271" s="33">
        <f>IF($Z271&gt;0,VLOOKUP($J271,Ruimtegroepen[],3,FALSE)*VLOOKUP($L271,Vloersoorten[],3,FALSE)*VLOOKUP($Y271,Frequenties[],3,FALSE)*VLOOKUP(#REF!,Locaties[],3,FALSE),0)</f>
        <v>0</v>
      </c>
      <c r="AB271" s="33"/>
      <c r="AC271" s="33"/>
      <c r="AD271" s="33">
        <f>Ruimtestaat[[#This Row],[uren / jaar weekend]]*Tariefsopbouw!$D$40</f>
        <v>0</v>
      </c>
      <c r="AE271" s="88">
        <f>Ruimtestaat[[#This Row],[Prest. (m2 /jaar) weekend]]+Ruimtestaat[[#This Row],[Prest. (m2 /jaar) werkdagen]]</f>
        <v>7608</v>
      </c>
      <c r="AF271" s="88">
        <f>Ruimtestaat[[#This Row],[uren / jaar weekend]]+Ruimtestaat[[#This Row],[uren / jaar werkdagen]]</f>
        <v>76.08</v>
      </c>
      <c r="AG271" s="89">
        <f>Ruimtestaat[[#This Row],[kosten / jaar weekend]]+Ruimtestaat[[#This Row],[kosten / jaar werkdagen]]</f>
        <v>1902</v>
      </c>
    </row>
    <row r="272" spans="1:219" ht="15" customHeight="1">
      <c r="A272" s="195">
        <v>3</v>
      </c>
      <c r="B272" s="195" t="str">
        <f>VLOOKUP(Ruimtestaat[[#This Row],[Code]],Locaties[#All],2,FALSE)</f>
        <v>Lichtenvoorde gebouw 1</v>
      </c>
      <c r="C272" s="241" t="str">
        <f>VLOOKUP(Ruimtestaat[[#This Row],[Code]],Locaties[#All],4,FALSE)</f>
        <v>Dr Ariensstraat 1</v>
      </c>
      <c r="D272" s="241" t="str">
        <f>VLOOKUP(Ruimtestaat[[#This Row],[Code]],Locaties[#All],5,FALSE)</f>
        <v>7131 XM </v>
      </c>
      <c r="E272" s="241" t="str">
        <f>VLOOKUP(Ruimtestaat[[#This Row],[Code]],Locaties[#All],6,FALSE)</f>
        <v>Lichtenvoorde</v>
      </c>
      <c r="F272" s="195"/>
      <c r="G272" s="195" t="s">
        <v>768</v>
      </c>
      <c r="H272" s="195" t="s">
        <v>709</v>
      </c>
      <c r="I272" s="242" t="s">
        <v>444</v>
      </c>
      <c r="J272" s="195">
        <v>12</v>
      </c>
      <c r="K272" s="260" t="str">
        <f>VLOOKUP(Ruimtestaat[[#This Row],[Ruimte code]],Ruimtegroepen[#All],2,FALSE)</f>
        <v>Groepruimte / kantine</v>
      </c>
      <c r="L272" s="241" t="s">
        <v>111</v>
      </c>
      <c r="M272" s="195" t="s">
        <v>693</v>
      </c>
      <c r="N272" s="197">
        <v>297.7</v>
      </c>
      <c r="O272" s="209"/>
      <c r="P272" s="241" t="str">
        <f>VLOOKUP(Ruimtestaat[[#This Row],[Ruimte code]],Ruimtegroepen[#All],4,FALSE)</f>
        <v>V  (Verkeersruimte)</v>
      </c>
      <c r="Q272" s="210"/>
      <c r="R272" s="211">
        <v>40</v>
      </c>
      <c r="S272" s="211" t="s">
        <v>2</v>
      </c>
      <c r="T272" s="211">
        <f>IF(R272&gt;0,IF(RIGHT(Ruimtestaat[[#This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272" s="211">
        <f>IF(T272&gt;0,VLOOKUP($J272,Ruimtegroepen[],3,FALSE)*VLOOKUP($L272,Vloersoorten[],3,FALSE)*VLOOKUP($S272,Frequenties[],3,FALSE)*VLOOKUP($A272,Locaties[],3,FALSE),0)</f>
        <v>100</v>
      </c>
      <c r="V272" s="211">
        <f>Ruimtestaat[[#This Row],[Uitvoeringen werkdagen]]*Ruimtestaat[[#This Row],[Oppervlak (netto)]]</f>
        <v>59540</v>
      </c>
      <c r="W272" s="257">
        <f>IF(U272&gt;0,Ruimtestaat[[#This Row],[Prest. (m2 /jaar) werkdagen]]/Ruimtestaat[[#This Row],[Norm (m2/uur) werkdagen]],0)</f>
        <v>595.4</v>
      </c>
      <c r="X272" s="258">
        <f>Ruimtestaat[[#This Row],[uren / jaar werkdagen]]*Tariefsopbouw!$D$38</f>
        <v>14885</v>
      </c>
      <c r="Y272" s="33"/>
      <c r="Z272" s="33">
        <f>IF(Ruimtestaat[[#This Row],[Frequentie weekend]]&gt;0,VALUE(LEFT(Y272,1))*R272,0)</f>
        <v>0</v>
      </c>
      <c r="AA272" s="33">
        <f>IF($Z272&gt;0,VLOOKUP($J272,Ruimtegroepen[],3,FALSE)*VLOOKUP($L272,Vloersoorten[],3,FALSE)*VLOOKUP($Y272,Frequenties[],3,FALSE)*VLOOKUP(#REF!,Locaties[],3,FALSE),0)</f>
        <v>0</v>
      </c>
      <c r="AB272" s="33"/>
      <c r="AC272" s="33"/>
      <c r="AD272" s="33">
        <f>Ruimtestaat[[#This Row],[uren / jaar weekend]]*Tariefsopbouw!$D$40</f>
        <v>0</v>
      </c>
      <c r="AE272" s="88">
        <f>Ruimtestaat[[#This Row],[Prest. (m2 /jaar) weekend]]+Ruimtestaat[[#This Row],[Prest. (m2 /jaar) werkdagen]]</f>
        <v>59540</v>
      </c>
      <c r="AF272" s="88">
        <f>Ruimtestaat[[#This Row],[uren / jaar weekend]]+Ruimtestaat[[#This Row],[uren / jaar werkdagen]]</f>
        <v>595.4</v>
      </c>
      <c r="AG272" s="89">
        <f>Ruimtestaat[[#This Row],[kosten / jaar weekend]]+Ruimtestaat[[#This Row],[kosten / jaar werkdagen]]</f>
        <v>14885</v>
      </c>
    </row>
    <row r="273" spans="1:33" ht="15" customHeight="1">
      <c r="A273" s="195">
        <v>3</v>
      </c>
      <c r="B273" s="195" t="str">
        <f>VLOOKUP(Ruimtestaat[[#This Row],[Code]],Locaties[#All],2,FALSE)</f>
        <v>Lichtenvoorde gebouw 1</v>
      </c>
      <c r="C273" s="241" t="str">
        <f>VLOOKUP(Ruimtestaat[[#This Row],[Code]],Locaties[#All],4,FALSE)</f>
        <v>Dr Ariensstraat 1</v>
      </c>
      <c r="D273" s="241" t="str">
        <f>VLOOKUP(Ruimtestaat[[#This Row],[Code]],Locaties[#All],5,FALSE)</f>
        <v>7131 XM </v>
      </c>
      <c r="E273" s="241" t="str">
        <f>VLOOKUP(Ruimtestaat[[#This Row],[Code]],Locaties[#All],6,FALSE)</f>
        <v>Lichtenvoorde</v>
      </c>
      <c r="F273" s="195"/>
      <c r="G273" s="195" t="s">
        <v>768</v>
      </c>
      <c r="H273" s="195" t="s">
        <v>710</v>
      </c>
      <c r="I273" s="242" t="s">
        <v>445</v>
      </c>
      <c r="J273" s="195">
        <v>6</v>
      </c>
      <c r="K273" s="260" t="str">
        <f>VLOOKUP(Ruimtestaat[[#This Row],[Ruimte code]],Ruimtegroepen[#All],2,FALSE)</f>
        <v>Gangen/hallen</v>
      </c>
      <c r="L273" s="241" t="s">
        <v>110</v>
      </c>
      <c r="M273" s="195" t="s">
        <v>133</v>
      </c>
      <c r="N273" s="197">
        <v>68.25</v>
      </c>
      <c r="O273" s="209"/>
      <c r="P273" s="241" t="str">
        <f>VLOOKUP(Ruimtestaat[[#This Row],[Ruimte code]],Ruimtegroepen[#All],4,FALSE)</f>
        <v>V  (Verkeersruimte)</v>
      </c>
      <c r="Q273" s="210"/>
      <c r="R273" s="211">
        <v>40</v>
      </c>
      <c r="S273" s="211" t="s">
        <v>16</v>
      </c>
      <c r="T273" s="211">
        <f>IF(R273&gt;0,IF(RIGHT(Ruimtestaat[[#This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U273" s="211">
        <f>IF(T273&gt;0,VLOOKUP($J273,Ruimtegroepen[],3,FALSE)*VLOOKUP($L273,Vloersoorten[],3,FALSE)*VLOOKUP($S273,Frequenties[],3,FALSE)*VLOOKUP($A273,Locaties[],3,FALSE),0)</f>
        <v>100</v>
      </c>
      <c r="V273" s="211">
        <f>Ruimtestaat[[#This Row],[Uitvoeringen werkdagen]]*Ruimtestaat[[#This Row],[Oppervlak (netto)]]</f>
        <v>819</v>
      </c>
      <c r="W273" s="257">
        <f>IF(U273&gt;0,Ruimtestaat[[#This Row],[Prest. (m2 /jaar) werkdagen]]/Ruimtestaat[[#This Row],[Norm (m2/uur) werkdagen]],0)</f>
        <v>8.19</v>
      </c>
      <c r="X273" s="258">
        <f>Ruimtestaat[[#This Row],[uren / jaar werkdagen]]*Tariefsopbouw!$D$38</f>
        <v>204.75</v>
      </c>
      <c r="Y273" s="33"/>
      <c r="Z273" s="33">
        <f>IF(Ruimtestaat[[#This Row],[Frequentie weekend]]&gt;0,VALUE(LEFT(Y273,1))*R273,0)</f>
        <v>0</v>
      </c>
      <c r="AA273" s="33">
        <f>IF($Z273&gt;0,VLOOKUP($J273,Ruimtegroepen[],3,FALSE)*VLOOKUP($L273,Vloersoorten[],3,FALSE)*VLOOKUP($Y273,Frequenties[],3,FALSE)*VLOOKUP(#REF!,Locaties[],3,FALSE),0)</f>
        <v>0</v>
      </c>
      <c r="AB273" s="33"/>
      <c r="AC273" s="33"/>
      <c r="AD273" s="33">
        <f>Ruimtestaat[[#This Row],[uren / jaar weekend]]*Tariefsopbouw!$D$40</f>
        <v>0</v>
      </c>
      <c r="AE273" s="88">
        <f>Ruimtestaat[[#This Row],[Prest. (m2 /jaar) weekend]]+Ruimtestaat[[#This Row],[Prest. (m2 /jaar) werkdagen]]</f>
        <v>819</v>
      </c>
      <c r="AF273" s="88">
        <f>Ruimtestaat[[#This Row],[uren / jaar weekend]]+Ruimtestaat[[#This Row],[uren / jaar werkdagen]]</f>
        <v>8.19</v>
      </c>
      <c r="AG273" s="89">
        <f>Ruimtestaat[[#This Row],[kosten / jaar weekend]]+Ruimtestaat[[#This Row],[kosten / jaar werkdagen]]</f>
        <v>204.75</v>
      </c>
    </row>
    <row r="274" spans="1:33" ht="15" customHeight="1">
      <c r="A274" s="195">
        <v>3</v>
      </c>
      <c r="B274" s="195" t="str">
        <f>VLOOKUP(Ruimtestaat[[#This Row],[Code]],Locaties[#All],2,FALSE)</f>
        <v>Lichtenvoorde gebouw 1</v>
      </c>
      <c r="C274" s="241" t="str">
        <f>VLOOKUP(Ruimtestaat[[#This Row],[Code]],Locaties[#All],4,FALSE)</f>
        <v>Dr Ariensstraat 1</v>
      </c>
      <c r="D274" s="241" t="str">
        <f>VLOOKUP(Ruimtestaat[[#This Row],[Code]],Locaties[#All],5,FALSE)</f>
        <v>7131 XM </v>
      </c>
      <c r="E274" s="241" t="str">
        <f>VLOOKUP(Ruimtestaat[[#This Row],[Code]],Locaties[#All],6,FALSE)</f>
        <v>Lichtenvoorde</v>
      </c>
      <c r="F274" s="195"/>
      <c r="G274" s="195" t="s">
        <v>768</v>
      </c>
      <c r="H274" s="195" t="s">
        <v>836</v>
      </c>
      <c r="I274" s="242" t="s">
        <v>272</v>
      </c>
      <c r="J274" s="195">
        <v>10</v>
      </c>
      <c r="K274" s="260" t="str">
        <f>VLOOKUP(Ruimtestaat[[#This Row],[Ruimte code]],Ruimtegroepen[#All],2,FALSE)</f>
        <v>Trappenhuizen/lift</v>
      </c>
      <c r="L274" s="241" t="s">
        <v>110</v>
      </c>
      <c r="M274" s="195" t="s">
        <v>133</v>
      </c>
      <c r="N274" s="197">
        <v>7.5</v>
      </c>
      <c r="O274" s="209"/>
      <c r="P274" s="241" t="str">
        <f>VLOOKUP(Ruimtestaat[[#This Row],[Ruimte code]],Ruimtegroepen[#All],4,FALSE)</f>
        <v>V  (Verkeersruimte)</v>
      </c>
      <c r="Q274" s="210"/>
      <c r="R274" s="211">
        <v>40</v>
      </c>
      <c r="S274" s="211" t="s">
        <v>18</v>
      </c>
      <c r="T274" s="211">
        <f>IF(R274&gt;0,IF(RIGHT(Ruimtestaat[[#This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U274" s="211">
        <f>IF(T274&gt;0,VLOOKUP($J274,Ruimtegroepen[],3,FALSE)*VLOOKUP($L274,Vloersoorten[],3,FALSE)*VLOOKUP($S274,Frequenties[],3,FALSE)*VLOOKUP($A274,Locaties[],3,FALSE),0)</f>
        <v>100</v>
      </c>
      <c r="V274" s="211">
        <f>Ruimtestaat[[#This Row],[Uitvoeringen werkdagen]]*Ruimtestaat[[#This Row],[Oppervlak (netto)]]</f>
        <v>900</v>
      </c>
      <c r="W274" s="257">
        <f>IF(U274&gt;0,Ruimtestaat[[#This Row],[Prest. (m2 /jaar) werkdagen]]/Ruimtestaat[[#This Row],[Norm (m2/uur) werkdagen]],0)</f>
        <v>9</v>
      </c>
      <c r="X274" s="258">
        <f>Ruimtestaat[[#This Row],[uren / jaar werkdagen]]*Tariefsopbouw!$D$38</f>
        <v>225</v>
      </c>
      <c r="Y274" s="33"/>
      <c r="Z274" s="33">
        <f>IF(Ruimtestaat[[#This Row],[Frequentie weekend]]&gt;0,VALUE(LEFT(Y274,1))*R274,0)</f>
        <v>0</v>
      </c>
      <c r="AA274" s="33">
        <f>IF($Z274&gt;0,VLOOKUP($J274,Ruimtegroepen[],3,FALSE)*VLOOKUP($L274,Vloersoorten[],3,FALSE)*VLOOKUP($Y274,Frequenties[],3,FALSE)*VLOOKUP(#REF!,Locaties[],3,FALSE),0)</f>
        <v>0</v>
      </c>
      <c r="AB274" s="33"/>
      <c r="AC274" s="33"/>
      <c r="AD274" s="33">
        <f>Ruimtestaat[[#This Row],[uren / jaar weekend]]*Tariefsopbouw!$D$40</f>
        <v>0</v>
      </c>
      <c r="AE274" s="88">
        <f>Ruimtestaat[[#This Row],[Prest. (m2 /jaar) weekend]]+Ruimtestaat[[#This Row],[Prest. (m2 /jaar) werkdagen]]</f>
        <v>900</v>
      </c>
      <c r="AF274" s="88">
        <f>Ruimtestaat[[#This Row],[uren / jaar weekend]]+Ruimtestaat[[#This Row],[uren / jaar werkdagen]]</f>
        <v>9</v>
      </c>
      <c r="AG274" s="89">
        <f>Ruimtestaat[[#This Row],[kosten / jaar weekend]]+Ruimtestaat[[#This Row],[kosten / jaar werkdagen]]</f>
        <v>225</v>
      </c>
    </row>
    <row r="275" spans="1:33" ht="15" customHeight="1">
      <c r="A275" s="195">
        <v>3</v>
      </c>
      <c r="B275" s="195" t="str">
        <f>VLOOKUP(Ruimtestaat[[#This Row],[Code]],Locaties[#All],2,FALSE)</f>
        <v>Lichtenvoorde gebouw 1</v>
      </c>
      <c r="C275" s="241" t="str">
        <f>VLOOKUP(Ruimtestaat[[#This Row],[Code]],Locaties[#All],4,FALSE)</f>
        <v>Dr Ariensstraat 1</v>
      </c>
      <c r="D275" s="241" t="str">
        <f>VLOOKUP(Ruimtestaat[[#This Row],[Code]],Locaties[#All],5,FALSE)</f>
        <v>7131 XM </v>
      </c>
      <c r="E275" s="241" t="str">
        <f>VLOOKUP(Ruimtestaat[[#This Row],[Code]],Locaties[#All],6,FALSE)</f>
        <v>Lichtenvoorde</v>
      </c>
      <c r="F275" s="195"/>
      <c r="G275" s="195" t="s">
        <v>768</v>
      </c>
      <c r="H275" s="195" t="s">
        <v>711</v>
      </c>
      <c r="I275" s="242" t="s">
        <v>382</v>
      </c>
      <c r="J275" s="195">
        <v>6</v>
      </c>
      <c r="K275" s="260" t="str">
        <f>VLOOKUP(Ruimtestaat[[#This Row],[Ruimte code]],Ruimtegroepen[#All],2,FALSE)</f>
        <v>Gangen/hallen</v>
      </c>
      <c r="L275" s="211" t="s">
        <v>111</v>
      </c>
      <c r="M275" s="195" t="s">
        <v>693</v>
      </c>
      <c r="N275" s="197">
        <v>229.1</v>
      </c>
      <c r="O275" s="209"/>
      <c r="P275" s="241" t="str">
        <f>VLOOKUP(Ruimtestaat[[#This Row],[Ruimte code]],Ruimtegroepen[#All],4,FALSE)</f>
        <v>V  (Verkeersruimte)</v>
      </c>
      <c r="Q275" s="210"/>
      <c r="R275" s="211">
        <v>40</v>
      </c>
      <c r="S275" s="211" t="s">
        <v>2</v>
      </c>
      <c r="T275" s="211">
        <f>IF(R275&gt;0,IF(RIGHT(Ruimtestaat[[#This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275" s="211">
        <f>IF(T275&gt;0,VLOOKUP($J275,Ruimtegroepen[],3,FALSE)*VLOOKUP($L275,Vloersoorten[],3,FALSE)*VLOOKUP($S275,Frequenties[],3,FALSE)*VLOOKUP($A275,Locaties[],3,FALSE),0)</f>
        <v>100</v>
      </c>
      <c r="V275" s="211">
        <f>Ruimtestaat[[#This Row],[Uitvoeringen werkdagen]]*Ruimtestaat[[#This Row],[Oppervlak (netto)]]</f>
        <v>45820</v>
      </c>
      <c r="W275" s="257">
        <f>IF(U275&gt;0,Ruimtestaat[[#This Row],[Prest. (m2 /jaar) werkdagen]]/Ruimtestaat[[#This Row],[Norm (m2/uur) werkdagen]],0)</f>
        <v>458.2</v>
      </c>
      <c r="X275" s="258">
        <f>Ruimtestaat[[#This Row],[uren / jaar werkdagen]]*Tariefsopbouw!$D$38</f>
        <v>11455</v>
      </c>
      <c r="Y275" s="33"/>
      <c r="Z275" s="33">
        <f>IF(Ruimtestaat[[#This Row],[Frequentie weekend]]&gt;0,VALUE(LEFT(Y275,1))*R275,0)</f>
        <v>0</v>
      </c>
      <c r="AA275" s="33">
        <f>IF($Z275&gt;0,VLOOKUP($J275,Ruimtegroepen[],3,FALSE)*VLOOKUP($L275,Vloersoorten[],3,FALSE)*VLOOKUP($Y275,Frequenties[],3,FALSE)*VLOOKUP(#REF!,Locaties[],3,FALSE),0)</f>
        <v>0</v>
      </c>
      <c r="AB275" s="33"/>
      <c r="AC275" s="33"/>
      <c r="AD275" s="33">
        <f>Ruimtestaat[[#This Row],[uren / jaar weekend]]*Tariefsopbouw!$D$40</f>
        <v>0</v>
      </c>
      <c r="AE275" s="88">
        <f>Ruimtestaat[[#This Row],[Prest. (m2 /jaar) weekend]]+Ruimtestaat[[#This Row],[Prest. (m2 /jaar) werkdagen]]</f>
        <v>45820</v>
      </c>
      <c r="AF275" s="88">
        <f>Ruimtestaat[[#This Row],[uren / jaar weekend]]+Ruimtestaat[[#This Row],[uren / jaar werkdagen]]</f>
        <v>458.2</v>
      </c>
      <c r="AG275" s="89">
        <f>Ruimtestaat[[#This Row],[kosten / jaar weekend]]+Ruimtestaat[[#This Row],[kosten / jaar werkdagen]]</f>
        <v>11455</v>
      </c>
    </row>
    <row r="276" spans="1:33" ht="15" customHeight="1">
      <c r="A276" s="195">
        <v>3</v>
      </c>
      <c r="B276" s="195" t="str">
        <f>VLOOKUP(Ruimtestaat[[#This Row],[Code]],Locaties[#All],2,FALSE)</f>
        <v>Lichtenvoorde gebouw 1</v>
      </c>
      <c r="C276" s="241" t="str">
        <f>VLOOKUP(Ruimtestaat[[#This Row],[Code]],Locaties[#All],4,FALSE)</f>
        <v>Dr Ariensstraat 1</v>
      </c>
      <c r="D276" s="241" t="str">
        <f>VLOOKUP(Ruimtestaat[[#This Row],[Code]],Locaties[#All],5,FALSE)</f>
        <v>7131 XM </v>
      </c>
      <c r="E276" s="241" t="str">
        <f>VLOOKUP(Ruimtestaat[[#This Row],[Code]],Locaties[#All],6,FALSE)</f>
        <v>Lichtenvoorde</v>
      </c>
      <c r="F276" s="195"/>
      <c r="G276" s="195" t="s">
        <v>768</v>
      </c>
      <c r="H276" s="195" t="s">
        <v>712</v>
      </c>
      <c r="I276" s="242" t="s">
        <v>448</v>
      </c>
      <c r="J276" s="195">
        <v>14</v>
      </c>
      <c r="K276" s="260" t="str">
        <f>VLOOKUP(Ruimtestaat[[#This Row],[Ruimte code]],Ruimtegroepen[#All],2,FALSE)</f>
        <v>Personeelsruimte</v>
      </c>
      <c r="L276" s="211" t="s">
        <v>110</v>
      </c>
      <c r="M276" s="195" t="s">
        <v>133</v>
      </c>
      <c r="N276" s="197">
        <v>156.54</v>
      </c>
      <c r="O276" s="209"/>
      <c r="P276" s="241" t="str">
        <f>VLOOKUP(Ruimtestaat[[#This Row],[Ruimte code]],Ruimtegroepen[#All],4,FALSE)</f>
        <v>V  (Verkeersruimte)</v>
      </c>
      <c r="Q276" s="210"/>
      <c r="R276" s="211">
        <v>40</v>
      </c>
      <c r="S276" s="211" t="s">
        <v>2</v>
      </c>
      <c r="T276" s="211">
        <f>IF(R276&gt;0,IF(RIGHT(Ruimtestaat[[#This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276" s="211">
        <f>IF(T276&gt;0,VLOOKUP($J276,Ruimtegroepen[],3,FALSE)*VLOOKUP($L276,Vloersoorten[],3,FALSE)*VLOOKUP($S276,Frequenties[],3,FALSE)*VLOOKUP($A276,Locaties[],3,FALSE),0)</f>
        <v>100</v>
      </c>
      <c r="V276" s="211">
        <f>Ruimtestaat[[#This Row],[Uitvoeringen werkdagen]]*Ruimtestaat[[#This Row],[Oppervlak (netto)]]</f>
        <v>31308</v>
      </c>
      <c r="W276" s="257">
        <f>IF(U276&gt;0,Ruimtestaat[[#This Row],[Prest. (m2 /jaar) werkdagen]]/Ruimtestaat[[#This Row],[Norm (m2/uur) werkdagen]],0)</f>
        <v>313.08</v>
      </c>
      <c r="X276" s="258">
        <f>Ruimtestaat[[#This Row],[uren / jaar werkdagen]]*Tariefsopbouw!$D$38</f>
        <v>7827</v>
      </c>
      <c r="Y276" s="33"/>
      <c r="Z276" s="33">
        <f>IF(Ruimtestaat[[#This Row],[Frequentie weekend]]&gt;0,VALUE(LEFT(Y276,1))*R276,0)</f>
        <v>0</v>
      </c>
      <c r="AA276" s="33">
        <f>IF($Z276&gt;0,VLOOKUP($J276,Ruimtegroepen[],3,FALSE)*VLOOKUP($L276,Vloersoorten[],3,FALSE)*VLOOKUP($Y276,Frequenties[],3,FALSE)*VLOOKUP(#REF!,Locaties[],3,FALSE),0)</f>
        <v>0</v>
      </c>
      <c r="AB276" s="33"/>
      <c r="AC276" s="33"/>
      <c r="AD276" s="33">
        <f>Ruimtestaat[[#This Row],[uren / jaar weekend]]*Tariefsopbouw!$D$40</f>
        <v>0</v>
      </c>
      <c r="AE276" s="88">
        <f>Ruimtestaat[[#This Row],[Prest. (m2 /jaar) weekend]]+Ruimtestaat[[#This Row],[Prest. (m2 /jaar) werkdagen]]</f>
        <v>31308</v>
      </c>
      <c r="AF276" s="88">
        <f>Ruimtestaat[[#This Row],[uren / jaar weekend]]+Ruimtestaat[[#This Row],[uren / jaar werkdagen]]</f>
        <v>313.08</v>
      </c>
      <c r="AG276" s="89">
        <f>Ruimtestaat[[#This Row],[kosten / jaar weekend]]+Ruimtestaat[[#This Row],[kosten / jaar werkdagen]]</f>
        <v>7827</v>
      </c>
    </row>
    <row r="277" spans="1:33" ht="15" customHeight="1">
      <c r="A277" s="195">
        <v>3</v>
      </c>
      <c r="B277" s="195" t="str">
        <f>VLOOKUP(Ruimtestaat[[#This Row],[Code]],Locaties[#All],2,FALSE)</f>
        <v>Lichtenvoorde gebouw 1</v>
      </c>
      <c r="C277" s="241" t="str">
        <f>VLOOKUP(Ruimtestaat[[#This Row],[Code]],Locaties[#All],4,FALSE)</f>
        <v>Dr Ariensstraat 1</v>
      </c>
      <c r="D277" s="241" t="str">
        <f>VLOOKUP(Ruimtestaat[[#This Row],[Code]],Locaties[#All],5,FALSE)</f>
        <v>7131 XM </v>
      </c>
      <c r="E277" s="241" t="str">
        <f>VLOOKUP(Ruimtestaat[[#This Row],[Code]],Locaties[#All],6,FALSE)</f>
        <v>Lichtenvoorde</v>
      </c>
      <c r="F277" s="195"/>
      <c r="G277" s="195" t="s">
        <v>768</v>
      </c>
      <c r="H277" s="195" t="s">
        <v>713</v>
      </c>
      <c r="I277" s="242" t="s">
        <v>441</v>
      </c>
      <c r="J277" s="195">
        <v>1</v>
      </c>
      <c r="K277" s="260" t="str">
        <f>VLOOKUP(Ruimtestaat[[#This Row],[Ruimte code]],Ruimtegroepen[#All],2,FALSE)</f>
        <v>Magazijnen/bergingen</v>
      </c>
      <c r="L277" s="211" t="s">
        <v>110</v>
      </c>
      <c r="M277" s="195" t="s">
        <v>133</v>
      </c>
      <c r="N277" s="197">
        <v>13.27</v>
      </c>
      <c r="O277" s="209"/>
      <c r="P277" s="241" t="str">
        <f>VLOOKUP(Ruimtestaat[[#This Row],[Ruimte code]],Ruimtegroepen[#All],4,FALSE)</f>
        <v>V  (Verkeersruimte)</v>
      </c>
      <c r="Q277" s="210"/>
      <c r="R277" s="211">
        <v>40</v>
      </c>
      <c r="S277" s="211" t="s">
        <v>16</v>
      </c>
      <c r="T277" s="211">
        <f>IF(R277&gt;0,IF(RIGHT(Ruimtestaat[[#This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U277" s="211">
        <f>IF(T277&gt;0,VLOOKUP($J277,Ruimtegroepen[],3,FALSE)*VLOOKUP($L277,Vloersoorten[],3,FALSE)*VLOOKUP($S277,Frequenties[],3,FALSE)*VLOOKUP($A277,Locaties[],3,FALSE),0)</f>
        <v>100</v>
      </c>
      <c r="V277" s="211">
        <f>Ruimtestaat[[#This Row],[Uitvoeringen werkdagen]]*Ruimtestaat[[#This Row],[Oppervlak (netto)]]</f>
        <v>159.24</v>
      </c>
      <c r="W277" s="257">
        <f>IF(U277&gt;0,Ruimtestaat[[#This Row],[Prest. (m2 /jaar) werkdagen]]/Ruimtestaat[[#This Row],[Norm (m2/uur) werkdagen]],0)</f>
        <v>1.5924</v>
      </c>
      <c r="X277" s="258">
        <f>Ruimtestaat[[#This Row],[uren / jaar werkdagen]]*Tariefsopbouw!$D$38</f>
        <v>39.81</v>
      </c>
      <c r="Y277" s="33"/>
      <c r="Z277" s="33">
        <f>IF(Ruimtestaat[[#This Row],[Frequentie weekend]]&gt;0,VALUE(LEFT(Y277,1))*R277,0)</f>
        <v>0</v>
      </c>
      <c r="AA277" s="33">
        <f>IF($Z277&gt;0,VLOOKUP($J277,Ruimtegroepen[],3,FALSE)*VLOOKUP($L277,Vloersoorten[],3,FALSE)*VLOOKUP($Y277,Frequenties[],3,FALSE)*VLOOKUP(#REF!,Locaties[],3,FALSE),0)</f>
        <v>0</v>
      </c>
      <c r="AB277" s="33"/>
      <c r="AC277" s="33"/>
      <c r="AD277" s="33">
        <f>Ruimtestaat[[#This Row],[uren / jaar weekend]]*Tariefsopbouw!$D$40</f>
        <v>0</v>
      </c>
      <c r="AE277" s="88">
        <f>Ruimtestaat[[#This Row],[Prest. (m2 /jaar) weekend]]+Ruimtestaat[[#This Row],[Prest. (m2 /jaar) werkdagen]]</f>
        <v>159.24</v>
      </c>
      <c r="AF277" s="88">
        <f>Ruimtestaat[[#This Row],[uren / jaar weekend]]+Ruimtestaat[[#This Row],[uren / jaar werkdagen]]</f>
        <v>1.5924</v>
      </c>
      <c r="AG277" s="89">
        <f>Ruimtestaat[[#This Row],[kosten / jaar weekend]]+Ruimtestaat[[#This Row],[kosten / jaar werkdagen]]</f>
        <v>39.81</v>
      </c>
    </row>
    <row r="278" spans="1:33" ht="15" customHeight="1">
      <c r="A278" s="195">
        <v>3</v>
      </c>
      <c r="B278" s="195" t="str">
        <f>VLOOKUP(Ruimtestaat[[#This Row],[Code]],Locaties[#All],2,FALSE)</f>
        <v>Lichtenvoorde gebouw 1</v>
      </c>
      <c r="C278" s="241" t="str">
        <f>VLOOKUP(Ruimtestaat[[#This Row],[Code]],Locaties[#All],4,FALSE)</f>
        <v>Dr Ariensstraat 1</v>
      </c>
      <c r="D278" s="241" t="str">
        <f>VLOOKUP(Ruimtestaat[[#This Row],[Code]],Locaties[#All],5,FALSE)</f>
        <v>7131 XM </v>
      </c>
      <c r="E278" s="241" t="str">
        <f>VLOOKUP(Ruimtestaat[[#This Row],[Code]],Locaties[#All],6,FALSE)</f>
        <v>Lichtenvoorde</v>
      </c>
      <c r="F278" s="195"/>
      <c r="G278" s="195" t="s">
        <v>768</v>
      </c>
      <c r="H278" s="195" t="s">
        <v>714</v>
      </c>
      <c r="I278" s="242" t="s">
        <v>382</v>
      </c>
      <c r="J278" s="261">
        <v>10</v>
      </c>
      <c r="K278" s="260" t="str">
        <f>VLOOKUP(Ruimtestaat[[#This Row],[Ruimte code]],Ruimtegroepen[#All],2,FALSE)</f>
        <v>Trappenhuizen/lift</v>
      </c>
      <c r="L278" s="211" t="s">
        <v>110</v>
      </c>
      <c r="M278" s="195" t="s">
        <v>133</v>
      </c>
      <c r="N278" s="197">
        <v>0.68</v>
      </c>
      <c r="O278" s="209"/>
      <c r="P278" s="241" t="str">
        <f>VLOOKUP(Ruimtestaat[[#This Row],[Ruimte code]],Ruimtegroepen[#All],4,FALSE)</f>
        <v>V  (Verkeersruimte)</v>
      </c>
      <c r="Q278" s="210"/>
      <c r="R278" s="211">
        <v>40</v>
      </c>
      <c r="S278" s="211" t="s">
        <v>2</v>
      </c>
      <c r="T278" s="211">
        <f>IF(R278&gt;0,IF(RIGHT(Ruimtestaat[[#This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278" s="211">
        <f>IF(T278&gt;0,VLOOKUP($J278,Ruimtegroepen[],3,FALSE)*VLOOKUP($L278,Vloersoorten[],3,FALSE)*VLOOKUP($S278,Frequenties[],3,FALSE)*VLOOKUP($A278,Locaties[],3,FALSE),0)</f>
        <v>100</v>
      </c>
      <c r="V278" s="211">
        <f>Ruimtestaat[[#This Row],[Uitvoeringen werkdagen]]*Ruimtestaat[[#This Row],[Oppervlak (netto)]]</f>
        <v>136</v>
      </c>
      <c r="W278" s="257">
        <f>IF(U278&gt;0,Ruimtestaat[[#This Row],[Prest. (m2 /jaar) werkdagen]]/Ruimtestaat[[#This Row],[Norm (m2/uur) werkdagen]],0)</f>
        <v>1.36</v>
      </c>
      <c r="X278" s="258">
        <f>Ruimtestaat[[#This Row],[uren / jaar werkdagen]]*Tariefsopbouw!$D$38</f>
        <v>34</v>
      </c>
      <c r="Y278" s="33"/>
      <c r="Z278" s="33">
        <f>IF(Ruimtestaat[[#This Row],[Frequentie weekend]]&gt;0,VALUE(LEFT(Y278,1))*R278,0)</f>
        <v>0</v>
      </c>
      <c r="AA278" s="33">
        <f>IF($Z278&gt;0,VLOOKUP($J278,Ruimtegroepen[],3,FALSE)*VLOOKUP($L278,Vloersoorten[],3,FALSE)*VLOOKUP($Y278,Frequenties[],3,FALSE)*VLOOKUP(#REF!,Locaties[],3,FALSE),0)</f>
        <v>0</v>
      </c>
      <c r="AB278" s="33"/>
      <c r="AC278" s="33"/>
      <c r="AD278" s="33">
        <f>Ruimtestaat[[#This Row],[uren / jaar weekend]]*Tariefsopbouw!$D$40</f>
        <v>0</v>
      </c>
      <c r="AE278" s="88">
        <f>Ruimtestaat[[#This Row],[Prest. (m2 /jaar) weekend]]+Ruimtestaat[[#This Row],[Prest. (m2 /jaar) werkdagen]]</f>
        <v>136</v>
      </c>
      <c r="AF278" s="88">
        <f>Ruimtestaat[[#This Row],[uren / jaar weekend]]+Ruimtestaat[[#This Row],[uren / jaar werkdagen]]</f>
        <v>1.36</v>
      </c>
      <c r="AG278" s="89">
        <f>Ruimtestaat[[#This Row],[kosten / jaar weekend]]+Ruimtestaat[[#This Row],[kosten / jaar werkdagen]]</f>
        <v>34</v>
      </c>
    </row>
    <row r="279" spans="1:33" ht="15" customHeight="1">
      <c r="A279" s="195">
        <v>3</v>
      </c>
      <c r="B279" s="195" t="str">
        <f>VLOOKUP(Ruimtestaat[[#This Row],[Code]],Locaties[#All],2,FALSE)</f>
        <v>Lichtenvoorde gebouw 1</v>
      </c>
      <c r="C279" s="241" t="str">
        <f>VLOOKUP(Ruimtestaat[[#This Row],[Code]],Locaties[#All],4,FALSE)</f>
        <v>Dr Ariensstraat 1</v>
      </c>
      <c r="D279" s="241" t="str">
        <f>VLOOKUP(Ruimtestaat[[#This Row],[Code]],Locaties[#All],5,FALSE)</f>
        <v>7131 XM </v>
      </c>
      <c r="E279" s="241" t="str">
        <f>VLOOKUP(Ruimtestaat[[#This Row],[Code]],Locaties[#All],6,FALSE)</f>
        <v>Lichtenvoorde</v>
      </c>
      <c r="F279" s="195"/>
      <c r="G279" s="195" t="s">
        <v>768</v>
      </c>
      <c r="H279" s="195" t="s">
        <v>715</v>
      </c>
      <c r="I279" s="242" t="s">
        <v>441</v>
      </c>
      <c r="J279" s="195">
        <v>1</v>
      </c>
      <c r="K279" s="260" t="str">
        <f>VLOOKUP(Ruimtestaat[[#This Row],[Ruimte code]],Ruimtegroepen[#All],2,FALSE)</f>
        <v>Magazijnen/bergingen</v>
      </c>
      <c r="L279" s="211" t="s">
        <v>110</v>
      </c>
      <c r="M279" s="195" t="s">
        <v>133</v>
      </c>
      <c r="N279" s="197">
        <v>4.82</v>
      </c>
      <c r="O279" s="209"/>
      <c r="P279" s="241" t="str">
        <f>VLOOKUP(Ruimtestaat[[#This Row],[Ruimte code]],Ruimtegroepen[#All],4,FALSE)</f>
        <v>V  (Verkeersruimte)</v>
      </c>
      <c r="Q279" s="210"/>
      <c r="R279" s="211">
        <v>40</v>
      </c>
      <c r="S279" s="211" t="s">
        <v>16</v>
      </c>
      <c r="T279" s="211">
        <f>IF(R279&gt;0,IF(RIGHT(Ruimtestaat[[#This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U279" s="211">
        <f>IF(T279&gt;0,VLOOKUP($J279,Ruimtegroepen[],3,FALSE)*VLOOKUP($L279,Vloersoorten[],3,FALSE)*VLOOKUP($S279,Frequenties[],3,FALSE)*VLOOKUP($A279,Locaties[],3,FALSE),0)</f>
        <v>100</v>
      </c>
      <c r="V279" s="211">
        <f>Ruimtestaat[[#This Row],[Uitvoeringen werkdagen]]*Ruimtestaat[[#This Row],[Oppervlak (netto)]]</f>
        <v>57.84</v>
      </c>
      <c r="W279" s="257">
        <f>IF(U279&gt;0,Ruimtestaat[[#This Row],[Prest. (m2 /jaar) werkdagen]]/Ruimtestaat[[#This Row],[Norm (m2/uur) werkdagen]],0)</f>
        <v>0.57840000000000003</v>
      </c>
      <c r="X279" s="258">
        <f>Ruimtestaat[[#This Row],[uren / jaar werkdagen]]*Tariefsopbouw!$D$38</f>
        <v>14.46</v>
      </c>
      <c r="Y279" s="33"/>
      <c r="Z279" s="33">
        <f>IF(Ruimtestaat[[#This Row],[Frequentie weekend]]&gt;0,VALUE(LEFT(Y279,1))*R279,0)</f>
        <v>0</v>
      </c>
      <c r="AA279" s="33">
        <f>IF($Z279&gt;0,VLOOKUP($J279,Ruimtegroepen[],3,FALSE)*VLOOKUP($L279,Vloersoorten[],3,FALSE)*VLOOKUP($Y279,Frequenties[],3,FALSE)*VLOOKUP(#REF!,Locaties[],3,FALSE),0)</f>
        <v>0</v>
      </c>
      <c r="AB279" s="33"/>
      <c r="AC279" s="33"/>
      <c r="AD279" s="33">
        <f>Ruimtestaat[[#This Row],[uren / jaar weekend]]*Tariefsopbouw!$D$40</f>
        <v>0</v>
      </c>
      <c r="AE279" s="88">
        <f>Ruimtestaat[[#This Row],[Prest. (m2 /jaar) weekend]]+Ruimtestaat[[#This Row],[Prest. (m2 /jaar) werkdagen]]</f>
        <v>57.84</v>
      </c>
      <c r="AF279" s="88">
        <f>Ruimtestaat[[#This Row],[uren / jaar weekend]]+Ruimtestaat[[#This Row],[uren / jaar werkdagen]]</f>
        <v>0.57840000000000003</v>
      </c>
      <c r="AG279" s="89">
        <f>Ruimtestaat[[#This Row],[kosten / jaar weekend]]+Ruimtestaat[[#This Row],[kosten / jaar werkdagen]]</f>
        <v>14.46</v>
      </c>
    </row>
    <row r="280" spans="1:33" ht="15" customHeight="1">
      <c r="A280" s="195">
        <v>3</v>
      </c>
      <c r="B280" s="195" t="str">
        <f>VLOOKUP(Ruimtestaat[[#This Row],[Code]],Locaties[#All],2,FALSE)</f>
        <v>Lichtenvoorde gebouw 1</v>
      </c>
      <c r="C280" s="241" t="str">
        <f>VLOOKUP(Ruimtestaat[[#This Row],[Code]],Locaties[#All],4,FALSE)</f>
        <v>Dr Ariensstraat 1</v>
      </c>
      <c r="D280" s="241" t="str">
        <f>VLOOKUP(Ruimtestaat[[#This Row],[Code]],Locaties[#All],5,FALSE)</f>
        <v>7131 XM </v>
      </c>
      <c r="E280" s="241" t="str">
        <f>VLOOKUP(Ruimtestaat[[#This Row],[Code]],Locaties[#All],6,FALSE)</f>
        <v>Lichtenvoorde</v>
      </c>
      <c r="F280" s="195"/>
      <c r="G280" s="195" t="s">
        <v>768</v>
      </c>
      <c r="H280" s="195" t="s">
        <v>716</v>
      </c>
      <c r="I280" s="242" t="s">
        <v>441</v>
      </c>
      <c r="J280" s="195">
        <v>1</v>
      </c>
      <c r="K280" s="260" t="str">
        <f>VLOOKUP(Ruimtestaat[[#This Row],[Ruimte code]],Ruimtegroepen[#All],2,FALSE)</f>
        <v>Magazijnen/bergingen</v>
      </c>
      <c r="L280" s="211" t="s">
        <v>110</v>
      </c>
      <c r="M280" s="195" t="s">
        <v>133</v>
      </c>
      <c r="N280" s="197">
        <v>4.63</v>
      </c>
      <c r="O280" s="209"/>
      <c r="P280" s="241" t="str">
        <f>VLOOKUP(Ruimtestaat[[#This Row],[Ruimte code]],Ruimtegroepen[#All],4,FALSE)</f>
        <v>V  (Verkeersruimte)</v>
      </c>
      <c r="Q280" s="210"/>
      <c r="R280" s="211">
        <v>40</v>
      </c>
      <c r="S280" s="211" t="s">
        <v>16</v>
      </c>
      <c r="T280" s="211">
        <f>IF(R280&gt;0,IF(RIGHT(Ruimtestaat[[#This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U280" s="211">
        <f>IF(T280&gt;0,VLOOKUP($J280,Ruimtegroepen[],3,FALSE)*VLOOKUP($L280,Vloersoorten[],3,FALSE)*VLOOKUP($S280,Frequenties[],3,FALSE)*VLOOKUP($A280,Locaties[],3,FALSE),0)</f>
        <v>100</v>
      </c>
      <c r="V280" s="211">
        <f>Ruimtestaat[[#This Row],[Uitvoeringen werkdagen]]*Ruimtestaat[[#This Row],[Oppervlak (netto)]]</f>
        <v>55.56</v>
      </c>
      <c r="W280" s="257">
        <f>IF(U280&gt;0,Ruimtestaat[[#This Row],[Prest. (m2 /jaar) werkdagen]]/Ruimtestaat[[#This Row],[Norm (m2/uur) werkdagen]],0)</f>
        <v>0.55559999999999998</v>
      </c>
      <c r="X280" s="258">
        <f>Ruimtestaat[[#This Row],[uren / jaar werkdagen]]*Tariefsopbouw!$D$38</f>
        <v>13.889999999999999</v>
      </c>
      <c r="Y280" s="33"/>
      <c r="Z280" s="33">
        <f>IF(Ruimtestaat[[#This Row],[Frequentie weekend]]&gt;0,VALUE(LEFT(Y280,1))*R280,0)</f>
        <v>0</v>
      </c>
      <c r="AA280" s="33">
        <f>IF($Z280&gt;0,VLOOKUP($J280,Ruimtegroepen[],3,FALSE)*VLOOKUP($L280,Vloersoorten[],3,FALSE)*VLOOKUP($Y280,Frequenties[],3,FALSE)*VLOOKUP(#REF!,Locaties[],3,FALSE),0)</f>
        <v>0</v>
      </c>
      <c r="AB280" s="33"/>
      <c r="AC280" s="33"/>
      <c r="AD280" s="33">
        <f>Ruimtestaat[[#This Row],[uren / jaar weekend]]*Tariefsopbouw!$D$40</f>
        <v>0</v>
      </c>
      <c r="AE280" s="88">
        <f>Ruimtestaat[[#This Row],[Prest. (m2 /jaar) weekend]]+Ruimtestaat[[#This Row],[Prest. (m2 /jaar) werkdagen]]</f>
        <v>55.56</v>
      </c>
      <c r="AF280" s="88">
        <f>Ruimtestaat[[#This Row],[uren / jaar weekend]]+Ruimtestaat[[#This Row],[uren / jaar werkdagen]]</f>
        <v>0.55559999999999998</v>
      </c>
      <c r="AG280" s="89">
        <f>Ruimtestaat[[#This Row],[kosten / jaar weekend]]+Ruimtestaat[[#This Row],[kosten / jaar werkdagen]]</f>
        <v>13.889999999999999</v>
      </c>
    </row>
    <row r="281" spans="1:33" ht="15" customHeight="1">
      <c r="A281" s="195">
        <v>3</v>
      </c>
      <c r="B281" s="195" t="str">
        <f>VLOOKUP(Ruimtestaat[[#This Row],[Code]],Locaties[#All],2,FALSE)</f>
        <v>Lichtenvoorde gebouw 1</v>
      </c>
      <c r="C281" s="241" t="str">
        <f>VLOOKUP(Ruimtestaat[[#This Row],[Code]],Locaties[#All],4,FALSE)</f>
        <v>Dr Ariensstraat 1</v>
      </c>
      <c r="D281" s="241" t="str">
        <f>VLOOKUP(Ruimtestaat[[#This Row],[Code]],Locaties[#All],5,FALSE)</f>
        <v>7131 XM </v>
      </c>
      <c r="E281" s="241" t="str">
        <f>VLOOKUP(Ruimtestaat[[#This Row],[Code]],Locaties[#All],6,FALSE)</f>
        <v>Lichtenvoorde</v>
      </c>
      <c r="F281" s="195"/>
      <c r="G281" s="195" t="s">
        <v>768</v>
      </c>
      <c r="H281" s="195" t="s">
        <v>717</v>
      </c>
      <c r="I281" s="242" t="s">
        <v>382</v>
      </c>
      <c r="J281" s="195">
        <v>6</v>
      </c>
      <c r="K281" s="260" t="str">
        <f>VLOOKUP(Ruimtestaat[[#This Row],[Ruimte code]],Ruimtegroepen[#All],2,FALSE)</f>
        <v>Gangen/hallen</v>
      </c>
      <c r="L281" s="211" t="s">
        <v>110</v>
      </c>
      <c r="M281" s="195" t="s">
        <v>133</v>
      </c>
      <c r="N281" s="197">
        <v>47.25</v>
      </c>
      <c r="O281" s="209"/>
      <c r="P281" s="241" t="str">
        <f>VLOOKUP(Ruimtestaat[[#This Row],[Ruimte code]],Ruimtegroepen[#All],4,FALSE)</f>
        <v>V  (Verkeersruimte)</v>
      </c>
      <c r="Q281" s="210"/>
      <c r="R281" s="211">
        <v>40</v>
      </c>
      <c r="S281" s="211" t="s">
        <v>2</v>
      </c>
      <c r="T281" s="211">
        <f>IF(R281&gt;0,IF(RIGHT(Ruimtestaat[[#This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281" s="211">
        <f>IF(T281&gt;0,VLOOKUP($J281,Ruimtegroepen[],3,FALSE)*VLOOKUP($L281,Vloersoorten[],3,FALSE)*VLOOKUP($S281,Frequenties[],3,FALSE)*VLOOKUP($A281,Locaties[],3,FALSE),0)</f>
        <v>100</v>
      </c>
      <c r="V281" s="211">
        <f>Ruimtestaat[[#This Row],[Uitvoeringen werkdagen]]*Ruimtestaat[[#This Row],[Oppervlak (netto)]]</f>
        <v>9450</v>
      </c>
      <c r="W281" s="257">
        <f>IF(U281&gt;0,Ruimtestaat[[#This Row],[Prest. (m2 /jaar) werkdagen]]/Ruimtestaat[[#This Row],[Norm (m2/uur) werkdagen]],0)</f>
        <v>94.5</v>
      </c>
      <c r="X281" s="258">
        <f>Ruimtestaat[[#This Row],[uren / jaar werkdagen]]*Tariefsopbouw!$D$38</f>
        <v>2362.5</v>
      </c>
      <c r="Y281" s="33"/>
      <c r="Z281" s="33">
        <f>IF(Ruimtestaat[[#This Row],[Frequentie weekend]]&gt;0,VALUE(LEFT(Y281,1))*R281,0)</f>
        <v>0</v>
      </c>
      <c r="AA281" s="33">
        <f>IF($Z281&gt;0,VLOOKUP($J281,Ruimtegroepen[],3,FALSE)*VLOOKUP($L281,Vloersoorten[],3,FALSE)*VLOOKUP($Y281,Frequenties[],3,FALSE)*VLOOKUP(#REF!,Locaties[],3,FALSE),0)</f>
        <v>0</v>
      </c>
      <c r="AB281" s="33"/>
      <c r="AC281" s="33"/>
      <c r="AD281" s="33">
        <f>Ruimtestaat[[#This Row],[uren / jaar weekend]]*Tariefsopbouw!$D$40</f>
        <v>0</v>
      </c>
      <c r="AE281" s="88">
        <f>Ruimtestaat[[#This Row],[Prest. (m2 /jaar) weekend]]+Ruimtestaat[[#This Row],[Prest. (m2 /jaar) werkdagen]]</f>
        <v>9450</v>
      </c>
      <c r="AF281" s="88">
        <f>Ruimtestaat[[#This Row],[uren / jaar weekend]]+Ruimtestaat[[#This Row],[uren / jaar werkdagen]]</f>
        <v>94.5</v>
      </c>
      <c r="AG281" s="89">
        <f>Ruimtestaat[[#This Row],[kosten / jaar weekend]]+Ruimtestaat[[#This Row],[kosten / jaar werkdagen]]</f>
        <v>2362.5</v>
      </c>
    </row>
    <row r="282" spans="1:33" ht="15" customHeight="1">
      <c r="A282" s="195">
        <v>3</v>
      </c>
      <c r="B282" s="195" t="str">
        <f>VLOOKUP(Ruimtestaat[[#This Row],[Code]],Locaties[#All],2,FALSE)</f>
        <v>Lichtenvoorde gebouw 1</v>
      </c>
      <c r="C282" s="241" t="str">
        <f>VLOOKUP(Ruimtestaat[[#This Row],[Code]],Locaties[#All],4,FALSE)</f>
        <v>Dr Ariensstraat 1</v>
      </c>
      <c r="D282" s="241" t="str">
        <f>VLOOKUP(Ruimtestaat[[#This Row],[Code]],Locaties[#All],5,FALSE)</f>
        <v>7131 XM </v>
      </c>
      <c r="E282" s="241" t="str">
        <f>VLOOKUP(Ruimtestaat[[#This Row],[Code]],Locaties[#All],6,FALSE)</f>
        <v>Lichtenvoorde</v>
      </c>
      <c r="F282" s="195"/>
      <c r="G282" s="195" t="s">
        <v>768</v>
      </c>
      <c r="H282" s="195" t="s">
        <v>718</v>
      </c>
      <c r="I282" s="242" t="s">
        <v>837</v>
      </c>
      <c r="J282" s="241">
        <v>19</v>
      </c>
      <c r="K282" s="260" t="str">
        <f>VLOOKUP(Ruimtestaat[[#This Row],[Ruimte code]],Ruimtegroepen[#All],2,FALSE)</f>
        <v>Kleedruimten</v>
      </c>
      <c r="L282" s="211" t="s">
        <v>111</v>
      </c>
      <c r="M282" s="195" t="s">
        <v>693</v>
      </c>
      <c r="N282" s="197">
        <v>13.78</v>
      </c>
      <c r="O282" s="209"/>
      <c r="P282" s="241" t="str">
        <f>VLOOKUP(Ruimtestaat[[#This Row],[Ruimte code]],Ruimtegroepen[#All],4,FALSE)</f>
        <v>V  (Verkeersruimte)</v>
      </c>
      <c r="Q282" s="210"/>
      <c r="R282" s="211">
        <v>40</v>
      </c>
      <c r="S282" s="211" t="s">
        <v>16</v>
      </c>
      <c r="T282" s="211">
        <f>IF(R282&gt;0,IF(RIGHT(Ruimtestaat[[#This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U282" s="211">
        <f>IF(T282&gt;0,VLOOKUP($J282,Ruimtegroepen[],3,FALSE)*VLOOKUP($L282,Vloersoorten[],3,FALSE)*VLOOKUP($S282,Frequenties[],3,FALSE)*VLOOKUP($A282,Locaties[],3,FALSE),0)</f>
        <v>100</v>
      </c>
      <c r="V282" s="211">
        <f>Ruimtestaat[[#This Row],[Uitvoeringen werkdagen]]*Ruimtestaat[[#This Row],[Oppervlak (netto)]]</f>
        <v>165.35999999999999</v>
      </c>
      <c r="W282" s="257">
        <f>IF(U282&gt;0,Ruimtestaat[[#This Row],[Prest. (m2 /jaar) werkdagen]]/Ruimtestaat[[#This Row],[Norm (m2/uur) werkdagen]],0)</f>
        <v>1.6536</v>
      </c>
      <c r="X282" s="258">
        <f>Ruimtestaat[[#This Row],[uren / jaar werkdagen]]*Tariefsopbouw!$D$38</f>
        <v>41.339999999999996</v>
      </c>
      <c r="Y282" s="33"/>
      <c r="Z282" s="33">
        <f>IF(Ruimtestaat[[#This Row],[Frequentie weekend]]&gt;0,VALUE(LEFT(Y282,1))*R282,0)</f>
        <v>0</v>
      </c>
      <c r="AA282" s="33">
        <f>IF($Z282&gt;0,VLOOKUP($J282,Ruimtegroepen[],3,FALSE)*VLOOKUP($L282,Vloersoorten[],3,FALSE)*VLOOKUP($Y282,Frequenties[],3,FALSE)*VLOOKUP(#REF!,Locaties[],3,FALSE),0)</f>
        <v>0</v>
      </c>
      <c r="AB282" s="33"/>
      <c r="AC282" s="33"/>
      <c r="AD282" s="33">
        <f>Ruimtestaat[[#This Row],[uren / jaar weekend]]*Tariefsopbouw!$D$40</f>
        <v>0</v>
      </c>
      <c r="AE282" s="88">
        <f>Ruimtestaat[[#This Row],[Prest. (m2 /jaar) weekend]]+Ruimtestaat[[#This Row],[Prest. (m2 /jaar) werkdagen]]</f>
        <v>165.35999999999999</v>
      </c>
      <c r="AF282" s="88">
        <f>Ruimtestaat[[#This Row],[uren / jaar weekend]]+Ruimtestaat[[#This Row],[uren / jaar werkdagen]]</f>
        <v>1.6536</v>
      </c>
      <c r="AG282" s="89">
        <f>Ruimtestaat[[#This Row],[kosten / jaar weekend]]+Ruimtestaat[[#This Row],[kosten / jaar werkdagen]]</f>
        <v>41.339999999999996</v>
      </c>
    </row>
    <row r="283" spans="1:33" ht="15" customHeight="1">
      <c r="A283" s="195">
        <v>3</v>
      </c>
      <c r="B283" s="195" t="str">
        <f>VLOOKUP(Ruimtestaat[[#This Row],[Code]],Locaties[#All],2,FALSE)</f>
        <v>Lichtenvoorde gebouw 1</v>
      </c>
      <c r="C283" s="241" t="str">
        <f>VLOOKUP(Ruimtestaat[[#This Row],[Code]],Locaties[#All],4,FALSE)</f>
        <v>Dr Ariensstraat 1</v>
      </c>
      <c r="D283" s="241" t="str">
        <f>VLOOKUP(Ruimtestaat[[#This Row],[Code]],Locaties[#All],5,FALSE)</f>
        <v>7131 XM </v>
      </c>
      <c r="E283" s="241" t="str">
        <f>VLOOKUP(Ruimtestaat[[#This Row],[Code]],Locaties[#All],6,FALSE)</f>
        <v>Lichtenvoorde</v>
      </c>
      <c r="F283" s="195"/>
      <c r="G283" s="195" t="s">
        <v>768</v>
      </c>
      <c r="H283" s="195" t="s">
        <v>719</v>
      </c>
      <c r="I283" s="242" t="s">
        <v>837</v>
      </c>
      <c r="J283" s="195">
        <v>19</v>
      </c>
      <c r="K283" s="260" t="str">
        <f>VLOOKUP(Ruimtestaat[[#This Row],[Ruimte code]],Ruimtegroepen[#All],2,FALSE)</f>
        <v>Kleedruimten</v>
      </c>
      <c r="L283" s="211" t="s">
        <v>111</v>
      </c>
      <c r="M283" s="195" t="s">
        <v>693</v>
      </c>
      <c r="N283" s="197">
        <v>13.41</v>
      </c>
      <c r="O283" s="209"/>
      <c r="P283" s="241" t="str">
        <f>VLOOKUP(Ruimtestaat[[#This Row],[Ruimte code]],Ruimtegroepen[#All],4,FALSE)</f>
        <v>V  (Verkeersruimte)</v>
      </c>
      <c r="Q283" s="210"/>
      <c r="R283" s="211">
        <v>40</v>
      </c>
      <c r="S283" s="211" t="s">
        <v>16</v>
      </c>
      <c r="T283" s="211">
        <f>IF(R283&gt;0,IF(RIGHT(Ruimtestaat[[#This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U283" s="211">
        <f>IF(T283&gt;0,VLOOKUP($J283,Ruimtegroepen[],3,FALSE)*VLOOKUP($L283,Vloersoorten[],3,FALSE)*VLOOKUP($S283,Frequenties[],3,FALSE)*VLOOKUP($A283,Locaties[],3,FALSE),0)</f>
        <v>100</v>
      </c>
      <c r="V283" s="211">
        <f>Ruimtestaat[[#This Row],[Uitvoeringen werkdagen]]*Ruimtestaat[[#This Row],[Oppervlak (netto)]]</f>
        <v>160.92000000000002</v>
      </c>
      <c r="W283" s="257">
        <f>IF(U283&gt;0,Ruimtestaat[[#This Row],[Prest. (m2 /jaar) werkdagen]]/Ruimtestaat[[#This Row],[Norm (m2/uur) werkdagen]],0)</f>
        <v>1.6092000000000002</v>
      </c>
      <c r="X283" s="258">
        <f>Ruimtestaat[[#This Row],[uren / jaar werkdagen]]*Tariefsopbouw!$D$38</f>
        <v>40.230000000000004</v>
      </c>
      <c r="Y283" s="33"/>
      <c r="Z283" s="33">
        <f>IF(Ruimtestaat[[#This Row],[Frequentie weekend]]&gt;0,VALUE(LEFT(Y283,1))*R283,0)</f>
        <v>0</v>
      </c>
      <c r="AA283" s="33">
        <f>IF($Z283&gt;0,VLOOKUP($J283,Ruimtegroepen[],3,FALSE)*VLOOKUP($L283,Vloersoorten[],3,FALSE)*VLOOKUP($Y283,Frequenties[],3,FALSE)*VLOOKUP(#REF!,Locaties[],3,FALSE),0)</f>
        <v>0</v>
      </c>
      <c r="AB283" s="33"/>
      <c r="AC283" s="33"/>
      <c r="AD283" s="33">
        <f>Ruimtestaat[[#This Row],[uren / jaar weekend]]*Tariefsopbouw!$D$40</f>
        <v>0</v>
      </c>
      <c r="AE283" s="88">
        <f>Ruimtestaat[[#This Row],[Prest. (m2 /jaar) weekend]]+Ruimtestaat[[#This Row],[Prest. (m2 /jaar) werkdagen]]</f>
        <v>160.92000000000002</v>
      </c>
      <c r="AF283" s="88">
        <f>Ruimtestaat[[#This Row],[uren / jaar weekend]]+Ruimtestaat[[#This Row],[uren / jaar werkdagen]]</f>
        <v>1.6092000000000002</v>
      </c>
      <c r="AG283" s="89">
        <f>Ruimtestaat[[#This Row],[kosten / jaar weekend]]+Ruimtestaat[[#This Row],[kosten / jaar werkdagen]]</f>
        <v>40.230000000000004</v>
      </c>
    </row>
    <row r="284" spans="1:33" ht="15" customHeight="1">
      <c r="A284" s="195">
        <v>3</v>
      </c>
      <c r="B284" s="195" t="str">
        <f>VLOOKUP(Ruimtestaat[[#This Row],[Code]],Locaties[#All],2,FALSE)</f>
        <v>Lichtenvoorde gebouw 1</v>
      </c>
      <c r="C284" s="241" t="str">
        <f>VLOOKUP(Ruimtestaat[[#This Row],[Code]],Locaties[#All],4,FALSE)</f>
        <v>Dr Ariensstraat 1</v>
      </c>
      <c r="D284" s="241" t="str">
        <f>VLOOKUP(Ruimtestaat[[#This Row],[Code]],Locaties[#All],5,FALSE)</f>
        <v>7131 XM </v>
      </c>
      <c r="E284" s="241" t="str">
        <f>VLOOKUP(Ruimtestaat[[#This Row],[Code]],Locaties[#All],6,FALSE)</f>
        <v>Lichtenvoorde</v>
      </c>
      <c r="F284" s="195"/>
      <c r="G284" s="195" t="s">
        <v>768</v>
      </c>
      <c r="H284" s="195" t="s">
        <v>720</v>
      </c>
      <c r="I284" s="242" t="s">
        <v>22</v>
      </c>
      <c r="J284" s="241">
        <v>5</v>
      </c>
      <c r="K284" s="260" t="str">
        <f>VLOOKUP(Ruimtestaat[[#This Row],[Ruimte code]],Ruimtegroepen[#All],2,FALSE)</f>
        <v>Sanitair</v>
      </c>
      <c r="L284" s="241" t="s">
        <v>111</v>
      </c>
      <c r="M284" s="195" t="s">
        <v>693</v>
      </c>
      <c r="N284" s="197">
        <v>12.16</v>
      </c>
      <c r="O284" s="209"/>
      <c r="P284" s="241" t="str">
        <f>VLOOKUP(Ruimtestaat[[#This Row],[Ruimte code]],Ruimtegroepen[#All],4,FALSE)</f>
        <v>S  (Sanitair)</v>
      </c>
      <c r="Q284" s="210"/>
      <c r="R284" s="211">
        <v>40</v>
      </c>
      <c r="S284" s="211" t="s">
        <v>2</v>
      </c>
      <c r="T284" s="211">
        <f>IF(R284&gt;0,IF(RIGHT(Ruimtestaat[[#This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284" s="211">
        <f>IF(T284&gt;0,VLOOKUP($J284,Ruimtegroepen[],3,FALSE)*VLOOKUP($L284,Vloersoorten[],3,FALSE)*VLOOKUP($S284,Frequenties[],3,FALSE)*VLOOKUP($A284,Locaties[],3,FALSE),0)</f>
        <v>100</v>
      </c>
      <c r="V284" s="211">
        <f>Ruimtestaat[[#This Row],[Uitvoeringen werkdagen]]*Ruimtestaat[[#This Row],[Oppervlak (netto)]]</f>
        <v>2432</v>
      </c>
      <c r="W284" s="257">
        <f>IF(U284&gt;0,Ruimtestaat[[#This Row],[Prest. (m2 /jaar) werkdagen]]/Ruimtestaat[[#This Row],[Norm (m2/uur) werkdagen]],0)</f>
        <v>24.32</v>
      </c>
      <c r="X284" s="258">
        <f>Ruimtestaat[[#This Row],[uren / jaar werkdagen]]*Tariefsopbouw!$D$38</f>
        <v>608</v>
      </c>
      <c r="Y284" s="33"/>
      <c r="Z284" s="33">
        <f>IF(Ruimtestaat[[#This Row],[Frequentie weekend]]&gt;0,VALUE(LEFT(Y284,1))*R284,0)</f>
        <v>0</v>
      </c>
      <c r="AA284" s="33">
        <f>IF($Z284&gt;0,VLOOKUP($J284,Ruimtegroepen[],3,FALSE)*VLOOKUP($L284,Vloersoorten[],3,FALSE)*VLOOKUP($Y284,Frequenties[],3,FALSE)*VLOOKUP(#REF!,Locaties[],3,FALSE),0)</f>
        <v>0</v>
      </c>
      <c r="AB284" s="33"/>
      <c r="AC284" s="33"/>
      <c r="AD284" s="33">
        <f>Ruimtestaat[[#This Row],[uren / jaar weekend]]*Tariefsopbouw!$D$40</f>
        <v>0</v>
      </c>
      <c r="AE284" s="88">
        <f>Ruimtestaat[[#This Row],[Prest. (m2 /jaar) weekend]]+Ruimtestaat[[#This Row],[Prest. (m2 /jaar) werkdagen]]</f>
        <v>2432</v>
      </c>
      <c r="AF284" s="88">
        <f>Ruimtestaat[[#This Row],[uren / jaar weekend]]+Ruimtestaat[[#This Row],[uren / jaar werkdagen]]</f>
        <v>24.32</v>
      </c>
      <c r="AG284" s="89">
        <f>Ruimtestaat[[#This Row],[kosten / jaar weekend]]+Ruimtestaat[[#This Row],[kosten / jaar werkdagen]]</f>
        <v>608</v>
      </c>
    </row>
    <row r="285" spans="1:33" ht="15" customHeight="1">
      <c r="A285" s="195">
        <v>3</v>
      </c>
      <c r="B285" s="195" t="str">
        <f>VLOOKUP(Ruimtestaat[[#This Row],[Code]],Locaties[#All],2,FALSE)</f>
        <v>Lichtenvoorde gebouw 1</v>
      </c>
      <c r="C285" s="241" t="str">
        <f>VLOOKUP(Ruimtestaat[[#This Row],[Code]],Locaties[#All],4,FALSE)</f>
        <v>Dr Ariensstraat 1</v>
      </c>
      <c r="D285" s="241" t="str">
        <f>VLOOKUP(Ruimtestaat[[#This Row],[Code]],Locaties[#All],5,FALSE)</f>
        <v>7131 XM </v>
      </c>
      <c r="E285" s="241" t="str">
        <f>VLOOKUP(Ruimtestaat[[#This Row],[Code]],Locaties[#All],6,FALSE)</f>
        <v>Lichtenvoorde</v>
      </c>
      <c r="F285" s="195"/>
      <c r="G285" s="195" t="s">
        <v>768</v>
      </c>
      <c r="H285" s="195" t="s">
        <v>721</v>
      </c>
      <c r="I285" s="242" t="s">
        <v>22</v>
      </c>
      <c r="J285" s="195">
        <v>5</v>
      </c>
      <c r="K285" s="260" t="str">
        <f>VLOOKUP(Ruimtestaat[[#This Row],[Ruimte code]],Ruimtegroepen[#All],2,FALSE)</f>
        <v>Sanitair</v>
      </c>
      <c r="L285" s="211" t="s">
        <v>111</v>
      </c>
      <c r="M285" s="195" t="s">
        <v>693</v>
      </c>
      <c r="N285" s="197">
        <v>12.46</v>
      </c>
      <c r="O285" s="209"/>
      <c r="P285" s="241" t="str">
        <f>VLOOKUP(Ruimtestaat[[#This Row],[Ruimte code]],Ruimtegroepen[#All],4,FALSE)</f>
        <v>S  (Sanitair)</v>
      </c>
      <c r="Q285" s="210"/>
      <c r="R285" s="211">
        <v>40</v>
      </c>
      <c r="S285" s="211" t="s">
        <v>2</v>
      </c>
      <c r="T285" s="211">
        <f>IF(R285&gt;0,IF(RIGHT(Ruimtestaat[[#This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285" s="211">
        <f>IF(T285&gt;0,VLOOKUP($J285,Ruimtegroepen[],3,FALSE)*VLOOKUP($L285,Vloersoorten[],3,FALSE)*VLOOKUP($S285,Frequenties[],3,FALSE)*VLOOKUP($A285,Locaties[],3,FALSE),0)</f>
        <v>100</v>
      </c>
      <c r="V285" s="211">
        <f>Ruimtestaat[[#This Row],[Uitvoeringen werkdagen]]*Ruimtestaat[[#This Row],[Oppervlak (netto)]]</f>
        <v>2492</v>
      </c>
      <c r="W285" s="257">
        <f>IF(U285&gt;0,Ruimtestaat[[#This Row],[Prest. (m2 /jaar) werkdagen]]/Ruimtestaat[[#This Row],[Norm (m2/uur) werkdagen]],0)</f>
        <v>24.92</v>
      </c>
      <c r="X285" s="258">
        <f>Ruimtestaat[[#This Row],[uren / jaar werkdagen]]*Tariefsopbouw!$D$38</f>
        <v>623</v>
      </c>
      <c r="Y285" s="33"/>
      <c r="Z285" s="33">
        <f>IF(Ruimtestaat[[#This Row],[Frequentie weekend]]&gt;0,VALUE(LEFT(Y285,1))*R285,0)</f>
        <v>0</v>
      </c>
      <c r="AA285" s="33">
        <f>IF($Z285&gt;0,VLOOKUP($J285,Ruimtegroepen[],3,FALSE)*VLOOKUP($L285,Vloersoorten[],3,FALSE)*VLOOKUP($Y285,Frequenties[],3,FALSE)*VLOOKUP(#REF!,Locaties[],3,FALSE),0)</f>
        <v>0</v>
      </c>
      <c r="AB285" s="33"/>
      <c r="AC285" s="33"/>
      <c r="AD285" s="33">
        <f>Ruimtestaat[[#This Row],[uren / jaar weekend]]*Tariefsopbouw!$D$40</f>
        <v>0</v>
      </c>
      <c r="AE285" s="88">
        <f>Ruimtestaat[[#This Row],[Prest. (m2 /jaar) weekend]]+Ruimtestaat[[#This Row],[Prest. (m2 /jaar) werkdagen]]</f>
        <v>2492</v>
      </c>
      <c r="AF285" s="88">
        <f>Ruimtestaat[[#This Row],[uren / jaar weekend]]+Ruimtestaat[[#This Row],[uren / jaar werkdagen]]</f>
        <v>24.92</v>
      </c>
      <c r="AG285" s="89">
        <f>Ruimtestaat[[#This Row],[kosten / jaar weekend]]+Ruimtestaat[[#This Row],[kosten / jaar werkdagen]]</f>
        <v>623</v>
      </c>
    </row>
    <row r="286" spans="1:33" ht="15" customHeight="1">
      <c r="A286" s="195">
        <v>3</v>
      </c>
      <c r="B286" s="195" t="str">
        <f>VLOOKUP(Ruimtestaat[[#This Row],[Code]],Locaties[#All],2,FALSE)</f>
        <v>Lichtenvoorde gebouw 1</v>
      </c>
      <c r="C286" s="241" t="str">
        <f>VLOOKUP(Ruimtestaat[[#This Row],[Code]],Locaties[#All],4,FALSE)</f>
        <v>Dr Ariensstraat 1</v>
      </c>
      <c r="D286" s="241" t="str">
        <f>VLOOKUP(Ruimtestaat[[#This Row],[Code]],Locaties[#All],5,FALSE)</f>
        <v>7131 XM </v>
      </c>
      <c r="E286" s="241" t="str">
        <f>VLOOKUP(Ruimtestaat[[#This Row],[Code]],Locaties[#All],6,FALSE)</f>
        <v>Lichtenvoorde</v>
      </c>
      <c r="F286" s="195"/>
      <c r="G286" s="195" t="s">
        <v>768</v>
      </c>
      <c r="H286" s="195" t="s">
        <v>722</v>
      </c>
      <c r="I286" s="242" t="s">
        <v>22</v>
      </c>
      <c r="J286" s="195">
        <v>5</v>
      </c>
      <c r="K286" s="260" t="str">
        <f>VLOOKUP(Ruimtestaat[[#This Row],[Ruimte code]],Ruimtegroepen[#All],2,FALSE)</f>
        <v>Sanitair</v>
      </c>
      <c r="L286" s="211" t="s">
        <v>111</v>
      </c>
      <c r="M286" s="195" t="s">
        <v>693</v>
      </c>
      <c r="N286" s="197">
        <v>1.63</v>
      </c>
      <c r="O286" s="209"/>
      <c r="P286" s="241" t="str">
        <f>VLOOKUP(Ruimtestaat[[#This Row],[Ruimte code]],Ruimtegroepen[#All],4,FALSE)</f>
        <v>S  (Sanitair)</v>
      </c>
      <c r="Q286" s="210"/>
      <c r="R286" s="211">
        <v>40</v>
      </c>
      <c r="S286" s="211" t="s">
        <v>2</v>
      </c>
      <c r="T286" s="211">
        <f>IF(R286&gt;0,IF(RIGHT(Ruimtestaat[[#This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286" s="211">
        <f>IF(T286&gt;0,VLOOKUP($J286,Ruimtegroepen[],3,FALSE)*VLOOKUP($L286,Vloersoorten[],3,FALSE)*VLOOKUP($S286,Frequenties[],3,FALSE)*VLOOKUP($A286,Locaties[],3,FALSE),0)</f>
        <v>100</v>
      </c>
      <c r="V286" s="211">
        <f>Ruimtestaat[[#This Row],[Uitvoeringen werkdagen]]*Ruimtestaat[[#This Row],[Oppervlak (netto)]]</f>
        <v>326</v>
      </c>
      <c r="W286" s="257">
        <f>IF(U286&gt;0,Ruimtestaat[[#This Row],[Prest. (m2 /jaar) werkdagen]]/Ruimtestaat[[#This Row],[Norm (m2/uur) werkdagen]],0)</f>
        <v>3.26</v>
      </c>
      <c r="X286" s="258">
        <f>Ruimtestaat[[#This Row],[uren / jaar werkdagen]]*Tariefsopbouw!$D$38</f>
        <v>81.5</v>
      </c>
      <c r="Y286" s="33"/>
      <c r="Z286" s="33">
        <f>IF(Ruimtestaat[[#This Row],[Frequentie weekend]]&gt;0,VALUE(LEFT(Y286,1))*R286,0)</f>
        <v>0</v>
      </c>
      <c r="AA286" s="33">
        <f>IF($Z286&gt;0,VLOOKUP($J286,Ruimtegroepen[],3,FALSE)*VLOOKUP($L286,Vloersoorten[],3,FALSE)*VLOOKUP($Y286,Frequenties[],3,FALSE)*VLOOKUP(#REF!,Locaties[],3,FALSE),0)</f>
        <v>0</v>
      </c>
      <c r="AB286" s="33"/>
      <c r="AC286" s="33"/>
      <c r="AD286" s="33">
        <f>Ruimtestaat[[#This Row],[uren / jaar weekend]]*Tariefsopbouw!$D$40</f>
        <v>0</v>
      </c>
      <c r="AE286" s="88">
        <f>Ruimtestaat[[#This Row],[Prest. (m2 /jaar) weekend]]+Ruimtestaat[[#This Row],[Prest. (m2 /jaar) werkdagen]]</f>
        <v>326</v>
      </c>
      <c r="AF286" s="88">
        <f>Ruimtestaat[[#This Row],[uren / jaar weekend]]+Ruimtestaat[[#This Row],[uren / jaar werkdagen]]</f>
        <v>3.26</v>
      </c>
      <c r="AG286" s="89">
        <f>Ruimtestaat[[#This Row],[kosten / jaar weekend]]+Ruimtestaat[[#This Row],[kosten / jaar werkdagen]]</f>
        <v>81.5</v>
      </c>
    </row>
    <row r="287" spans="1:33" ht="15" customHeight="1">
      <c r="A287" s="195">
        <v>3</v>
      </c>
      <c r="B287" s="195" t="str">
        <f>VLOOKUP(Ruimtestaat[[#This Row],[Code]],Locaties[#All],2,FALSE)</f>
        <v>Lichtenvoorde gebouw 1</v>
      </c>
      <c r="C287" s="241" t="str">
        <f>VLOOKUP(Ruimtestaat[[#This Row],[Code]],Locaties[#All],4,FALSE)</f>
        <v>Dr Ariensstraat 1</v>
      </c>
      <c r="D287" s="241" t="str">
        <f>VLOOKUP(Ruimtestaat[[#This Row],[Code]],Locaties[#All],5,FALSE)</f>
        <v>7131 XM </v>
      </c>
      <c r="E287" s="241" t="str">
        <f>VLOOKUP(Ruimtestaat[[#This Row],[Code]],Locaties[#All],6,FALSE)</f>
        <v>Lichtenvoorde</v>
      </c>
      <c r="F287" s="195"/>
      <c r="G287" s="195" t="s">
        <v>768</v>
      </c>
      <c r="H287" s="195" t="s">
        <v>723</v>
      </c>
      <c r="I287" s="242" t="s">
        <v>22</v>
      </c>
      <c r="J287" s="195">
        <v>5</v>
      </c>
      <c r="K287" s="260" t="str">
        <f>VLOOKUP(Ruimtestaat[[#This Row],[Ruimte code]],Ruimtegroepen[#All],2,FALSE)</f>
        <v>Sanitair</v>
      </c>
      <c r="L287" s="241" t="s">
        <v>111</v>
      </c>
      <c r="M287" s="195" t="s">
        <v>693</v>
      </c>
      <c r="N287" s="197">
        <v>1.62</v>
      </c>
      <c r="O287" s="209"/>
      <c r="P287" s="241" t="str">
        <f>VLOOKUP(Ruimtestaat[[#This Row],[Ruimte code]],Ruimtegroepen[#All],4,FALSE)</f>
        <v>S  (Sanitair)</v>
      </c>
      <c r="Q287" s="210"/>
      <c r="R287" s="211">
        <v>40</v>
      </c>
      <c r="S287" s="211" t="s">
        <v>2</v>
      </c>
      <c r="T287" s="211">
        <f>IF(R287&gt;0,IF(RIGHT(Ruimtestaat[[#This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287" s="211">
        <f>IF(T287&gt;0,VLOOKUP($J287,Ruimtegroepen[],3,FALSE)*VLOOKUP($L287,Vloersoorten[],3,FALSE)*VLOOKUP($S287,Frequenties[],3,FALSE)*VLOOKUP($A287,Locaties[],3,FALSE),0)</f>
        <v>100</v>
      </c>
      <c r="V287" s="211">
        <f>Ruimtestaat[[#This Row],[Uitvoeringen werkdagen]]*Ruimtestaat[[#This Row],[Oppervlak (netto)]]</f>
        <v>324</v>
      </c>
      <c r="W287" s="257">
        <f>IF(U287&gt;0,Ruimtestaat[[#This Row],[Prest. (m2 /jaar) werkdagen]]/Ruimtestaat[[#This Row],[Norm (m2/uur) werkdagen]],0)</f>
        <v>3.24</v>
      </c>
      <c r="X287" s="258">
        <f>Ruimtestaat[[#This Row],[uren / jaar werkdagen]]*Tariefsopbouw!$D$38</f>
        <v>81</v>
      </c>
      <c r="Y287" s="33"/>
      <c r="Z287" s="33">
        <f>IF(Ruimtestaat[[#This Row],[Frequentie weekend]]&gt;0,VALUE(LEFT(Y287,1))*R287,0)</f>
        <v>0</v>
      </c>
      <c r="AA287" s="33">
        <f>IF($Z287&gt;0,VLOOKUP($J287,Ruimtegroepen[],3,FALSE)*VLOOKUP($L287,Vloersoorten[],3,FALSE)*VLOOKUP($Y287,Frequenties[],3,FALSE)*VLOOKUP(#REF!,Locaties[],3,FALSE),0)</f>
        <v>0</v>
      </c>
      <c r="AB287" s="33"/>
      <c r="AC287" s="33"/>
      <c r="AD287" s="33">
        <f>Ruimtestaat[[#This Row],[uren / jaar weekend]]*Tariefsopbouw!$D$40</f>
        <v>0</v>
      </c>
      <c r="AE287" s="88">
        <f>Ruimtestaat[[#This Row],[Prest. (m2 /jaar) weekend]]+Ruimtestaat[[#This Row],[Prest. (m2 /jaar) werkdagen]]</f>
        <v>324</v>
      </c>
      <c r="AF287" s="88">
        <f>Ruimtestaat[[#This Row],[uren / jaar weekend]]+Ruimtestaat[[#This Row],[uren / jaar werkdagen]]</f>
        <v>3.24</v>
      </c>
      <c r="AG287" s="89">
        <f>Ruimtestaat[[#This Row],[kosten / jaar weekend]]+Ruimtestaat[[#This Row],[kosten / jaar werkdagen]]</f>
        <v>81</v>
      </c>
    </row>
    <row r="288" spans="1:33" ht="15" customHeight="1">
      <c r="A288" s="195">
        <v>3</v>
      </c>
      <c r="B288" s="195" t="str">
        <f>VLOOKUP(Ruimtestaat[[#This Row],[Code]],Locaties[#All],2,FALSE)</f>
        <v>Lichtenvoorde gebouw 1</v>
      </c>
      <c r="C288" s="241" t="str">
        <f>VLOOKUP(Ruimtestaat[[#This Row],[Code]],Locaties[#All],4,FALSE)</f>
        <v>Dr Ariensstraat 1</v>
      </c>
      <c r="D288" s="241" t="str">
        <f>VLOOKUP(Ruimtestaat[[#This Row],[Code]],Locaties[#All],5,FALSE)</f>
        <v>7131 XM </v>
      </c>
      <c r="E288" s="241" t="str">
        <f>VLOOKUP(Ruimtestaat[[#This Row],[Code]],Locaties[#All],6,FALSE)</f>
        <v>Lichtenvoorde</v>
      </c>
      <c r="F288" s="195"/>
      <c r="G288" s="195" t="s">
        <v>768</v>
      </c>
      <c r="H288" s="195" t="s">
        <v>724</v>
      </c>
      <c r="I288" s="242" t="s">
        <v>827</v>
      </c>
      <c r="J288" s="195">
        <v>20</v>
      </c>
      <c r="K288" s="260" t="str">
        <f>VLOOKUP(Ruimtestaat[[#This Row],[Ruimte code]],Ruimtegroepen[#All],2,FALSE)</f>
        <v>Beroepspraktijklokalen</v>
      </c>
      <c r="L288" s="211" t="s">
        <v>110</v>
      </c>
      <c r="M288" s="195" t="s">
        <v>133</v>
      </c>
      <c r="N288" s="197">
        <v>79.62</v>
      </c>
      <c r="O288" s="209"/>
      <c r="P288" s="241" t="str">
        <f>VLOOKUP(Ruimtestaat[[#This Row],[Ruimte code]],Ruimtegroepen[#All],4,FALSE)</f>
        <v>L  (Lesruimte)</v>
      </c>
      <c r="Q288" s="210"/>
      <c r="R288" s="211">
        <v>40</v>
      </c>
      <c r="S288" s="211" t="s">
        <v>15</v>
      </c>
      <c r="T288" s="211">
        <f>IF(R288&gt;0,IF(RIGHT(Ruimtestaat[[#This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U288" s="211">
        <f>IF(T288&gt;0,VLOOKUP($J288,Ruimtegroepen[],3,FALSE)*VLOOKUP($L288,Vloersoorten[],3,FALSE)*VLOOKUP($S288,Frequenties[],3,FALSE)*VLOOKUP($A288,Locaties[],3,FALSE),0)</f>
        <v>100</v>
      </c>
      <c r="V288" s="211">
        <f>Ruimtestaat[[#This Row],[Uitvoeringen werkdagen]]*Ruimtestaat[[#This Row],[Oppervlak (netto)]]</f>
        <v>3184.8</v>
      </c>
      <c r="W288" s="257">
        <f>IF(U288&gt;0,Ruimtestaat[[#This Row],[Prest. (m2 /jaar) werkdagen]]/Ruimtestaat[[#This Row],[Norm (m2/uur) werkdagen]],0)</f>
        <v>31.848000000000003</v>
      </c>
      <c r="X288" s="258">
        <f>Ruimtestaat[[#This Row],[uren / jaar werkdagen]]*Tariefsopbouw!$D$38</f>
        <v>796.2</v>
      </c>
      <c r="Y288" s="33"/>
      <c r="Z288" s="33">
        <f>IF(Ruimtestaat[[#This Row],[Frequentie weekend]]&gt;0,VALUE(LEFT(Y288,1))*R288,0)</f>
        <v>0</v>
      </c>
      <c r="AA288" s="33">
        <f>IF($Z288&gt;0,VLOOKUP($J288,Ruimtegroepen[],3,FALSE)*VLOOKUP($L288,Vloersoorten[],3,FALSE)*VLOOKUP($Y288,Frequenties[],3,FALSE)*VLOOKUP(#REF!,Locaties[],3,FALSE),0)</f>
        <v>0</v>
      </c>
      <c r="AB288" s="33"/>
      <c r="AC288" s="33"/>
      <c r="AD288" s="33">
        <f>Ruimtestaat[[#This Row],[uren / jaar weekend]]*Tariefsopbouw!$D$40</f>
        <v>0</v>
      </c>
      <c r="AE288" s="88">
        <f>Ruimtestaat[[#This Row],[Prest. (m2 /jaar) weekend]]+Ruimtestaat[[#This Row],[Prest. (m2 /jaar) werkdagen]]</f>
        <v>3184.8</v>
      </c>
      <c r="AF288" s="88">
        <f>Ruimtestaat[[#This Row],[uren / jaar weekend]]+Ruimtestaat[[#This Row],[uren / jaar werkdagen]]</f>
        <v>31.848000000000003</v>
      </c>
      <c r="AG288" s="89">
        <f>Ruimtestaat[[#This Row],[kosten / jaar weekend]]+Ruimtestaat[[#This Row],[kosten / jaar werkdagen]]</f>
        <v>796.2</v>
      </c>
    </row>
    <row r="289" spans="1:33" ht="15" customHeight="1">
      <c r="A289" s="195">
        <v>3</v>
      </c>
      <c r="B289" s="195" t="str">
        <f>VLOOKUP(Ruimtestaat[[#This Row],[Code]],Locaties[#All],2,FALSE)</f>
        <v>Lichtenvoorde gebouw 1</v>
      </c>
      <c r="C289" s="241" t="str">
        <f>VLOOKUP(Ruimtestaat[[#This Row],[Code]],Locaties[#All],4,FALSE)</f>
        <v>Dr Ariensstraat 1</v>
      </c>
      <c r="D289" s="241" t="str">
        <f>VLOOKUP(Ruimtestaat[[#This Row],[Code]],Locaties[#All],5,FALSE)</f>
        <v>7131 XM </v>
      </c>
      <c r="E289" s="241" t="str">
        <f>VLOOKUP(Ruimtestaat[[#This Row],[Code]],Locaties[#All],6,FALSE)</f>
        <v>Lichtenvoorde</v>
      </c>
      <c r="F289" s="195"/>
      <c r="G289" s="195" t="s">
        <v>768</v>
      </c>
      <c r="H289" s="195" t="s">
        <v>725</v>
      </c>
      <c r="I289" s="242" t="s">
        <v>441</v>
      </c>
      <c r="J289" s="195">
        <v>1</v>
      </c>
      <c r="K289" s="260" t="str">
        <f>VLOOKUP(Ruimtestaat[[#This Row],[Ruimte code]],Ruimtegroepen[#All],2,FALSE)</f>
        <v>Magazijnen/bergingen</v>
      </c>
      <c r="L289" s="211" t="s">
        <v>110</v>
      </c>
      <c r="M289" s="195" t="s">
        <v>133</v>
      </c>
      <c r="N289" s="197">
        <v>3.62</v>
      </c>
      <c r="O289" s="209"/>
      <c r="P289" s="241" t="str">
        <f>VLOOKUP(Ruimtestaat[[#This Row],[Ruimte code]],Ruimtegroepen[#All],4,FALSE)</f>
        <v>V  (Verkeersruimte)</v>
      </c>
      <c r="Q289" s="210"/>
      <c r="R289" s="211">
        <v>40</v>
      </c>
      <c r="S289" s="211" t="s">
        <v>16</v>
      </c>
      <c r="T289" s="211">
        <f>IF(R289&gt;0,IF(RIGHT(Ruimtestaat[[#This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U289" s="211">
        <f>IF(T289&gt;0,VLOOKUP($J289,Ruimtegroepen[],3,FALSE)*VLOOKUP($L289,Vloersoorten[],3,FALSE)*VLOOKUP($S289,Frequenties[],3,FALSE)*VLOOKUP($A289,Locaties[],3,FALSE),0)</f>
        <v>100</v>
      </c>
      <c r="V289" s="211">
        <f>Ruimtestaat[[#This Row],[Uitvoeringen werkdagen]]*Ruimtestaat[[#This Row],[Oppervlak (netto)]]</f>
        <v>43.44</v>
      </c>
      <c r="W289" s="257">
        <f>IF(U289&gt;0,Ruimtestaat[[#This Row],[Prest. (m2 /jaar) werkdagen]]/Ruimtestaat[[#This Row],[Norm (m2/uur) werkdagen]],0)</f>
        <v>0.43439999999999995</v>
      </c>
      <c r="X289" s="258">
        <f>Ruimtestaat[[#This Row],[uren / jaar werkdagen]]*Tariefsopbouw!$D$38</f>
        <v>10.86</v>
      </c>
      <c r="Y289" s="33"/>
      <c r="Z289" s="33">
        <f>IF(Ruimtestaat[[#This Row],[Frequentie weekend]]&gt;0,VALUE(LEFT(Y289,1))*R289,0)</f>
        <v>0</v>
      </c>
      <c r="AA289" s="33">
        <f>IF($Z289&gt;0,VLOOKUP($J289,Ruimtegroepen[],3,FALSE)*VLOOKUP($L289,Vloersoorten[],3,FALSE)*VLOOKUP($Y289,Frequenties[],3,FALSE)*VLOOKUP(#REF!,Locaties[],3,FALSE),0)</f>
        <v>0</v>
      </c>
      <c r="AB289" s="33"/>
      <c r="AC289" s="33"/>
      <c r="AD289" s="33">
        <f>Ruimtestaat[[#This Row],[uren / jaar weekend]]*Tariefsopbouw!$D$40</f>
        <v>0</v>
      </c>
      <c r="AE289" s="88">
        <f>Ruimtestaat[[#This Row],[Prest. (m2 /jaar) weekend]]+Ruimtestaat[[#This Row],[Prest. (m2 /jaar) werkdagen]]</f>
        <v>43.44</v>
      </c>
      <c r="AF289" s="88">
        <f>Ruimtestaat[[#This Row],[uren / jaar weekend]]+Ruimtestaat[[#This Row],[uren / jaar werkdagen]]</f>
        <v>0.43439999999999995</v>
      </c>
      <c r="AG289" s="89">
        <f>Ruimtestaat[[#This Row],[kosten / jaar weekend]]+Ruimtestaat[[#This Row],[kosten / jaar werkdagen]]</f>
        <v>10.86</v>
      </c>
    </row>
    <row r="290" spans="1:33" ht="15" customHeight="1">
      <c r="A290" s="195">
        <v>3</v>
      </c>
      <c r="B290" s="195" t="str">
        <f>VLOOKUP(Ruimtestaat[[#This Row],[Code]],Locaties[#All],2,FALSE)</f>
        <v>Lichtenvoorde gebouw 1</v>
      </c>
      <c r="C290" s="241" t="str">
        <f>VLOOKUP(Ruimtestaat[[#This Row],[Code]],Locaties[#All],4,FALSE)</f>
        <v>Dr Ariensstraat 1</v>
      </c>
      <c r="D290" s="241" t="str">
        <f>VLOOKUP(Ruimtestaat[[#This Row],[Code]],Locaties[#All],5,FALSE)</f>
        <v>7131 XM </v>
      </c>
      <c r="E290" s="241" t="str">
        <f>VLOOKUP(Ruimtestaat[[#This Row],[Code]],Locaties[#All],6,FALSE)</f>
        <v>Lichtenvoorde</v>
      </c>
      <c r="F290" s="195"/>
      <c r="G290" s="195" t="s">
        <v>768</v>
      </c>
      <c r="H290" s="195" t="s">
        <v>726</v>
      </c>
      <c r="I290" s="242" t="s">
        <v>827</v>
      </c>
      <c r="J290" s="195">
        <v>20</v>
      </c>
      <c r="K290" s="260" t="str">
        <f>VLOOKUP(Ruimtestaat[[#This Row],[Ruimte code]],Ruimtegroepen[#All],2,FALSE)</f>
        <v>Beroepspraktijklokalen</v>
      </c>
      <c r="L290" s="211" t="s">
        <v>110</v>
      </c>
      <c r="M290" s="195" t="s">
        <v>133</v>
      </c>
      <c r="N290" s="197">
        <v>55.45</v>
      </c>
      <c r="O290" s="209"/>
      <c r="P290" s="241" t="str">
        <f>VLOOKUP(Ruimtestaat[[#This Row],[Ruimte code]],Ruimtegroepen[#All],4,FALSE)</f>
        <v>L  (Lesruimte)</v>
      </c>
      <c r="Q290" s="210"/>
      <c r="R290" s="211">
        <v>40</v>
      </c>
      <c r="S290" s="211" t="s">
        <v>2</v>
      </c>
      <c r="T290" s="211">
        <f>IF(R290&gt;0,IF(RIGHT(Ruimtestaat[[#This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290" s="211">
        <f>IF(T290&gt;0,VLOOKUP($J290,Ruimtegroepen[],3,FALSE)*VLOOKUP($L290,Vloersoorten[],3,FALSE)*VLOOKUP($S290,Frequenties[],3,FALSE)*VLOOKUP($A290,Locaties[],3,FALSE),0)</f>
        <v>100</v>
      </c>
      <c r="V290" s="211">
        <f>Ruimtestaat[[#This Row],[Uitvoeringen werkdagen]]*Ruimtestaat[[#This Row],[Oppervlak (netto)]]</f>
        <v>11090</v>
      </c>
      <c r="W290" s="257">
        <f>IF(U290&gt;0,Ruimtestaat[[#This Row],[Prest. (m2 /jaar) werkdagen]]/Ruimtestaat[[#This Row],[Norm (m2/uur) werkdagen]],0)</f>
        <v>110.9</v>
      </c>
      <c r="X290" s="258">
        <f>Ruimtestaat[[#This Row],[uren / jaar werkdagen]]*Tariefsopbouw!$D$38</f>
        <v>2772.5</v>
      </c>
      <c r="Y290" s="33"/>
      <c r="Z290" s="33">
        <f>IF(Ruimtestaat[[#This Row],[Frequentie weekend]]&gt;0,VALUE(LEFT(Y290,1))*R290,0)</f>
        <v>0</v>
      </c>
      <c r="AA290" s="33">
        <f>IF($Z290&gt;0,VLOOKUP($J290,Ruimtegroepen[],3,FALSE)*VLOOKUP($L290,Vloersoorten[],3,FALSE)*VLOOKUP($Y290,Frequenties[],3,FALSE)*VLOOKUP(#REF!,Locaties[],3,FALSE),0)</f>
        <v>0</v>
      </c>
      <c r="AB290" s="33"/>
      <c r="AC290" s="33"/>
      <c r="AD290" s="33">
        <f>Ruimtestaat[[#This Row],[uren / jaar weekend]]*Tariefsopbouw!$D$40</f>
        <v>0</v>
      </c>
      <c r="AE290" s="88">
        <f>Ruimtestaat[[#This Row],[Prest. (m2 /jaar) weekend]]+Ruimtestaat[[#This Row],[Prest. (m2 /jaar) werkdagen]]</f>
        <v>11090</v>
      </c>
      <c r="AF290" s="88">
        <f>Ruimtestaat[[#This Row],[uren / jaar weekend]]+Ruimtestaat[[#This Row],[uren / jaar werkdagen]]</f>
        <v>110.9</v>
      </c>
      <c r="AG290" s="89">
        <f>Ruimtestaat[[#This Row],[kosten / jaar weekend]]+Ruimtestaat[[#This Row],[kosten / jaar werkdagen]]</f>
        <v>2772.5</v>
      </c>
    </row>
    <row r="291" spans="1:33" ht="15" customHeight="1">
      <c r="A291" s="195">
        <v>3</v>
      </c>
      <c r="B291" s="195" t="str">
        <f>VLOOKUP(Ruimtestaat[[#This Row],[Code]],Locaties[#All],2,FALSE)</f>
        <v>Lichtenvoorde gebouw 1</v>
      </c>
      <c r="C291" s="241" t="str">
        <f>VLOOKUP(Ruimtestaat[[#This Row],[Code]],Locaties[#All],4,FALSE)</f>
        <v>Dr Ariensstraat 1</v>
      </c>
      <c r="D291" s="241" t="str">
        <f>VLOOKUP(Ruimtestaat[[#This Row],[Code]],Locaties[#All],5,FALSE)</f>
        <v>7131 XM </v>
      </c>
      <c r="E291" s="241" t="str">
        <f>VLOOKUP(Ruimtestaat[[#This Row],[Code]],Locaties[#All],6,FALSE)</f>
        <v>Lichtenvoorde</v>
      </c>
      <c r="F291" s="195"/>
      <c r="G291" s="195" t="s">
        <v>768</v>
      </c>
      <c r="H291" s="195" t="s">
        <v>727</v>
      </c>
      <c r="I291" s="242" t="s">
        <v>838</v>
      </c>
      <c r="J291" s="195">
        <v>5</v>
      </c>
      <c r="K291" s="260" t="str">
        <f>VLOOKUP(Ruimtestaat[[#This Row],[Ruimte code]],Ruimtegroepen[#All],2,FALSE)</f>
        <v>Sanitair</v>
      </c>
      <c r="L291" s="211" t="s">
        <v>111</v>
      </c>
      <c r="M291" s="195" t="s">
        <v>693</v>
      </c>
      <c r="N291" s="197">
        <v>5.04</v>
      </c>
      <c r="O291" s="209"/>
      <c r="P291" s="241" t="str">
        <f>VLOOKUP(Ruimtestaat[[#This Row],[Ruimte code]],Ruimtegroepen[#All],4,FALSE)</f>
        <v>S  (Sanitair)</v>
      </c>
      <c r="Q291" s="210"/>
      <c r="R291" s="211">
        <v>40</v>
      </c>
      <c r="S291" s="211" t="s">
        <v>2</v>
      </c>
      <c r="T291" s="211">
        <f>IF(R291&gt;0,IF(RIGHT(Ruimtestaat[[#This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291" s="211">
        <f>IF(T291&gt;0,VLOOKUP($J291,Ruimtegroepen[],3,FALSE)*VLOOKUP($L291,Vloersoorten[],3,FALSE)*VLOOKUP($S291,Frequenties[],3,FALSE)*VLOOKUP($A291,Locaties[],3,FALSE),0)</f>
        <v>100</v>
      </c>
      <c r="V291" s="211">
        <f>Ruimtestaat[[#This Row],[Uitvoeringen werkdagen]]*Ruimtestaat[[#This Row],[Oppervlak (netto)]]</f>
        <v>1008</v>
      </c>
      <c r="W291" s="257">
        <f>IF(U291&gt;0,Ruimtestaat[[#This Row],[Prest. (m2 /jaar) werkdagen]]/Ruimtestaat[[#This Row],[Norm (m2/uur) werkdagen]],0)</f>
        <v>10.08</v>
      </c>
      <c r="X291" s="258">
        <f>Ruimtestaat[[#This Row],[uren / jaar werkdagen]]*Tariefsopbouw!$D$38</f>
        <v>252</v>
      </c>
      <c r="Y291" s="33"/>
      <c r="Z291" s="33">
        <f>IF(Ruimtestaat[[#This Row],[Frequentie weekend]]&gt;0,VALUE(LEFT(Y291,1))*R291,0)</f>
        <v>0</v>
      </c>
      <c r="AA291" s="33">
        <f>IF($Z291&gt;0,VLOOKUP($J291,Ruimtegroepen[],3,FALSE)*VLOOKUP($L291,Vloersoorten[],3,FALSE)*VLOOKUP($Y291,Frequenties[],3,FALSE)*VLOOKUP(#REF!,Locaties[],3,FALSE),0)</f>
        <v>0</v>
      </c>
      <c r="AB291" s="33"/>
      <c r="AC291" s="33"/>
      <c r="AD291" s="33">
        <f>Ruimtestaat[[#This Row],[uren / jaar weekend]]*Tariefsopbouw!$D$40</f>
        <v>0</v>
      </c>
      <c r="AE291" s="88">
        <f>Ruimtestaat[[#This Row],[Prest. (m2 /jaar) weekend]]+Ruimtestaat[[#This Row],[Prest. (m2 /jaar) werkdagen]]</f>
        <v>1008</v>
      </c>
      <c r="AF291" s="88">
        <f>Ruimtestaat[[#This Row],[uren / jaar weekend]]+Ruimtestaat[[#This Row],[uren / jaar werkdagen]]</f>
        <v>10.08</v>
      </c>
      <c r="AG291" s="89">
        <f>Ruimtestaat[[#This Row],[kosten / jaar weekend]]+Ruimtestaat[[#This Row],[kosten / jaar werkdagen]]</f>
        <v>252</v>
      </c>
    </row>
    <row r="292" spans="1:33" ht="15" customHeight="1">
      <c r="A292" s="195">
        <v>3</v>
      </c>
      <c r="B292" s="195" t="str">
        <f>VLOOKUP(Ruimtestaat[[#This Row],[Code]],Locaties[#All],2,FALSE)</f>
        <v>Lichtenvoorde gebouw 1</v>
      </c>
      <c r="C292" s="241" t="str">
        <f>VLOOKUP(Ruimtestaat[[#This Row],[Code]],Locaties[#All],4,FALSE)</f>
        <v>Dr Ariensstraat 1</v>
      </c>
      <c r="D292" s="241" t="str">
        <f>VLOOKUP(Ruimtestaat[[#This Row],[Code]],Locaties[#All],5,FALSE)</f>
        <v>7131 XM </v>
      </c>
      <c r="E292" s="241" t="str">
        <f>VLOOKUP(Ruimtestaat[[#This Row],[Code]],Locaties[#All],6,FALSE)</f>
        <v>Lichtenvoorde</v>
      </c>
      <c r="F292" s="195"/>
      <c r="G292" s="195" t="s">
        <v>768</v>
      </c>
      <c r="H292" s="195" t="s">
        <v>728</v>
      </c>
      <c r="I292" s="242" t="s">
        <v>382</v>
      </c>
      <c r="J292" s="195">
        <v>6</v>
      </c>
      <c r="K292" s="260" t="str">
        <f>VLOOKUP(Ruimtestaat[[#This Row],[Ruimte code]],Ruimtegroepen[#All],2,FALSE)</f>
        <v>Gangen/hallen</v>
      </c>
      <c r="L292" s="195" t="s">
        <v>110</v>
      </c>
      <c r="M292" s="195" t="s">
        <v>133</v>
      </c>
      <c r="N292" s="197">
        <v>31.7</v>
      </c>
      <c r="O292" s="209"/>
      <c r="P292" s="241" t="str">
        <f>VLOOKUP(Ruimtestaat[[#This Row],[Ruimte code]],Ruimtegroepen[#All],4,FALSE)</f>
        <v>V  (Verkeersruimte)</v>
      </c>
      <c r="Q292" s="210"/>
      <c r="R292" s="211">
        <v>40</v>
      </c>
      <c r="S292" s="211" t="s">
        <v>2</v>
      </c>
      <c r="T292" s="211">
        <f>IF(R292&gt;0,IF(RIGHT(Ruimtestaat[[#This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292" s="211">
        <f>IF(T292&gt;0,VLOOKUP($J292,Ruimtegroepen[],3,FALSE)*VLOOKUP($L292,Vloersoorten[],3,FALSE)*VLOOKUP($S292,Frequenties[],3,FALSE)*VLOOKUP($A292,Locaties[],3,FALSE),0)</f>
        <v>100</v>
      </c>
      <c r="V292" s="211">
        <f>Ruimtestaat[[#This Row],[Uitvoeringen werkdagen]]*Ruimtestaat[[#This Row],[Oppervlak (netto)]]</f>
        <v>6340</v>
      </c>
      <c r="W292" s="257">
        <f>IF(U292&gt;0,Ruimtestaat[[#This Row],[Prest. (m2 /jaar) werkdagen]]/Ruimtestaat[[#This Row],[Norm (m2/uur) werkdagen]],0)</f>
        <v>63.4</v>
      </c>
      <c r="X292" s="258">
        <f>Ruimtestaat[[#This Row],[uren / jaar werkdagen]]*Tariefsopbouw!$D$38</f>
        <v>1585</v>
      </c>
      <c r="Y292" s="33"/>
      <c r="Z292" s="33">
        <f>IF(Ruimtestaat[[#This Row],[Frequentie weekend]]&gt;0,VALUE(LEFT(Y292,1))*R292,0)</f>
        <v>0</v>
      </c>
      <c r="AA292" s="33">
        <f>IF($Z292&gt;0,VLOOKUP($J292,Ruimtegroepen[],3,FALSE)*VLOOKUP($L292,Vloersoorten[],3,FALSE)*VLOOKUP($Y292,Frequenties[],3,FALSE)*VLOOKUP(#REF!,Locaties[],3,FALSE),0)</f>
        <v>0</v>
      </c>
      <c r="AB292" s="33"/>
      <c r="AC292" s="33"/>
      <c r="AD292" s="33">
        <f>Ruimtestaat[[#This Row],[uren / jaar weekend]]*Tariefsopbouw!$D$40</f>
        <v>0</v>
      </c>
      <c r="AE292" s="88">
        <f>Ruimtestaat[[#This Row],[Prest. (m2 /jaar) weekend]]+Ruimtestaat[[#This Row],[Prest. (m2 /jaar) werkdagen]]</f>
        <v>6340</v>
      </c>
      <c r="AF292" s="88">
        <f>Ruimtestaat[[#This Row],[uren / jaar weekend]]+Ruimtestaat[[#This Row],[uren / jaar werkdagen]]</f>
        <v>63.4</v>
      </c>
      <c r="AG292" s="89">
        <f>Ruimtestaat[[#This Row],[kosten / jaar weekend]]+Ruimtestaat[[#This Row],[kosten / jaar werkdagen]]</f>
        <v>1585</v>
      </c>
    </row>
    <row r="293" spans="1:33" ht="15" customHeight="1">
      <c r="A293" s="195">
        <v>3</v>
      </c>
      <c r="B293" s="195" t="str">
        <f>VLOOKUP(Ruimtestaat[[#This Row],[Code]],Locaties[#All],2,FALSE)</f>
        <v>Lichtenvoorde gebouw 1</v>
      </c>
      <c r="C293" s="241" t="str">
        <f>VLOOKUP(Ruimtestaat[[#This Row],[Code]],Locaties[#All],4,FALSE)</f>
        <v>Dr Ariensstraat 1</v>
      </c>
      <c r="D293" s="241" t="str">
        <f>VLOOKUP(Ruimtestaat[[#This Row],[Code]],Locaties[#All],5,FALSE)</f>
        <v>7131 XM </v>
      </c>
      <c r="E293" s="241" t="str">
        <f>VLOOKUP(Ruimtestaat[[#This Row],[Code]],Locaties[#All],6,FALSE)</f>
        <v>Lichtenvoorde</v>
      </c>
      <c r="F293" s="195"/>
      <c r="G293" s="195" t="s">
        <v>768</v>
      </c>
      <c r="H293" s="195" t="s">
        <v>729</v>
      </c>
      <c r="I293" s="242" t="s">
        <v>827</v>
      </c>
      <c r="J293" s="195">
        <v>20</v>
      </c>
      <c r="K293" s="260" t="str">
        <f>VLOOKUP(Ruimtestaat[[#This Row],[Ruimte code]],Ruimtegroepen[#All],2,FALSE)</f>
        <v>Beroepspraktijklokalen</v>
      </c>
      <c r="L293" s="195" t="s">
        <v>109</v>
      </c>
      <c r="M293" s="195" t="s">
        <v>38</v>
      </c>
      <c r="N293" s="197">
        <v>23.39</v>
      </c>
      <c r="O293" s="209"/>
      <c r="P293" s="241" t="str">
        <f>VLOOKUP(Ruimtestaat[[#This Row],[Ruimte code]],Ruimtegroepen[#All],4,FALSE)</f>
        <v>L  (Lesruimte)</v>
      </c>
      <c r="Q293" s="210"/>
      <c r="R293" s="211">
        <v>40</v>
      </c>
      <c r="S293" s="211" t="s">
        <v>2</v>
      </c>
      <c r="T293" s="211">
        <f>IF(R293&gt;0,IF(RIGHT(Ruimtestaat[[#This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293" s="211">
        <f>IF(T293&gt;0,VLOOKUP($J293,Ruimtegroepen[],3,FALSE)*VLOOKUP($L293,Vloersoorten[],3,FALSE)*VLOOKUP($S293,Frequenties[],3,FALSE)*VLOOKUP($A293,Locaties[],3,FALSE),0)</f>
        <v>100</v>
      </c>
      <c r="V293" s="211">
        <f>Ruimtestaat[[#This Row],[Uitvoeringen werkdagen]]*Ruimtestaat[[#This Row],[Oppervlak (netto)]]</f>
        <v>4678</v>
      </c>
      <c r="W293" s="257">
        <f>IF(U293&gt;0,Ruimtestaat[[#This Row],[Prest. (m2 /jaar) werkdagen]]/Ruimtestaat[[#This Row],[Norm (m2/uur) werkdagen]],0)</f>
        <v>46.78</v>
      </c>
      <c r="X293" s="258">
        <f>Ruimtestaat[[#This Row],[uren / jaar werkdagen]]*Tariefsopbouw!$D$38</f>
        <v>1169.5</v>
      </c>
      <c r="Y293" s="33"/>
      <c r="Z293" s="33">
        <f>IF(Ruimtestaat[[#This Row],[Frequentie weekend]]&gt;0,VALUE(LEFT(Y293,1))*R293,0)</f>
        <v>0</v>
      </c>
      <c r="AA293" s="33">
        <f>IF($Z293&gt;0,VLOOKUP($J293,Ruimtegroepen[],3,FALSE)*VLOOKUP($L293,Vloersoorten[],3,FALSE)*VLOOKUP($Y293,Frequenties[],3,FALSE)*VLOOKUP(#REF!,Locaties[],3,FALSE),0)</f>
        <v>0</v>
      </c>
      <c r="AB293" s="33"/>
      <c r="AC293" s="33"/>
      <c r="AD293" s="33">
        <f>Ruimtestaat[[#This Row],[uren / jaar weekend]]*Tariefsopbouw!$D$40</f>
        <v>0</v>
      </c>
      <c r="AE293" s="88">
        <f>Ruimtestaat[[#This Row],[Prest. (m2 /jaar) weekend]]+Ruimtestaat[[#This Row],[Prest. (m2 /jaar) werkdagen]]</f>
        <v>4678</v>
      </c>
      <c r="AF293" s="88">
        <f>Ruimtestaat[[#This Row],[uren / jaar weekend]]+Ruimtestaat[[#This Row],[uren / jaar werkdagen]]</f>
        <v>46.78</v>
      </c>
      <c r="AG293" s="89">
        <f>Ruimtestaat[[#This Row],[kosten / jaar weekend]]+Ruimtestaat[[#This Row],[kosten / jaar werkdagen]]</f>
        <v>1169.5</v>
      </c>
    </row>
    <row r="294" spans="1:33" ht="15" customHeight="1">
      <c r="A294" s="195">
        <v>3</v>
      </c>
      <c r="B294" s="195" t="str">
        <f>VLOOKUP(Ruimtestaat[[#This Row],[Code]],Locaties[#All],2,FALSE)</f>
        <v>Lichtenvoorde gebouw 1</v>
      </c>
      <c r="C294" s="241" t="str">
        <f>VLOOKUP(Ruimtestaat[[#This Row],[Code]],Locaties[#All],4,FALSE)</f>
        <v>Dr Ariensstraat 1</v>
      </c>
      <c r="D294" s="241" t="str">
        <f>VLOOKUP(Ruimtestaat[[#This Row],[Code]],Locaties[#All],5,FALSE)</f>
        <v>7131 XM </v>
      </c>
      <c r="E294" s="241" t="str">
        <f>VLOOKUP(Ruimtestaat[[#This Row],[Code]],Locaties[#All],6,FALSE)</f>
        <v>Lichtenvoorde</v>
      </c>
      <c r="F294" s="195"/>
      <c r="G294" s="195" t="s">
        <v>768</v>
      </c>
      <c r="H294" s="195" t="s">
        <v>730</v>
      </c>
      <c r="I294" s="242" t="s">
        <v>441</v>
      </c>
      <c r="J294" s="195">
        <v>1</v>
      </c>
      <c r="K294" s="260" t="str">
        <f>VLOOKUP(Ruimtestaat[[#This Row],[Ruimte code]],Ruimtegroepen[#All],2,FALSE)</f>
        <v>Magazijnen/bergingen</v>
      </c>
      <c r="L294" s="195" t="s">
        <v>110</v>
      </c>
      <c r="M294" s="195" t="s">
        <v>133</v>
      </c>
      <c r="N294" s="197">
        <v>5.57</v>
      </c>
      <c r="O294" s="209"/>
      <c r="P294" s="241" t="str">
        <f>VLOOKUP(Ruimtestaat[[#This Row],[Ruimte code]],Ruimtegroepen[#All],4,FALSE)</f>
        <v>V  (Verkeersruimte)</v>
      </c>
      <c r="Q294" s="210"/>
      <c r="R294" s="211">
        <v>40</v>
      </c>
      <c r="S294" s="211" t="s">
        <v>16</v>
      </c>
      <c r="T294" s="211">
        <f>IF(R294&gt;0,IF(RIGHT(Ruimtestaat[[#This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U294" s="211">
        <f>IF(T294&gt;0,VLOOKUP($J294,Ruimtegroepen[],3,FALSE)*VLOOKUP($L294,Vloersoorten[],3,FALSE)*VLOOKUP($S294,Frequenties[],3,FALSE)*VLOOKUP($A294,Locaties[],3,FALSE),0)</f>
        <v>100</v>
      </c>
      <c r="V294" s="211">
        <f>Ruimtestaat[[#This Row],[Uitvoeringen werkdagen]]*Ruimtestaat[[#This Row],[Oppervlak (netto)]]</f>
        <v>66.84</v>
      </c>
      <c r="W294" s="257">
        <f>IF(U294&gt;0,Ruimtestaat[[#This Row],[Prest. (m2 /jaar) werkdagen]]/Ruimtestaat[[#This Row],[Norm (m2/uur) werkdagen]],0)</f>
        <v>0.66839999999999999</v>
      </c>
      <c r="X294" s="258">
        <f>Ruimtestaat[[#This Row],[uren / jaar werkdagen]]*Tariefsopbouw!$D$38</f>
        <v>16.71</v>
      </c>
      <c r="Y294" s="33"/>
      <c r="Z294" s="33">
        <f>IF(Ruimtestaat[[#This Row],[Frequentie weekend]]&gt;0,VALUE(LEFT(Y294,1))*R294,0)</f>
        <v>0</v>
      </c>
      <c r="AA294" s="33">
        <f>IF($Z294&gt;0,VLOOKUP($J294,Ruimtegroepen[],3,FALSE)*VLOOKUP($L294,Vloersoorten[],3,FALSE)*VLOOKUP($Y294,Frequenties[],3,FALSE)*VLOOKUP(#REF!,Locaties[],3,FALSE),0)</f>
        <v>0</v>
      </c>
      <c r="AB294" s="33"/>
      <c r="AC294" s="33"/>
      <c r="AD294" s="33">
        <f>Ruimtestaat[[#This Row],[uren / jaar weekend]]*Tariefsopbouw!$D$40</f>
        <v>0</v>
      </c>
      <c r="AE294" s="88">
        <f>Ruimtestaat[[#This Row],[Prest. (m2 /jaar) weekend]]+Ruimtestaat[[#This Row],[Prest. (m2 /jaar) werkdagen]]</f>
        <v>66.84</v>
      </c>
      <c r="AF294" s="88">
        <f>Ruimtestaat[[#This Row],[uren / jaar weekend]]+Ruimtestaat[[#This Row],[uren / jaar werkdagen]]</f>
        <v>0.66839999999999999</v>
      </c>
      <c r="AG294" s="89">
        <f>Ruimtestaat[[#This Row],[kosten / jaar weekend]]+Ruimtestaat[[#This Row],[kosten / jaar werkdagen]]</f>
        <v>16.71</v>
      </c>
    </row>
    <row r="295" spans="1:33" ht="15" customHeight="1">
      <c r="A295" s="195">
        <v>3</v>
      </c>
      <c r="B295" s="195" t="str">
        <f>VLOOKUP(Ruimtestaat[[#This Row],[Code]],Locaties[#All],2,FALSE)</f>
        <v>Lichtenvoorde gebouw 1</v>
      </c>
      <c r="C295" s="241" t="str">
        <f>VLOOKUP(Ruimtestaat[[#This Row],[Code]],Locaties[#All],4,FALSE)</f>
        <v>Dr Ariensstraat 1</v>
      </c>
      <c r="D295" s="241" t="str">
        <f>VLOOKUP(Ruimtestaat[[#This Row],[Code]],Locaties[#All],5,FALSE)</f>
        <v>7131 XM </v>
      </c>
      <c r="E295" s="241" t="str">
        <f>VLOOKUP(Ruimtestaat[[#This Row],[Code]],Locaties[#All],6,FALSE)</f>
        <v>Lichtenvoorde</v>
      </c>
      <c r="F295" s="195"/>
      <c r="G295" s="195" t="s">
        <v>768</v>
      </c>
      <c r="H295" s="195" t="s">
        <v>731</v>
      </c>
      <c r="I295" s="242" t="s">
        <v>382</v>
      </c>
      <c r="J295" s="195">
        <v>6</v>
      </c>
      <c r="K295" s="260" t="str">
        <f>VLOOKUP(Ruimtestaat[[#This Row],[Ruimte code]],Ruimtegroepen[#All],2,FALSE)</f>
        <v>Gangen/hallen</v>
      </c>
      <c r="L295" s="211" t="s">
        <v>110</v>
      </c>
      <c r="M295" s="195" t="s">
        <v>133</v>
      </c>
      <c r="N295" s="197">
        <v>130.75</v>
      </c>
      <c r="O295" s="209"/>
      <c r="P295" s="241" t="str">
        <f>VLOOKUP(Ruimtestaat[[#This Row],[Ruimte code]],Ruimtegroepen[#All],4,FALSE)</f>
        <v>V  (Verkeersruimte)</v>
      </c>
      <c r="Q295" s="210"/>
      <c r="R295" s="211">
        <v>40</v>
      </c>
      <c r="S295" s="211" t="s">
        <v>2</v>
      </c>
      <c r="T295" s="211">
        <f>IF(R295&gt;0,IF(RIGHT(Ruimtestaat[[#This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295" s="211">
        <f>IF(T295&gt;0,VLOOKUP($J295,Ruimtegroepen[],3,FALSE)*VLOOKUP($L295,Vloersoorten[],3,FALSE)*VLOOKUP($S295,Frequenties[],3,FALSE)*VLOOKUP($A295,Locaties[],3,FALSE),0)</f>
        <v>100</v>
      </c>
      <c r="V295" s="211">
        <f>Ruimtestaat[[#This Row],[Uitvoeringen werkdagen]]*Ruimtestaat[[#This Row],[Oppervlak (netto)]]</f>
        <v>26150</v>
      </c>
      <c r="W295" s="257">
        <f>IF(U295&gt;0,Ruimtestaat[[#This Row],[Prest. (m2 /jaar) werkdagen]]/Ruimtestaat[[#This Row],[Norm (m2/uur) werkdagen]],0)</f>
        <v>261.5</v>
      </c>
      <c r="X295" s="258">
        <f>Ruimtestaat[[#This Row],[uren / jaar werkdagen]]*Tariefsopbouw!$D$38</f>
        <v>6537.5</v>
      </c>
      <c r="Y295" s="33"/>
      <c r="Z295" s="33">
        <f>IF(Ruimtestaat[[#This Row],[Frequentie weekend]]&gt;0,VALUE(LEFT(Y295,1))*R295,0)</f>
        <v>0</v>
      </c>
      <c r="AA295" s="33">
        <f>IF($Z295&gt;0,VLOOKUP($J295,Ruimtegroepen[],3,FALSE)*VLOOKUP($L295,Vloersoorten[],3,FALSE)*VLOOKUP($Y295,Frequenties[],3,FALSE)*VLOOKUP(#REF!,Locaties[],3,FALSE),0)</f>
        <v>0</v>
      </c>
      <c r="AB295" s="33"/>
      <c r="AC295" s="33"/>
      <c r="AD295" s="33">
        <f>Ruimtestaat[[#This Row],[uren / jaar weekend]]*Tariefsopbouw!$D$40</f>
        <v>0</v>
      </c>
      <c r="AE295" s="88">
        <f>Ruimtestaat[[#This Row],[Prest. (m2 /jaar) weekend]]+Ruimtestaat[[#This Row],[Prest. (m2 /jaar) werkdagen]]</f>
        <v>26150</v>
      </c>
      <c r="AF295" s="88">
        <f>Ruimtestaat[[#This Row],[uren / jaar weekend]]+Ruimtestaat[[#This Row],[uren / jaar werkdagen]]</f>
        <v>261.5</v>
      </c>
      <c r="AG295" s="89">
        <f>Ruimtestaat[[#This Row],[kosten / jaar weekend]]+Ruimtestaat[[#This Row],[kosten / jaar werkdagen]]</f>
        <v>6537.5</v>
      </c>
    </row>
    <row r="296" spans="1:33" ht="15" customHeight="1">
      <c r="A296" s="195">
        <v>3</v>
      </c>
      <c r="B296" s="195" t="str">
        <f>VLOOKUP(Ruimtestaat[[#This Row],[Code]],Locaties[#All],2,FALSE)</f>
        <v>Lichtenvoorde gebouw 1</v>
      </c>
      <c r="C296" s="241" t="str">
        <f>VLOOKUP(Ruimtestaat[[#This Row],[Code]],Locaties[#All],4,FALSE)</f>
        <v>Dr Ariensstraat 1</v>
      </c>
      <c r="D296" s="241" t="str">
        <f>VLOOKUP(Ruimtestaat[[#This Row],[Code]],Locaties[#All],5,FALSE)</f>
        <v>7131 XM </v>
      </c>
      <c r="E296" s="241" t="str">
        <f>VLOOKUP(Ruimtestaat[[#This Row],[Code]],Locaties[#All],6,FALSE)</f>
        <v>Lichtenvoorde</v>
      </c>
      <c r="F296" s="195"/>
      <c r="G296" s="195" t="s">
        <v>768</v>
      </c>
      <c r="H296" s="195" t="s">
        <v>732</v>
      </c>
      <c r="I296" s="242" t="s">
        <v>395</v>
      </c>
      <c r="J296" s="195">
        <v>16</v>
      </c>
      <c r="K296" s="260" t="str">
        <f>VLOOKUP(Ruimtestaat[[#This Row],[Ruimte code]],Ruimtegroepen[#All],2,FALSE)</f>
        <v>Lokaal</v>
      </c>
      <c r="L296" s="211" t="s">
        <v>110</v>
      </c>
      <c r="M296" s="195" t="s">
        <v>133</v>
      </c>
      <c r="N296" s="197">
        <v>67.73</v>
      </c>
      <c r="O296" s="209"/>
      <c r="P296" s="241" t="str">
        <f>VLOOKUP(Ruimtestaat[[#This Row],[Ruimte code]],Ruimtegroepen[#All],4,FALSE)</f>
        <v>L  (Lesruimte)</v>
      </c>
      <c r="Q296" s="210"/>
      <c r="R296" s="211">
        <v>40</v>
      </c>
      <c r="S296" s="211" t="s">
        <v>2</v>
      </c>
      <c r="T296" s="211">
        <f>IF(R296&gt;0,IF(RIGHT(Ruimtestaat[[#This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296" s="211">
        <f>IF(T296&gt;0,VLOOKUP($J296,Ruimtegroepen[],3,FALSE)*VLOOKUP($L296,Vloersoorten[],3,FALSE)*VLOOKUP($S296,Frequenties[],3,FALSE)*VLOOKUP($A296,Locaties[],3,FALSE),0)</f>
        <v>100</v>
      </c>
      <c r="V296" s="211">
        <f>Ruimtestaat[[#This Row],[Uitvoeringen werkdagen]]*Ruimtestaat[[#This Row],[Oppervlak (netto)]]</f>
        <v>13546</v>
      </c>
      <c r="W296" s="257">
        <f>IF(U296&gt;0,Ruimtestaat[[#This Row],[Prest. (m2 /jaar) werkdagen]]/Ruimtestaat[[#This Row],[Norm (m2/uur) werkdagen]],0)</f>
        <v>135.46</v>
      </c>
      <c r="X296" s="258">
        <f>Ruimtestaat[[#This Row],[uren / jaar werkdagen]]*Tariefsopbouw!$D$38</f>
        <v>3386.5</v>
      </c>
      <c r="Y296" s="33"/>
      <c r="Z296" s="33">
        <f>IF(Ruimtestaat[[#This Row],[Frequentie weekend]]&gt;0,VALUE(LEFT(Y296,1))*R296,0)</f>
        <v>0</v>
      </c>
      <c r="AA296" s="33">
        <f>IF($Z296&gt;0,VLOOKUP($J296,Ruimtegroepen[],3,FALSE)*VLOOKUP($L296,Vloersoorten[],3,FALSE)*VLOOKUP($Y296,Frequenties[],3,FALSE)*VLOOKUP(#REF!,Locaties[],3,FALSE),0)</f>
        <v>0</v>
      </c>
      <c r="AB296" s="33"/>
      <c r="AC296" s="33"/>
      <c r="AD296" s="33">
        <f>Ruimtestaat[[#This Row],[uren / jaar weekend]]*Tariefsopbouw!$D$40</f>
        <v>0</v>
      </c>
      <c r="AE296" s="88">
        <f>Ruimtestaat[[#This Row],[Prest. (m2 /jaar) weekend]]+Ruimtestaat[[#This Row],[Prest. (m2 /jaar) werkdagen]]</f>
        <v>13546</v>
      </c>
      <c r="AF296" s="88">
        <f>Ruimtestaat[[#This Row],[uren / jaar weekend]]+Ruimtestaat[[#This Row],[uren / jaar werkdagen]]</f>
        <v>135.46</v>
      </c>
      <c r="AG296" s="89">
        <f>Ruimtestaat[[#This Row],[kosten / jaar weekend]]+Ruimtestaat[[#This Row],[kosten / jaar werkdagen]]</f>
        <v>3386.5</v>
      </c>
    </row>
    <row r="297" spans="1:33" ht="15" customHeight="1">
      <c r="A297" s="195">
        <v>3</v>
      </c>
      <c r="B297" s="195" t="str">
        <f>VLOOKUP(Ruimtestaat[[#This Row],[Code]],Locaties[#All],2,FALSE)</f>
        <v>Lichtenvoorde gebouw 1</v>
      </c>
      <c r="C297" s="241" t="str">
        <f>VLOOKUP(Ruimtestaat[[#This Row],[Code]],Locaties[#All],4,FALSE)</f>
        <v>Dr Ariensstraat 1</v>
      </c>
      <c r="D297" s="241" t="str">
        <f>VLOOKUP(Ruimtestaat[[#This Row],[Code]],Locaties[#All],5,FALSE)</f>
        <v>7131 XM </v>
      </c>
      <c r="E297" s="241" t="str">
        <f>VLOOKUP(Ruimtestaat[[#This Row],[Code]],Locaties[#All],6,FALSE)</f>
        <v>Lichtenvoorde</v>
      </c>
      <c r="F297" s="195"/>
      <c r="G297" s="195" t="s">
        <v>768</v>
      </c>
      <c r="H297" s="195" t="s">
        <v>733</v>
      </c>
      <c r="I297" s="242" t="s">
        <v>395</v>
      </c>
      <c r="J297" s="195">
        <v>16</v>
      </c>
      <c r="K297" s="260" t="str">
        <f>VLOOKUP(Ruimtestaat[[#This Row],[Ruimte code]],Ruimtegroepen[#All],2,FALSE)</f>
        <v>Lokaal</v>
      </c>
      <c r="L297" s="241" t="s">
        <v>112</v>
      </c>
      <c r="M297" s="195" t="s">
        <v>130</v>
      </c>
      <c r="N297" s="197">
        <v>51.92</v>
      </c>
      <c r="O297" s="209"/>
      <c r="P297" s="241" t="str">
        <f>VLOOKUP(Ruimtestaat[[#This Row],[Ruimte code]],Ruimtegroepen[#All],4,FALSE)</f>
        <v>L  (Lesruimte)</v>
      </c>
      <c r="Q297" s="210"/>
      <c r="R297" s="211">
        <v>40</v>
      </c>
      <c r="S297" s="211" t="s">
        <v>2</v>
      </c>
      <c r="T297" s="211">
        <f>IF(R297&gt;0,IF(RIGHT(Ruimtestaat[[#This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297" s="211">
        <f>IF(T297&gt;0,VLOOKUP($J297,Ruimtegroepen[],3,FALSE)*VLOOKUP($L297,Vloersoorten[],3,FALSE)*VLOOKUP($S297,Frequenties[],3,FALSE)*VLOOKUP($A297,Locaties[],3,FALSE),0)</f>
        <v>100</v>
      </c>
      <c r="V297" s="211">
        <f>Ruimtestaat[[#This Row],[Uitvoeringen werkdagen]]*Ruimtestaat[[#This Row],[Oppervlak (netto)]]</f>
        <v>10384</v>
      </c>
      <c r="W297" s="257">
        <f>IF(U297&gt;0,Ruimtestaat[[#This Row],[Prest. (m2 /jaar) werkdagen]]/Ruimtestaat[[#This Row],[Norm (m2/uur) werkdagen]],0)</f>
        <v>103.84</v>
      </c>
      <c r="X297" s="258">
        <f>Ruimtestaat[[#This Row],[uren / jaar werkdagen]]*Tariefsopbouw!$D$38</f>
        <v>2596</v>
      </c>
      <c r="Y297" s="33"/>
      <c r="Z297" s="33">
        <f>IF(Ruimtestaat[[#This Row],[Frequentie weekend]]&gt;0,VALUE(LEFT(Y297,1))*R297,0)</f>
        <v>0</v>
      </c>
      <c r="AA297" s="33">
        <f>IF($Z297&gt;0,VLOOKUP($J297,Ruimtegroepen[],3,FALSE)*VLOOKUP($L297,Vloersoorten[],3,FALSE)*VLOOKUP($Y297,Frequenties[],3,FALSE)*VLOOKUP(#REF!,Locaties[],3,FALSE),0)</f>
        <v>0</v>
      </c>
      <c r="AB297" s="33"/>
      <c r="AC297" s="33"/>
      <c r="AD297" s="33">
        <f>Ruimtestaat[[#This Row],[uren / jaar weekend]]*Tariefsopbouw!$D$40</f>
        <v>0</v>
      </c>
      <c r="AE297" s="88">
        <f>Ruimtestaat[[#This Row],[Prest. (m2 /jaar) weekend]]+Ruimtestaat[[#This Row],[Prest. (m2 /jaar) werkdagen]]</f>
        <v>10384</v>
      </c>
      <c r="AF297" s="88">
        <f>Ruimtestaat[[#This Row],[uren / jaar weekend]]+Ruimtestaat[[#This Row],[uren / jaar werkdagen]]</f>
        <v>103.84</v>
      </c>
      <c r="AG297" s="89">
        <f>Ruimtestaat[[#This Row],[kosten / jaar weekend]]+Ruimtestaat[[#This Row],[kosten / jaar werkdagen]]</f>
        <v>2596</v>
      </c>
    </row>
    <row r="298" spans="1:33" ht="15" customHeight="1">
      <c r="A298" s="195">
        <v>3</v>
      </c>
      <c r="B298" s="195" t="str">
        <f>VLOOKUP(Ruimtestaat[[#This Row],[Code]],Locaties[#All],2,FALSE)</f>
        <v>Lichtenvoorde gebouw 1</v>
      </c>
      <c r="C298" s="241" t="str">
        <f>VLOOKUP(Ruimtestaat[[#This Row],[Code]],Locaties[#All],4,FALSE)</f>
        <v>Dr Ariensstraat 1</v>
      </c>
      <c r="D298" s="241" t="str">
        <f>VLOOKUP(Ruimtestaat[[#This Row],[Code]],Locaties[#All],5,FALSE)</f>
        <v>7131 XM </v>
      </c>
      <c r="E298" s="241" t="str">
        <f>VLOOKUP(Ruimtestaat[[#This Row],[Code]],Locaties[#All],6,FALSE)</f>
        <v>Lichtenvoorde</v>
      </c>
      <c r="F298" s="195"/>
      <c r="G298" s="211" t="s">
        <v>768</v>
      </c>
      <c r="H298" s="211" t="s">
        <v>734</v>
      </c>
      <c r="I298" s="256" t="s">
        <v>446</v>
      </c>
      <c r="J298" s="195">
        <v>15</v>
      </c>
      <c r="K298" s="262" t="str">
        <f>VLOOKUP(Ruimtestaat[[#This Row],[Ruimte code]],Ruimtegroepen[#All],2,FALSE)</f>
        <v>Keuken/pantry</v>
      </c>
      <c r="L298" s="211" t="s">
        <v>111</v>
      </c>
      <c r="M298" s="195" t="s">
        <v>693</v>
      </c>
      <c r="N298" s="197">
        <v>20.98</v>
      </c>
      <c r="O298" s="209"/>
      <c r="P298" s="241" t="str">
        <f>VLOOKUP(Ruimtestaat[[#This Row],[Ruimte code]],Ruimtegroepen[#All],4,FALSE)</f>
        <v>V  (Verkeersruimte)</v>
      </c>
      <c r="Q298" s="210"/>
      <c r="R298" s="211">
        <v>40</v>
      </c>
      <c r="S298" s="211" t="s">
        <v>2</v>
      </c>
      <c r="T298" s="211">
        <f>IF(R298&gt;0,IF(RIGHT(Ruimtestaat[[#This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298" s="211">
        <f>IF(T298&gt;0,VLOOKUP($J298,Ruimtegroepen[],3,FALSE)*VLOOKUP($L298,Vloersoorten[],3,FALSE)*VLOOKUP($S298,Frequenties[],3,FALSE)*VLOOKUP($A298,Locaties[],3,FALSE),0)</f>
        <v>100</v>
      </c>
      <c r="V298" s="211">
        <f>Ruimtestaat[[#This Row],[Uitvoeringen werkdagen]]*Ruimtestaat[[#This Row],[Oppervlak (netto)]]</f>
        <v>4196</v>
      </c>
      <c r="W298" s="257">
        <f>IF(U298&gt;0,Ruimtestaat[[#This Row],[Prest. (m2 /jaar) werkdagen]]/Ruimtestaat[[#This Row],[Norm (m2/uur) werkdagen]],0)</f>
        <v>41.96</v>
      </c>
      <c r="X298" s="258">
        <f>Ruimtestaat[[#This Row],[uren / jaar werkdagen]]*Tariefsopbouw!$D$38</f>
        <v>1049</v>
      </c>
      <c r="Y298" s="33"/>
      <c r="Z298" s="33">
        <f>IF(Ruimtestaat[[#This Row],[Frequentie weekend]]&gt;0,VALUE(LEFT(Y298,1))*R298,0)</f>
        <v>0</v>
      </c>
      <c r="AA298" s="33">
        <f>IF($Z298&gt;0,VLOOKUP($J298,Ruimtegroepen[],3,FALSE)*VLOOKUP($L298,Vloersoorten[],3,FALSE)*VLOOKUP($Y298,Frequenties[],3,FALSE)*VLOOKUP(#REF!,Locaties[],3,FALSE),0)</f>
        <v>0</v>
      </c>
      <c r="AB298" s="33"/>
      <c r="AC298" s="33"/>
      <c r="AD298" s="33">
        <f>Ruimtestaat[[#This Row],[uren / jaar weekend]]*Tariefsopbouw!$D$40</f>
        <v>0</v>
      </c>
      <c r="AE298" s="88">
        <f>Ruimtestaat[[#This Row],[Prest. (m2 /jaar) weekend]]+Ruimtestaat[[#This Row],[Prest. (m2 /jaar) werkdagen]]</f>
        <v>4196</v>
      </c>
      <c r="AF298" s="88">
        <f>Ruimtestaat[[#This Row],[uren / jaar weekend]]+Ruimtestaat[[#This Row],[uren / jaar werkdagen]]</f>
        <v>41.96</v>
      </c>
      <c r="AG298" s="89">
        <f>Ruimtestaat[[#This Row],[kosten / jaar weekend]]+Ruimtestaat[[#This Row],[kosten / jaar werkdagen]]</f>
        <v>1049</v>
      </c>
    </row>
    <row r="299" spans="1:33" ht="15" customHeight="1">
      <c r="A299" s="195">
        <v>3</v>
      </c>
      <c r="B299" s="195" t="str">
        <f>VLOOKUP(Ruimtestaat[[#This Row],[Code]],Locaties[#All],2,FALSE)</f>
        <v>Lichtenvoorde gebouw 1</v>
      </c>
      <c r="C299" s="241" t="str">
        <f>VLOOKUP(Ruimtestaat[[#This Row],[Code]],Locaties[#All],4,FALSE)</f>
        <v>Dr Ariensstraat 1</v>
      </c>
      <c r="D299" s="241" t="str">
        <f>VLOOKUP(Ruimtestaat[[#This Row],[Code]],Locaties[#All],5,FALSE)</f>
        <v>7131 XM </v>
      </c>
      <c r="E299" s="241" t="str">
        <f>VLOOKUP(Ruimtestaat[[#This Row],[Code]],Locaties[#All],6,FALSE)</f>
        <v>Lichtenvoorde</v>
      </c>
      <c r="F299" s="195"/>
      <c r="G299" s="211" t="s">
        <v>768</v>
      </c>
      <c r="H299" s="211" t="s">
        <v>735</v>
      </c>
      <c r="I299" s="256" t="s">
        <v>441</v>
      </c>
      <c r="J299" s="195">
        <v>1</v>
      </c>
      <c r="K299" s="262" t="str">
        <f>VLOOKUP(Ruimtestaat[[#This Row],[Ruimte code]],Ruimtegroepen[#All],2,FALSE)</f>
        <v>Magazijnen/bergingen</v>
      </c>
      <c r="L299" s="241" t="s">
        <v>110</v>
      </c>
      <c r="M299" s="195" t="s">
        <v>133</v>
      </c>
      <c r="N299" s="197">
        <v>5.1100000000000003</v>
      </c>
      <c r="O299" s="209"/>
      <c r="P299" s="241" t="str">
        <f>VLOOKUP(Ruimtestaat[[#This Row],[Ruimte code]],Ruimtegroepen[#All],4,FALSE)</f>
        <v>V  (Verkeersruimte)</v>
      </c>
      <c r="Q299" s="210"/>
      <c r="R299" s="211">
        <v>40</v>
      </c>
      <c r="S299" s="211" t="s">
        <v>16</v>
      </c>
      <c r="T299" s="211">
        <f>IF(R299&gt;0,IF(RIGHT(Ruimtestaat[[#This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U299" s="211">
        <f>IF(T299&gt;0,VLOOKUP($J299,Ruimtegroepen[],3,FALSE)*VLOOKUP($L299,Vloersoorten[],3,FALSE)*VLOOKUP($S299,Frequenties[],3,FALSE)*VLOOKUP($A299,Locaties[],3,FALSE),0)</f>
        <v>100</v>
      </c>
      <c r="V299" s="211">
        <f>Ruimtestaat[[#This Row],[Uitvoeringen werkdagen]]*Ruimtestaat[[#This Row],[Oppervlak (netto)]]</f>
        <v>61.320000000000007</v>
      </c>
      <c r="W299" s="257">
        <f>IF(U299&gt;0,Ruimtestaat[[#This Row],[Prest. (m2 /jaar) werkdagen]]/Ruimtestaat[[#This Row],[Norm (m2/uur) werkdagen]],0)</f>
        <v>0.61320000000000008</v>
      </c>
      <c r="X299" s="258">
        <f>Ruimtestaat[[#This Row],[uren / jaar werkdagen]]*Tariefsopbouw!$D$38</f>
        <v>15.330000000000002</v>
      </c>
      <c r="Y299" s="33"/>
      <c r="Z299" s="33">
        <f>IF(Ruimtestaat[[#This Row],[Frequentie weekend]]&gt;0,VALUE(LEFT(Y299,1))*R299,0)</f>
        <v>0</v>
      </c>
      <c r="AA299" s="33">
        <f>IF($Z299&gt;0,VLOOKUP($J299,Ruimtegroepen[],3,FALSE)*VLOOKUP($L299,Vloersoorten[],3,FALSE)*VLOOKUP($Y299,Frequenties[],3,FALSE)*VLOOKUP(#REF!,Locaties[],3,FALSE),0)</f>
        <v>0</v>
      </c>
      <c r="AB299" s="33"/>
      <c r="AC299" s="33"/>
      <c r="AD299" s="33">
        <f>Ruimtestaat[[#This Row],[uren / jaar weekend]]*Tariefsopbouw!$D$40</f>
        <v>0</v>
      </c>
      <c r="AE299" s="88">
        <f>Ruimtestaat[[#This Row],[Prest. (m2 /jaar) weekend]]+Ruimtestaat[[#This Row],[Prest. (m2 /jaar) werkdagen]]</f>
        <v>61.320000000000007</v>
      </c>
      <c r="AF299" s="88">
        <f>Ruimtestaat[[#This Row],[uren / jaar weekend]]+Ruimtestaat[[#This Row],[uren / jaar werkdagen]]</f>
        <v>0.61320000000000008</v>
      </c>
      <c r="AG299" s="89">
        <f>Ruimtestaat[[#This Row],[kosten / jaar weekend]]+Ruimtestaat[[#This Row],[kosten / jaar werkdagen]]</f>
        <v>15.330000000000002</v>
      </c>
    </row>
    <row r="300" spans="1:33" ht="15" customHeight="1">
      <c r="A300" s="195">
        <v>3</v>
      </c>
      <c r="B300" s="195" t="str">
        <f>VLOOKUP(Ruimtestaat[[#This Row],[Code]],Locaties[#All],2,FALSE)</f>
        <v>Lichtenvoorde gebouw 1</v>
      </c>
      <c r="C300" s="241" t="str">
        <f>VLOOKUP(Ruimtestaat[[#This Row],[Code]],Locaties[#All],4,FALSE)</f>
        <v>Dr Ariensstraat 1</v>
      </c>
      <c r="D300" s="241" t="str">
        <f>VLOOKUP(Ruimtestaat[[#This Row],[Code]],Locaties[#All],5,FALSE)</f>
        <v>7131 XM </v>
      </c>
      <c r="E300" s="241" t="str">
        <f>VLOOKUP(Ruimtestaat[[#This Row],[Code]],Locaties[#All],6,FALSE)</f>
        <v>Lichtenvoorde</v>
      </c>
      <c r="F300" s="195"/>
      <c r="G300" s="211" t="s">
        <v>768</v>
      </c>
      <c r="H300" s="195" t="s">
        <v>736</v>
      </c>
      <c r="I300" s="242" t="s">
        <v>441</v>
      </c>
      <c r="J300" s="195">
        <v>1</v>
      </c>
      <c r="K300" s="260" t="str">
        <f>VLOOKUP(Ruimtestaat[[#This Row],[Ruimte code]],Ruimtegroepen[#All],2,FALSE)</f>
        <v>Magazijnen/bergingen</v>
      </c>
      <c r="L300" s="211" t="s">
        <v>110</v>
      </c>
      <c r="M300" s="195" t="s">
        <v>133</v>
      </c>
      <c r="N300" s="197">
        <v>3.88</v>
      </c>
      <c r="O300" s="209"/>
      <c r="P300" s="241" t="str">
        <f>VLOOKUP(Ruimtestaat[[#This Row],[Ruimte code]],Ruimtegroepen[#All],4,FALSE)</f>
        <v>V  (Verkeersruimte)</v>
      </c>
      <c r="Q300" s="210"/>
      <c r="R300" s="211">
        <v>40</v>
      </c>
      <c r="S300" s="211" t="s">
        <v>16</v>
      </c>
      <c r="T300" s="211">
        <f>IF(R300&gt;0,IF(RIGHT(Ruimtestaat[[#This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U300" s="211">
        <f>IF(T300&gt;0,VLOOKUP($J300,Ruimtegroepen[],3,FALSE)*VLOOKUP($L300,Vloersoorten[],3,FALSE)*VLOOKUP($S300,Frequenties[],3,FALSE)*VLOOKUP($A300,Locaties[],3,FALSE),0)</f>
        <v>100</v>
      </c>
      <c r="V300" s="211">
        <f>Ruimtestaat[[#This Row],[Uitvoeringen werkdagen]]*Ruimtestaat[[#This Row],[Oppervlak (netto)]]</f>
        <v>46.56</v>
      </c>
      <c r="W300" s="257">
        <f>IF(U300&gt;0,Ruimtestaat[[#This Row],[Prest. (m2 /jaar) werkdagen]]/Ruimtestaat[[#This Row],[Norm (m2/uur) werkdagen]],0)</f>
        <v>0.46560000000000001</v>
      </c>
      <c r="X300" s="258">
        <f>Ruimtestaat[[#This Row],[uren / jaar werkdagen]]*Tariefsopbouw!$D$38</f>
        <v>11.64</v>
      </c>
      <c r="Y300" s="33"/>
      <c r="Z300" s="33">
        <f>IF(Ruimtestaat[[#This Row],[Frequentie weekend]]&gt;0,VALUE(LEFT(Y300,1))*R300,0)</f>
        <v>0</v>
      </c>
      <c r="AA300" s="33">
        <f>IF($Z300&gt;0,VLOOKUP($J300,Ruimtegroepen[],3,FALSE)*VLOOKUP($L300,Vloersoorten[],3,FALSE)*VLOOKUP($Y300,Frequenties[],3,FALSE)*VLOOKUP(#REF!,Locaties[],3,FALSE),0)</f>
        <v>0</v>
      </c>
      <c r="AB300" s="33"/>
      <c r="AC300" s="33"/>
      <c r="AD300" s="33">
        <f>Ruimtestaat[[#This Row],[uren / jaar weekend]]*Tariefsopbouw!$D$40</f>
        <v>0</v>
      </c>
      <c r="AE300" s="88">
        <f>Ruimtestaat[[#This Row],[Prest. (m2 /jaar) weekend]]+Ruimtestaat[[#This Row],[Prest. (m2 /jaar) werkdagen]]</f>
        <v>46.56</v>
      </c>
      <c r="AF300" s="88">
        <f>Ruimtestaat[[#This Row],[uren / jaar weekend]]+Ruimtestaat[[#This Row],[uren / jaar werkdagen]]</f>
        <v>0.46560000000000001</v>
      </c>
      <c r="AG300" s="89">
        <f>Ruimtestaat[[#This Row],[kosten / jaar weekend]]+Ruimtestaat[[#This Row],[kosten / jaar werkdagen]]</f>
        <v>11.64</v>
      </c>
    </row>
    <row r="301" spans="1:33" ht="15" customHeight="1">
      <c r="A301" s="195">
        <v>3</v>
      </c>
      <c r="B301" s="195" t="str">
        <f>VLOOKUP(Ruimtestaat[[#This Row],[Code]],Locaties[#All],2,FALSE)</f>
        <v>Lichtenvoorde gebouw 1</v>
      </c>
      <c r="C301" s="241" t="str">
        <f>VLOOKUP(Ruimtestaat[[#This Row],[Code]],Locaties[#All],4,FALSE)</f>
        <v>Dr Ariensstraat 1</v>
      </c>
      <c r="D301" s="241" t="str">
        <f>VLOOKUP(Ruimtestaat[[#This Row],[Code]],Locaties[#All],5,FALSE)</f>
        <v>7131 XM </v>
      </c>
      <c r="E301" s="241" t="str">
        <f>VLOOKUP(Ruimtestaat[[#This Row],[Code]],Locaties[#All],6,FALSE)</f>
        <v>Lichtenvoorde</v>
      </c>
      <c r="F301" s="195"/>
      <c r="G301" s="211" t="s">
        <v>768</v>
      </c>
      <c r="H301" s="195" t="s">
        <v>610</v>
      </c>
      <c r="I301" s="242" t="s">
        <v>382</v>
      </c>
      <c r="J301" s="195">
        <v>10</v>
      </c>
      <c r="K301" s="260" t="str">
        <f>VLOOKUP(Ruimtestaat[[#This Row],[Ruimte code]],Ruimtegroepen[#All],2,FALSE)</f>
        <v>Trappenhuizen/lift</v>
      </c>
      <c r="L301" s="211" t="s">
        <v>111</v>
      </c>
      <c r="M301" s="195" t="s">
        <v>767</v>
      </c>
      <c r="N301" s="197">
        <v>7.24</v>
      </c>
      <c r="O301" s="209"/>
      <c r="P301" s="241" t="str">
        <f>VLOOKUP(Ruimtestaat[[#This Row],[Ruimte code]],Ruimtegroepen[#All],4,FALSE)</f>
        <v>V  (Verkeersruimte)</v>
      </c>
      <c r="Q301" s="210"/>
      <c r="R301" s="211">
        <v>40</v>
      </c>
      <c r="S301" s="211" t="s">
        <v>2</v>
      </c>
      <c r="T301" s="211">
        <f>IF(R301&gt;0,IF(RIGHT(Ruimtestaat[[#This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01" s="211">
        <f>IF(T301&gt;0,VLOOKUP($J301,Ruimtegroepen[],3,FALSE)*VLOOKUP($L301,Vloersoorten[],3,FALSE)*VLOOKUP($S301,Frequenties[],3,FALSE)*VLOOKUP($A301,Locaties[],3,FALSE),0)</f>
        <v>100</v>
      </c>
      <c r="V301" s="211">
        <f>Ruimtestaat[[#This Row],[Uitvoeringen werkdagen]]*Ruimtestaat[[#This Row],[Oppervlak (netto)]]</f>
        <v>1448</v>
      </c>
      <c r="W301" s="257">
        <f>IF(U301&gt;0,Ruimtestaat[[#This Row],[Prest. (m2 /jaar) werkdagen]]/Ruimtestaat[[#This Row],[Norm (m2/uur) werkdagen]],0)</f>
        <v>14.48</v>
      </c>
      <c r="X301" s="258">
        <f>Ruimtestaat[[#This Row],[uren / jaar werkdagen]]*Tariefsopbouw!$D$38</f>
        <v>362</v>
      </c>
      <c r="Y301" s="33"/>
      <c r="Z301" s="33">
        <f>IF(Ruimtestaat[[#This Row],[Frequentie weekend]]&gt;0,VALUE(LEFT(Y301,1))*R301,0)</f>
        <v>0</v>
      </c>
      <c r="AA301" s="33">
        <f>IF($Z301&gt;0,VLOOKUP($J301,Ruimtegroepen[],3,FALSE)*VLOOKUP($L301,Vloersoorten[],3,FALSE)*VLOOKUP($Y301,Frequenties[],3,FALSE)*VLOOKUP(#REF!,Locaties[],3,FALSE),0)</f>
        <v>0</v>
      </c>
      <c r="AB301" s="33"/>
      <c r="AC301" s="33"/>
      <c r="AD301" s="33">
        <f>Ruimtestaat[[#This Row],[uren / jaar weekend]]*Tariefsopbouw!$D$40</f>
        <v>0</v>
      </c>
      <c r="AE301" s="88">
        <f>Ruimtestaat[[#This Row],[Prest. (m2 /jaar) weekend]]+Ruimtestaat[[#This Row],[Prest. (m2 /jaar) werkdagen]]</f>
        <v>1448</v>
      </c>
      <c r="AF301" s="88">
        <f>Ruimtestaat[[#This Row],[uren / jaar weekend]]+Ruimtestaat[[#This Row],[uren / jaar werkdagen]]</f>
        <v>14.48</v>
      </c>
      <c r="AG301" s="89">
        <f>Ruimtestaat[[#This Row],[kosten / jaar weekend]]+Ruimtestaat[[#This Row],[kosten / jaar werkdagen]]</f>
        <v>362</v>
      </c>
    </row>
    <row r="302" spans="1:33" ht="15" customHeight="1">
      <c r="A302" s="195">
        <v>3</v>
      </c>
      <c r="B302" s="195" t="str">
        <f>VLOOKUP(Ruimtestaat[[#This Row],[Code]],Locaties[#All],2,FALSE)</f>
        <v>Lichtenvoorde gebouw 1</v>
      </c>
      <c r="C302" s="241" t="str">
        <f>VLOOKUP(Ruimtestaat[[#This Row],[Code]],Locaties[#All],4,FALSE)</f>
        <v>Dr Ariensstraat 1</v>
      </c>
      <c r="D302" s="241" t="str">
        <f>VLOOKUP(Ruimtestaat[[#This Row],[Code]],Locaties[#All],5,FALSE)</f>
        <v>7131 XM </v>
      </c>
      <c r="E302" s="241" t="str">
        <f>VLOOKUP(Ruimtestaat[[#This Row],[Code]],Locaties[#All],6,FALSE)</f>
        <v>Lichtenvoorde</v>
      </c>
      <c r="F302" s="195"/>
      <c r="G302" s="211" t="s">
        <v>768</v>
      </c>
      <c r="H302" s="195" t="s">
        <v>737</v>
      </c>
      <c r="I302" s="242" t="s">
        <v>827</v>
      </c>
      <c r="J302" s="195">
        <v>20</v>
      </c>
      <c r="K302" s="260" t="str">
        <f>VLOOKUP(Ruimtestaat[[#This Row],[Ruimte code]],Ruimtegroepen[#All],2,FALSE)</f>
        <v>Beroepspraktijklokalen</v>
      </c>
      <c r="L302" s="241" t="s">
        <v>111</v>
      </c>
      <c r="M302" s="195" t="s">
        <v>693</v>
      </c>
      <c r="N302" s="197">
        <v>86.34</v>
      </c>
      <c r="O302" s="209"/>
      <c r="P302" s="241" t="str">
        <f>VLOOKUP(Ruimtestaat[[#This Row],[Ruimte code]],Ruimtegroepen[#All],4,FALSE)</f>
        <v>L  (Lesruimte)</v>
      </c>
      <c r="Q302" s="210"/>
      <c r="R302" s="211">
        <v>40</v>
      </c>
      <c r="S302" s="211" t="s">
        <v>2</v>
      </c>
      <c r="T302" s="211">
        <f>IF(R302&gt;0,IF(RIGHT(Ruimtestaat[[#This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02" s="211">
        <f>IF(T302&gt;0,VLOOKUP($J302,Ruimtegroepen[],3,FALSE)*VLOOKUP($L302,Vloersoorten[],3,FALSE)*VLOOKUP($S302,Frequenties[],3,FALSE)*VLOOKUP($A302,Locaties[],3,FALSE),0)</f>
        <v>100</v>
      </c>
      <c r="V302" s="211">
        <f>Ruimtestaat[[#This Row],[Uitvoeringen werkdagen]]*Ruimtestaat[[#This Row],[Oppervlak (netto)]]</f>
        <v>17268</v>
      </c>
      <c r="W302" s="257">
        <f>IF(U302&gt;0,Ruimtestaat[[#This Row],[Prest. (m2 /jaar) werkdagen]]/Ruimtestaat[[#This Row],[Norm (m2/uur) werkdagen]],0)</f>
        <v>172.68</v>
      </c>
      <c r="X302" s="258">
        <f>Ruimtestaat[[#This Row],[uren / jaar werkdagen]]*Tariefsopbouw!$D$38</f>
        <v>4317</v>
      </c>
      <c r="Y302" s="33"/>
      <c r="Z302" s="33">
        <f>IF(Ruimtestaat[[#This Row],[Frequentie weekend]]&gt;0,VALUE(LEFT(Y302,1))*R302,0)</f>
        <v>0</v>
      </c>
      <c r="AA302" s="33">
        <f>IF($Z302&gt;0,VLOOKUP($J302,Ruimtegroepen[],3,FALSE)*VLOOKUP($L302,Vloersoorten[],3,FALSE)*VLOOKUP($Y302,Frequenties[],3,FALSE)*VLOOKUP(#REF!,Locaties[],3,FALSE),0)</f>
        <v>0</v>
      </c>
      <c r="AB302" s="33"/>
      <c r="AC302" s="33"/>
      <c r="AD302" s="33">
        <f>Ruimtestaat[[#This Row],[uren / jaar weekend]]*Tariefsopbouw!$D$40</f>
        <v>0</v>
      </c>
      <c r="AE302" s="88">
        <f>Ruimtestaat[[#This Row],[Prest. (m2 /jaar) weekend]]+Ruimtestaat[[#This Row],[Prest. (m2 /jaar) werkdagen]]</f>
        <v>17268</v>
      </c>
      <c r="AF302" s="88">
        <f>Ruimtestaat[[#This Row],[uren / jaar weekend]]+Ruimtestaat[[#This Row],[uren / jaar werkdagen]]</f>
        <v>172.68</v>
      </c>
      <c r="AG302" s="89">
        <f>Ruimtestaat[[#This Row],[kosten / jaar weekend]]+Ruimtestaat[[#This Row],[kosten / jaar werkdagen]]</f>
        <v>4317</v>
      </c>
    </row>
    <row r="303" spans="1:33" ht="15" customHeight="1">
      <c r="A303" s="195">
        <v>3</v>
      </c>
      <c r="B303" s="195" t="str">
        <f>VLOOKUP(Ruimtestaat[[#This Row],[Code]],Locaties[#All],2,FALSE)</f>
        <v>Lichtenvoorde gebouw 1</v>
      </c>
      <c r="C303" s="241" t="str">
        <f>VLOOKUP(Ruimtestaat[[#This Row],[Code]],Locaties[#All],4,FALSE)</f>
        <v>Dr Ariensstraat 1</v>
      </c>
      <c r="D303" s="241" t="str">
        <f>VLOOKUP(Ruimtestaat[[#This Row],[Code]],Locaties[#All],5,FALSE)</f>
        <v>7131 XM </v>
      </c>
      <c r="E303" s="241" t="str">
        <f>VLOOKUP(Ruimtestaat[[#This Row],[Code]],Locaties[#All],6,FALSE)</f>
        <v>Lichtenvoorde</v>
      </c>
      <c r="F303" s="195"/>
      <c r="G303" s="211" t="s">
        <v>768</v>
      </c>
      <c r="H303" s="195" t="s">
        <v>738</v>
      </c>
      <c r="I303" s="242" t="s">
        <v>827</v>
      </c>
      <c r="J303" s="195">
        <v>20</v>
      </c>
      <c r="K303" s="260" t="str">
        <f>VLOOKUP(Ruimtestaat[[#This Row],[Ruimte code]],Ruimtegroepen[#All],2,FALSE)</f>
        <v>Beroepspraktijklokalen</v>
      </c>
      <c r="L303" s="211" t="s">
        <v>111</v>
      </c>
      <c r="M303" s="195" t="s">
        <v>693</v>
      </c>
      <c r="N303" s="197">
        <v>11.32</v>
      </c>
      <c r="O303" s="209"/>
      <c r="P303" s="241" t="str">
        <f>VLOOKUP(Ruimtestaat[[#This Row],[Ruimte code]],Ruimtegroepen[#All],4,FALSE)</f>
        <v>L  (Lesruimte)</v>
      </c>
      <c r="Q303" s="210"/>
      <c r="R303" s="211">
        <v>40</v>
      </c>
      <c r="S303" s="211" t="s">
        <v>2</v>
      </c>
      <c r="T303" s="211">
        <f>IF(R303&gt;0,IF(RIGHT(Ruimtestaat[[#This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03" s="211">
        <f>IF(T303&gt;0,VLOOKUP($J303,Ruimtegroepen[],3,FALSE)*VLOOKUP($L303,Vloersoorten[],3,FALSE)*VLOOKUP($S303,Frequenties[],3,FALSE)*VLOOKUP($A303,Locaties[],3,FALSE),0)</f>
        <v>100</v>
      </c>
      <c r="V303" s="211">
        <f>Ruimtestaat[[#This Row],[Uitvoeringen werkdagen]]*Ruimtestaat[[#This Row],[Oppervlak (netto)]]</f>
        <v>2264</v>
      </c>
      <c r="W303" s="257">
        <f>IF(U303&gt;0,Ruimtestaat[[#This Row],[Prest. (m2 /jaar) werkdagen]]/Ruimtestaat[[#This Row],[Norm (m2/uur) werkdagen]],0)</f>
        <v>22.64</v>
      </c>
      <c r="X303" s="258">
        <f>Ruimtestaat[[#This Row],[uren / jaar werkdagen]]*Tariefsopbouw!$D$38</f>
        <v>566</v>
      </c>
      <c r="Y303" s="33"/>
      <c r="Z303" s="33">
        <f>IF(Ruimtestaat[[#This Row],[Frequentie weekend]]&gt;0,VALUE(LEFT(Y303,1))*R303,0)</f>
        <v>0</v>
      </c>
      <c r="AA303" s="33">
        <f>IF($Z303&gt;0,VLOOKUP($J303,Ruimtegroepen[],3,FALSE)*VLOOKUP($L303,Vloersoorten[],3,FALSE)*VLOOKUP($Y303,Frequenties[],3,FALSE)*VLOOKUP(#REF!,Locaties[],3,FALSE),0)</f>
        <v>0</v>
      </c>
      <c r="AB303" s="33"/>
      <c r="AC303" s="33"/>
      <c r="AD303" s="33">
        <f>Ruimtestaat[[#This Row],[uren / jaar weekend]]*Tariefsopbouw!$D$40</f>
        <v>0</v>
      </c>
      <c r="AE303" s="88">
        <f>Ruimtestaat[[#This Row],[Prest. (m2 /jaar) weekend]]+Ruimtestaat[[#This Row],[Prest. (m2 /jaar) werkdagen]]</f>
        <v>2264</v>
      </c>
      <c r="AF303" s="88">
        <f>Ruimtestaat[[#This Row],[uren / jaar weekend]]+Ruimtestaat[[#This Row],[uren / jaar werkdagen]]</f>
        <v>22.64</v>
      </c>
      <c r="AG303" s="89">
        <f>Ruimtestaat[[#This Row],[kosten / jaar weekend]]+Ruimtestaat[[#This Row],[kosten / jaar werkdagen]]</f>
        <v>566</v>
      </c>
    </row>
    <row r="304" spans="1:33" ht="15" customHeight="1">
      <c r="A304" s="195">
        <v>3</v>
      </c>
      <c r="B304" s="195" t="str">
        <f>VLOOKUP(Ruimtestaat[[#This Row],[Code]],Locaties[#All],2,FALSE)</f>
        <v>Lichtenvoorde gebouw 1</v>
      </c>
      <c r="C304" s="241" t="str">
        <f>VLOOKUP(Ruimtestaat[[#This Row],[Code]],Locaties[#All],4,FALSE)</f>
        <v>Dr Ariensstraat 1</v>
      </c>
      <c r="D304" s="241" t="str">
        <f>VLOOKUP(Ruimtestaat[[#This Row],[Code]],Locaties[#All],5,FALSE)</f>
        <v>7131 XM </v>
      </c>
      <c r="E304" s="241" t="str">
        <f>VLOOKUP(Ruimtestaat[[#This Row],[Code]],Locaties[#All],6,FALSE)</f>
        <v>Lichtenvoorde</v>
      </c>
      <c r="F304" s="195"/>
      <c r="G304" s="211" t="s">
        <v>768</v>
      </c>
      <c r="H304" s="195" t="s">
        <v>739</v>
      </c>
      <c r="I304" s="242" t="s">
        <v>449</v>
      </c>
      <c r="J304" s="195">
        <v>2</v>
      </c>
      <c r="K304" s="260" t="str">
        <f>VLOOKUP(Ruimtestaat[[#This Row],[Ruimte code]],Ruimtegroepen[#All],2,FALSE)</f>
        <v>Kantoren</v>
      </c>
      <c r="L304" s="211" t="s">
        <v>109</v>
      </c>
      <c r="M304" s="195" t="s">
        <v>38</v>
      </c>
      <c r="N304" s="197">
        <v>20.68</v>
      </c>
      <c r="O304" s="209"/>
      <c r="P304" s="241" t="str">
        <f>VLOOKUP(Ruimtestaat[[#This Row],[Ruimte code]],Ruimtegroepen[#All],4,FALSE)</f>
        <v>B  (Bureauruimte)</v>
      </c>
      <c r="Q304" s="210"/>
      <c r="R304" s="211">
        <v>40</v>
      </c>
      <c r="S304" s="211" t="s">
        <v>18</v>
      </c>
      <c r="T304" s="211">
        <f>IF(R304&gt;0,IF(RIGHT(Ruimtestaat[[#This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U304" s="211">
        <f>IF(T304&gt;0,VLOOKUP($J304,Ruimtegroepen[],3,FALSE)*VLOOKUP($L304,Vloersoorten[],3,FALSE)*VLOOKUP($S304,Frequenties[],3,FALSE)*VLOOKUP($A304,Locaties[],3,FALSE),0)</f>
        <v>100</v>
      </c>
      <c r="V304" s="211">
        <f>Ruimtestaat[[#This Row],[Uitvoeringen werkdagen]]*Ruimtestaat[[#This Row],[Oppervlak (netto)]]</f>
        <v>2481.6</v>
      </c>
      <c r="W304" s="257">
        <f>IF(U304&gt;0,Ruimtestaat[[#This Row],[Prest. (m2 /jaar) werkdagen]]/Ruimtestaat[[#This Row],[Norm (m2/uur) werkdagen]],0)</f>
        <v>24.815999999999999</v>
      </c>
      <c r="X304" s="258">
        <f>Ruimtestaat[[#This Row],[uren / jaar werkdagen]]*Tariefsopbouw!$D$38</f>
        <v>620.4</v>
      </c>
      <c r="Y304" s="33"/>
      <c r="Z304" s="33">
        <f>IF(Ruimtestaat[[#This Row],[Frequentie weekend]]&gt;0,VALUE(LEFT(Y304,1))*R304,0)</f>
        <v>0</v>
      </c>
      <c r="AA304" s="33">
        <f>IF($Z304&gt;0,VLOOKUP($J304,Ruimtegroepen[],3,FALSE)*VLOOKUP($L304,Vloersoorten[],3,FALSE)*VLOOKUP($Y304,Frequenties[],3,FALSE)*VLOOKUP(#REF!,Locaties[],3,FALSE),0)</f>
        <v>0</v>
      </c>
      <c r="AB304" s="33"/>
      <c r="AC304" s="33"/>
      <c r="AD304" s="33">
        <f>Ruimtestaat[[#This Row],[uren / jaar weekend]]*Tariefsopbouw!$D$40</f>
        <v>0</v>
      </c>
      <c r="AE304" s="88">
        <f>Ruimtestaat[[#This Row],[Prest. (m2 /jaar) weekend]]+Ruimtestaat[[#This Row],[Prest. (m2 /jaar) werkdagen]]</f>
        <v>2481.6</v>
      </c>
      <c r="AF304" s="88">
        <f>Ruimtestaat[[#This Row],[uren / jaar weekend]]+Ruimtestaat[[#This Row],[uren / jaar werkdagen]]</f>
        <v>24.815999999999999</v>
      </c>
      <c r="AG304" s="89">
        <f>Ruimtestaat[[#This Row],[kosten / jaar weekend]]+Ruimtestaat[[#This Row],[kosten / jaar werkdagen]]</f>
        <v>620.4</v>
      </c>
    </row>
    <row r="305" spans="1:33" ht="15" customHeight="1">
      <c r="A305" s="195">
        <v>3</v>
      </c>
      <c r="B305" s="195" t="str">
        <f>VLOOKUP(Ruimtestaat[[#This Row],[Code]],Locaties[#All],2,FALSE)</f>
        <v>Lichtenvoorde gebouw 1</v>
      </c>
      <c r="C305" s="241" t="str">
        <f>VLOOKUP(Ruimtestaat[[#This Row],[Code]],Locaties[#All],4,FALSE)</f>
        <v>Dr Ariensstraat 1</v>
      </c>
      <c r="D305" s="241" t="str">
        <f>VLOOKUP(Ruimtestaat[[#This Row],[Code]],Locaties[#All],5,FALSE)</f>
        <v>7131 XM </v>
      </c>
      <c r="E305" s="241" t="str">
        <f>VLOOKUP(Ruimtestaat[[#This Row],[Code]],Locaties[#All],6,FALSE)</f>
        <v>Lichtenvoorde</v>
      </c>
      <c r="F305" s="195"/>
      <c r="G305" s="211" t="s">
        <v>768</v>
      </c>
      <c r="H305" s="195" t="s">
        <v>740</v>
      </c>
      <c r="I305" s="242" t="s">
        <v>839</v>
      </c>
      <c r="J305" s="195">
        <v>2</v>
      </c>
      <c r="K305" s="260" t="str">
        <f>VLOOKUP(Ruimtestaat[[#This Row],[Ruimte code]],Ruimtegroepen[#All],2,FALSE)</f>
        <v>Kantoren</v>
      </c>
      <c r="L305" s="211" t="s">
        <v>109</v>
      </c>
      <c r="M305" s="195" t="s">
        <v>38</v>
      </c>
      <c r="N305" s="197">
        <v>19.52</v>
      </c>
      <c r="O305" s="209"/>
      <c r="P305" s="241" t="str">
        <f>VLOOKUP(Ruimtestaat[[#This Row],[Ruimte code]],Ruimtegroepen[#All],4,FALSE)</f>
        <v>B  (Bureauruimte)</v>
      </c>
      <c r="Q305" s="210"/>
      <c r="R305" s="211">
        <v>40</v>
      </c>
      <c r="S305" s="211" t="s">
        <v>18</v>
      </c>
      <c r="T305" s="211">
        <f>IF(R305&gt;0,IF(RIGHT(Ruimtestaat[[#This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U305" s="211">
        <f>IF(T305&gt;0,VLOOKUP($J305,Ruimtegroepen[],3,FALSE)*VLOOKUP($L305,Vloersoorten[],3,FALSE)*VLOOKUP($S305,Frequenties[],3,FALSE)*VLOOKUP($A305,Locaties[],3,FALSE),0)</f>
        <v>100</v>
      </c>
      <c r="V305" s="211">
        <f>Ruimtestaat[[#This Row],[Uitvoeringen werkdagen]]*Ruimtestaat[[#This Row],[Oppervlak (netto)]]</f>
        <v>2342.4</v>
      </c>
      <c r="W305" s="257">
        <f>IF(U305&gt;0,Ruimtestaat[[#This Row],[Prest. (m2 /jaar) werkdagen]]/Ruimtestaat[[#This Row],[Norm (m2/uur) werkdagen]],0)</f>
        <v>23.423999999999999</v>
      </c>
      <c r="X305" s="258">
        <f>Ruimtestaat[[#This Row],[uren / jaar werkdagen]]*Tariefsopbouw!$D$38</f>
        <v>585.6</v>
      </c>
      <c r="Y305" s="33"/>
      <c r="Z305" s="33">
        <f>IF(Ruimtestaat[[#This Row],[Frequentie weekend]]&gt;0,VALUE(LEFT(Y305,1))*R305,0)</f>
        <v>0</v>
      </c>
      <c r="AA305" s="33">
        <f>IF($Z305&gt;0,VLOOKUP($J305,Ruimtegroepen[],3,FALSE)*VLOOKUP($L305,Vloersoorten[],3,FALSE)*VLOOKUP($Y305,Frequenties[],3,FALSE)*VLOOKUP(#REF!,Locaties[],3,FALSE),0)</f>
        <v>0</v>
      </c>
      <c r="AB305" s="33"/>
      <c r="AC305" s="33"/>
      <c r="AD305" s="33">
        <f>Ruimtestaat[[#This Row],[uren / jaar weekend]]*Tariefsopbouw!$D$40</f>
        <v>0</v>
      </c>
      <c r="AE305" s="88">
        <f>Ruimtestaat[[#This Row],[Prest. (m2 /jaar) weekend]]+Ruimtestaat[[#This Row],[Prest. (m2 /jaar) werkdagen]]</f>
        <v>2342.4</v>
      </c>
      <c r="AF305" s="88">
        <f>Ruimtestaat[[#This Row],[uren / jaar weekend]]+Ruimtestaat[[#This Row],[uren / jaar werkdagen]]</f>
        <v>23.423999999999999</v>
      </c>
      <c r="AG305" s="89">
        <f>Ruimtestaat[[#This Row],[kosten / jaar weekend]]+Ruimtestaat[[#This Row],[kosten / jaar werkdagen]]</f>
        <v>585.6</v>
      </c>
    </row>
    <row r="306" spans="1:33" ht="15" customHeight="1">
      <c r="A306" s="195">
        <v>3</v>
      </c>
      <c r="B306" s="195" t="str">
        <f>VLOOKUP(Ruimtestaat[[#This Row],[Code]],Locaties[#All],2,FALSE)</f>
        <v>Lichtenvoorde gebouw 1</v>
      </c>
      <c r="C306" s="241" t="str">
        <f>VLOOKUP(Ruimtestaat[[#This Row],[Code]],Locaties[#All],4,FALSE)</f>
        <v>Dr Ariensstraat 1</v>
      </c>
      <c r="D306" s="241" t="str">
        <f>VLOOKUP(Ruimtestaat[[#This Row],[Code]],Locaties[#All],5,FALSE)</f>
        <v>7131 XM </v>
      </c>
      <c r="E306" s="241" t="str">
        <f>VLOOKUP(Ruimtestaat[[#This Row],[Code]],Locaties[#All],6,FALSE)</f>
        <v>Lichtenvoorde</v>
      </c>
      <c r="F306" s="195"/>
      <c r="G306" s="211" t="s">
        <v>768</v>
      </c>
      <c r="H306" s="195" t="s">
        <v>741</v>
      </c>
      <c r="I306" s="242" t="s">
        <v>827</v>
      </c>
      <c r="J306" s="195">
        <v>20</v>
      </c>
      <c r="K306" s="260" t="str">
        <f>VLOOKUP(Ruimtestaat[[#This Row],[Ruimte code]],Ruimtegroepen[#All],2,FALSE)</f>
        <v>Beroepspraktijklokalen</v>
      </c>
      <c r="L306" s="211" t="s">
        <v>110</v>
      </c>
      <c r="M306" s="195" t="s">
        <v>133</v>
      </c>
      <c r="N306" s="197">
        <v>137.05000000000001</v>
      </c>
      <c r="O306" s="209"/>
      <c r="P306" s="241" t="str">
        <f>VLOOKUP(Ruimtestaat[[#This Row],[Ruimte code]],Ruimtegroepen[#All],4,FALSE)</f>
        <v>L  (Lesruimte)</v>
      </c>
      <c r="Q306" s="210"/>
      <c r="R306" s="211">
        <v>40</v>
      </c>
      <c r="S306" s="211" t="s">
        <v>2</v>
      </c>
      <c r="T306" s="211">
        <f>IF(R306&gt;0,IF(RIGHT(Ruimtestaat[[#This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06" s="211">
        <f>IF(T306&gt;0,VLOOKUP($J306,Ruimtegroepen[],3,FALSE)*VLOOKUP($L306,Vloersoorten[],3,FALSE)*VLOOKUP($S306,Frequenties[],3,FALSE)*VLOOKUP($A306,Locaties[],3,FALSE),0)</f>
        <v>100</v>
      </c>
      <c r="V306" s="211">
        <f>Ruimtestaat[[#This Row],[Uitvoeringen werkdagen]]*Ruimtestaat[[#This Row],[Oppervlak (netto)]]</f>
        <v>27410.000000000004</v>
      </c>
      <c r="W306" s="257">
        <f>IF(U306&gt;0,Ruimtestaat[[#This Row],[Prest. (m2 /jaar) werkdagen]]/Ruimtestaat[[#This Row],[Norm (m2/uur) werkdagen]],0)</f>
        <v>274.10000000000002</v>
      </c>
      <c r="X306" s="258">
        <f>Ruimtestaat[[#This Row],[uren / jaar werkdagen]]*Tariefsopbouw!$D$38</f>
        <v>6852.5000000000009</v>
      </c>
      <c r="Y306" s="33"/>
      <c r="Z306" s="33">
        <f>IF(Ruimtestaat[[#This Row],[Frequentie weekend]]&gt;0,VALUE(LEFT(Y306,1))*R306,0)</f>
        <v>0</v>
      </c>
      <c r="AA306" s="33">
        <f>IF($Z306&gt;0,VLOOKUP($J306,Ruimtegroepen[],3,FALSE)*VLOOKUP($L306,Vloersoorten[],3,FALSE)*VLOOKUP($Y306,Frequenties[],3,FALSE)*VLOOKUP(#REF!,Locaties[],3,FALSE),0)</f>
        <v>0</v>
      </c>
      <c r="AB306" s="33"/>
      <c r="AC306" s="33"/>
      <c r="AD306" s="33">
        <f>Ruimtestaat[[#This Row],[uren / jaar weekend]]*Tariefsopbouw!$D$40</f>
        <v>0</v>
      </c>
      <c r="AE306" s="88">
        <f>Ruimtestaat[[#This Row],[Prest. (m2 /jaar) weekend]]+Ruimtestaat[[#This Row],[Prest. (m2 /jaar) werkdagen]]</f>
        <v>27410.000000000004</v>
      </c>
      <c r="AF306" s="88">
        <f>Ruimtestaat[[#This Row],[uren / jaar weekend]]+Ruimtestaat[[#This Row],[uren / jaar werkdagen]]</f>
        <v>274.10000000000002</v>
      </c>
      <c r="AG306" s="89">
        <f>Ruimtestaat[[#This Row],[kosten / jaar weekend]]+Ruimtestaat[[#This Row],[kosten / jaar werkdagen]]</f>
        <v>6852.5000000000009</v>
      </c>
    </row>
    <row r="307" spans="1:33" ht="15" customHeight="1">
      <c r="A307" s="195">
        <v>3</v>
      </c>
      <c r="B307" s="195" t="str">
        <f>VLOOKUP(Ruimtestaat[[#This Row],[Code]],Locaties[#All],2,FALSE)</f>
        <v>Lichtenvoorde gebouw 1</v>
      </c>
      <c r="C307" s="241" t="str">
        <f>VLOOKUP(Ruimtestaat[[#This Row],[Code]],Locaties[#All],4,FALSE)</f>
        <v>Dr Ariensstraat 1</v>
      </c>
      <c r="D307" s="241" t="str">
        <f>VLOOKUP(Ruimtestaat[[#This Row],[Code]],Locaties[#All],5,FALSE)</f>
        <v>7131 XM </v>
      </c>
      <c r="E307" s="241" t="str">
        <f>VLOOKUP(Ruimtestaat[[#This Row],[Code]],Locaties[#All],6,FALSE)</f>
        <v>Lichtenvoorde</v>
      </c>
      <c r="F307" s="195"/>
      <c r="G307" s="211" t="s">
        <v>768</v>
      </c>
      <c r="H307" s="195" t="s">
        <v>742</v>
      </c>
      <c r="I307" s="242" t="s">
        <v>382</v>
      </c>
      <c r="J307" s="195">
        <v>6</v>
      </c>
      <c r="K307" s="260" t="str">
        <f>VLOOKUP(Ruimtestaat[[#This Row],[Ruimte code]],Ruimtegroepen[#All],2,FALSE)</f>
        <v>Gangen/hallen</v>
      </c>
      <c r="L307" s="211" t="s">
        <v>110</v>
      </c>
      <c r="M307" s="195" t="s">
        <v>133</v>
      </c>
      <c r="N307" s="197">
        <v>56.97</v>
      </c>
      <c r="O307" s="209"/>
      <c r="P307" s="241" t="str">
        <f>VLOOKUP(Ruimtestaat[[#This Row],[Ruimte code]],Ruimtegroepen[#All],4,FALSE)</f>
        <v>V  (Verkeersruimte)</v>
      </c>
      <c r="Q307" s="210"/>
      <c r="R307" s="211">
        <v>40</v>
      </c>
      <c r="S307" s="211" t="s">
        <v>2</v>
      </c>
      <c r="T307" s="211">
        <f>IF(R307&gt;0,IF(RIGHT(Ruimtestaat[[#This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07" s="211">
        <f>IF(T307&gt;0,VLOOKUP($J307,Ruimtegroepen[],3,FALSE)*VLOOKUP($L307,Vloersoorten[],3,FALSE)*VLOOKUP($S307,Frequenties[],3,FALSE)*VLOOKUP($A307,Locaties[],3,FALSE),0)</f>
        <v>100</v>
      </c>
      <c r="V307" s="211">
        <f>Ruimtestaat[[#This Row],[Uitvoeringen werkdagen]]*Ruimtestaat[[#This Row],[Oppervlak (netto)]]</f>
        <v>11394</v>
      </c>
      <c r="W307" s="257">
        <f>IF(U307&gt;0,Ruimtestaat[[#This Row],[Prest. (m2 /jaar) werkdagen]]/Ruimtestaat[[#This Row],[Norm (m2/uur) werkdagen]],0)</f>
        <v>113.94</v>
      </c>
      <c r="X307" s="258">
        <f>Ruimtestaat[[#This Row],[uren / jaar werkdagen]]*Tariefsopbouw!$D$38</f>
        <v>2848.5</v>
      </c>
      <c r="Y307" s="33"/>
      <c r="Z307" s="33">
        <f>IF(Ruimtestaat[[#This Row],[Frequentie weekend]]&gt;0,VALUE(LEFT(Y307,1))*R307,0)</f>
        <v>0</v>
      </c>
      <c r="AA307" s="33">
        <f>IF($Z307&gt;0,VLOOKUP($J307,Ruimtegroepen[],3,FALSE)*VLOOKUP($L307,Vloersoorten[],3,FALSE)*VLOOKUP($Y307,Frequenties[],3,FALSE)*VLOOKUP(#REF!,Locaties[],3,FALSE),0)</f>
        <v>0</v>
      </c>
      <c r="AB307" s="33"/>
      <c r="AC307" s="33"/>
      <c r="AD307" s="33">
        <f>Ruimtestaat[[#This Row],[uren / jaar weekend]]*Tariefsopbouw!$D$40</f>
        <v>0</v>
      </c>
      <c r="AE307" s="88">
        <f>Ruimtestaat[[#This Row],[Prest. (m2 /jaar) weekend]]+Ruimtestaat[[#This Row],[Prest. (m2 /jaar) werkdagen]]</f>
        <v>11394</v>
      </c>
      <c r="AF307" s="88">
        <f>Ruimtestaat[[#This Row],[uren / jaar weekend]]+Ruimtestaat[[#This Row],[uren / jaar werkdagen]]</f>
        <v>113.94</v>
      </c>
      <c r="AG307" s="89">
        <f>Ruimtestaat[[#This Row],[kosten / jaar weekend]]+Ruimtestaat[[#This Row],[kosten / jaar werkdagen]]</f>
        <v>2848.5</v>
      </c>
    </row>
    <row r="308" spans="1:33" ht="15" customHeight="1">
      <c r="A308" s="195">
        <v>3</v>
      </c>
      <c r="B308" s="195" t="str">
        <f>VLOOKUP(Ruimtestaat[[#This Row],[Code]],Locaties[#All],2,FALSE)</f>
        <v>Lichtenvoorde gebouw 1</v>
      </c>
      <c r="C308" s="241" t="str">
        <f>VLOOKUP(Ruimtestaat[[#This Row],[Code]],Locaties[#All],4,FALSE)</f>
        <v>Dr Ariensstraat 1</v>
      </c>
      <c r="D308" s="241" t="str">
        <f>VLOOKUP(Ruimtestaat[[#This Row],[Code]],Locaties[#All],5,FALSE)</f>
        <v>7131 XM </v>
      </c>
      <c r="E308" s="241" t="str">
        <f>VLOOKUP(Ruimtestaat[[#This Row],[Code]],Locaties[#All],6,FALSE)</f>
        <v>Lichtenvoorde</v>
      </c>
      <c r="F308" s="195"/>
      <c r="G308" s="211" t="s">
        <v>768</v>
      </c>
      <c r="H308" s="211" t="s">
        <v>743</v>
      </c>
      <c r="I308" s="256" t="s">
        <v>827</v>
      </c>
      <c r="J308" s="195">
        <v>20</v>
      </c>
      <c r="K308" s="262" t="str">
        <f>VLOOKUP(Ruimtestaat[[#This Row],[Ruimte code]],Ruimtegroepen[#All],2,FALSE)</f>
        <v>Beroepspraktijklokalen</v>
      </c>
      <c r="L308" s="195" t="s">
        <v>110</v>
      </c>
      <c r="M308" s="195" t="s">
        <v>133</v>
      </c>
      <c r="N308" s="197">
        <v>21.45</v>
      </c>
      <c r="O308" s="209"/>
      <c r="P308" s="241" t="str">
        <f>VLOOKUP(Ruimtestaat[[#This Row],[Ruimte code]],Ruimtegroepen[#All],4,FALSE)</f>
        <v>L  (Lesruimte)</v>
      </c>
      <c r="Q308" s="210"/>
      <c r="R308" s="211">
        <v>40</v>
      </c>
      <c r="S308" s="211" t="s">
        <v>2</v>
      </c>
      <c r="T308" s="211">
        <f>IF(R308&gt;0,IF(RIGHT(Ruimtestaat[[#This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08" s="211">
        <f>IF(T308&gt;0,VLOOKUP($J308,Ruimtegroepen[],3,FALSE)*VLOOKUP($L308,Vloersoorten[],3,FALSE)*VLOOKUP($S308,Frequenties[],3,FALSE)*VLOOKUP($A308,Locaties[],3,FALSE),0)</f>
        <v>100</v>
      </c>
      <c r="V308" s="211">
        <f>Ruimtestaat[[#This Row],[Uitvoeringen werkdagen]]*Ruimtestaat[[#This Row],[Oppervlak (netto)]]</f>
        <v>4290</v>
      </c>
      <c r="W308" s="257">
        <f>IF(U308&gt;0,Ruimtestaat[[#This Row],[Prest. (m2 /jaar) werkdagen]]/Ruimtestaat[[#This Row],[Norm (m2/uur) werkdagen]],0)</f>
        <v>42.9</v>
      </c>
      <c r="X308" s="258">
        <f>Ruimtestaat[[#This Row],[uren / jaar werkdagen]]*Tariefsopbouw!$D$38</f>
        <v>1072.5</v>
      </c>
      <c r="Y308" s="33"/>
      <c r="Z308" s="33">
        <f>IF(Ruimtestaat[[#This Row],[Frequentie weekend]]&gt;0,VALUE(LEFT(Y308,1))*R308,0)</f>
        <v>0</v>
      </c>
      <c r="AA308" s="33">
        <f>IF($Z308&gt;0,VLOOKUP($J308,Ruimtegroepen[],3,FALSE)*VLOOKUP($L308,Vloersoorten[],3,FALSE)*VLOOKUP($Y308,Frequenties[],3,FALSE)*VLOOKUP(#REF!,Locaties[],3,FALSE),0)</f>
        <v>0</v>
      </c>
      <c r="AB308" s="33"/>
      <c r="AC308" s="33"/>
      <c r="AD308" s="33">
        <f>Ruimtestaat[[#This Row],[uren / jaar weekend]]*Tariefsopbouw!$D$40</f>
        <v>0</v>
      </c>
      <c r="AE308" s="88">
        <f>Ruimtestaat[[#This Row],[Prest. (m2 /jaar) weekend]]+Ruimtestaat[[#This Row],[Prest. (m2 /jaar) werkdagen]]</f>
        <v>4290</v>
      </c>
      <c r="AF308" s="88">
        <f>Ruimtestaat[[#This Row],[uren / jaar weekend]]+Ruimtestaat[[#This Row],[uren / jaar werkdagen]]</f>
        <v>42.9</v>
      </c>
      <c r="AG308" s="89">
        <f>Ruimtestaat[[#This Row],[kosten / jaar weekend]]+Ruimtestaat[[#This Row],[kosten / jaar werkdagen]]</f>
        <v>1072.5</v>
      </c>
    </row>
    <row r="309" spans="1:33" ht="15" customHeight="1">
      <c r="A309" s="195">
        <v>3</v>
      </c>
      <c r="B309" s="195" t="str">
        <f>VLOOKUP(Ruimtestaat[[#This Row],[Code]],Locaties[#All],2,FALSE)</f>
        <v>Lichtenvoorde gebouw 1</v>
      </c>
      <c r="C309" s="241" t="str">
        <f>VLOOKUP(Ruimtestaat[[#This Row],[Code]],Locaties[#All],4,FALSE)</f>
        <v>Dr Ariensstraat 1</v>
      </c>
      <c r="D309" s="241" t="str">
        <f>VLOOKUP(Ruimtestaat[[#This Row],[Code]],Locaties[#All],5,FALSE)</f>
        <v>7131 XM </v>
      </c>
      <c r="E309" s="241" t="str">
        <f>VLOOKUP(Ruimtestaat[[#This Row],[Code]],Locaties[#All],6,FALSE)</f>
        <v>Lichtenvoorde</v>
      </c>
      <c r="F309" s="195"/>
      <c r="G309" s="211" t="s">
        <v>768</v>
      </c>
      <c r="H309" s="195" t="s">
        <v>744</v>
      </c>
      <c r="I309" s="242" t="s">
        <v>840</v>
      </c>
      <c r="J309" s="195">
        <v>20</v>
      </c>
      <c r="K309" s="260" t="str">
        <f>VLOOKUP(Ruimtestaat[[#This Row],[Ruimte code]],Ruimtegroepen[#All],2,FALSE)</f>
        <v>Beroepspraktijklokalen</v>
      </c>
      <c r="L309" s="211" t="s">
        <v>110</v>
      </c>
      <c r="M309" s="195" t="s">
        <v>133</v>
      </c>
      <c r="N309" s="197">
        <v>31.68</v>
      </c>
      <c r="O309" s="209"/>
      <c r="P309" s="241" t="str">
        <f>VLOOKUP(Ruimtestaat[[#This Row],[Ruimte code]],Ruimtegroepen[#All],4,FALSE)</f>
        <v>L  (Lesruimte)</v>
      </c>
      <c r="Q309" s="210"/>
      <c r="R309" s="211">
        <v>40</v>
      </c>
      <c r="S309" s="211" t="s">
        <v>2</v>
      </c>
      <c r="T309" s="211">
        <f>IF(R309&gt;0,IF(RIGHT(Ruimtestaat[[#This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09" s="211">
        <f>IF(T309&gt;0,VLOOKUP($J309,Ruimtegroepen[],3,FALSE)*VLOOKUP($L309,Vloersoorten[],3,FALSE)*VLOOKUP($S309,Frequenties[],3,FALSE)*VLOOKUP($A309,Locaties[],3,FALSE),0)</f>
        <v>100</v>
      </c>
      <c r="V309" s="211">
        <f>Ruimtestaat[[#This Row],[Uitvoeringen werkdagen]]*Ruimtestaat[[#This Row],[Oppervlak (netto)]]</f>
        <v>6336</v>
      </c>
      <c r="W309" s="257">
        <f>IF(U309&gt;0,Ruimtestaat[[#This Row],[Prest. (m2 /jaar) werkdagen]]/Ruimtestaat[[#This Row],[Norm (m2/uur) werkdagen]],0)</f>
        <v>63.36</v>
      </c>
      <c r="X309" s="258">
        <f>Ruimtestaat[[#This Row],[uren / jaar werkdagen]]*Tariefsopbouw!$D$38</f>
        <v>1584</v>
      </c>
      <c r="Y309" s="33"/>
      <c r="Z309" s="33">
        <f>IF(Ruimtestaat[[#This Row],[Frequentie weekend]]&gt;0,VALUE(LEFT(Y309,1))*R309,0)</f>
        <v>0</v>
      </c>
      <c r="AA309" s="33">
        <f>IF($Z309&gt;0,VLOOKUP($J309,Ruimtegroepen[],3,FALSE)*VLOOKUP($L309,Vloersoorten[],3,FALSE)*VLOOKUP($Y309,Frequenties[],3,FALSE)*VLOOKUP(#REF!,Locaties[],3,FALSE),0)</f>
        <v>0</v>
      </c>
      <c r="AB309" s="33"/>
      <c r="AC309" s="33"/>
      <c r="AD309" s="33">
        <f>Ruimtestaat[[#This Row],[uren / jaar weekend]]*Tariefsopbouw!$D$40</f>
        <v>0</v>
      </c>
      <c r="AE309" s="88">
        <f>Ruimtestaat[[#This Row],[Prest. (m2 /jaar) weekend]]+Ruimtestaat[[#This Row],[Prest. (m2 /jaar) werkdagen]]</f>
        <v>6336</v>
      </c>
      <c r="AF309" s="88">
        <f>Ruimtestaat[[#This Row],[uren / jaar weekend]]+Ruimtestaat[[#This Row],[uren / jaar werkdagen]]</f>
        <v>63.36</v>
      </c>
      <c r="AG309" s="89">
        <f>Ruimtestaat[[#This Row],[kosten / jaar weekend]]+Ruimtestaat[[#This Row],[kosten / jaar werkdagen]]</f>
        <v>1584</v>
      </c>
    </row>
    <row r="310" spans="1:33" ht="15" customHeight="1">
      <c r="A310" s="195">
        <v>3</v>
      </c>
      <c r="B310" s="195" t="str">
        <f>VLOOKUP(Ruimtestaat[[#This Row],[Code]],Locaties[#All],2,FALSE)</f>
        <v>Lichtenvoorde gebouw 1</v>
      </c>
      <c r="C310" s="241" t="str">
        <f>VLOOKUP(Ruimtestaat[[#This Row],[Code]],Locaties[#All],4,FALSE)</f>
        <v>Dr Ariensstraat 1</v>
      </c>
      <c r="D310" s="241" t="str">
        <f>VLOOKUP(Ruimtestaat[[#This Row],[Code]],Locaties[#All],5,FALSE)</f>
        <v>7131 XM </v>
      </c>
      <c r="E310" s="241" t="str">
        <f>VLOOKUP(Ruimtestaat[[#This Row],[Code]],Locaties[#All],6,FALSE)</f>
        <v>Lichtenvoorde</v>
      </c>
      <c r="F310" s="195"/>
      <c r="G310" s="211" t="s">
        <v>768</v>
      </c>
      <c r="H310" s="195" t="s">
        <v>745</v>
      </c>
      <c r="I310" s="242" t="s">
        <v>441</v>
      </c>
      <c r="J310" s="195">
        <v>1</v>
      </c>
      <c r="K310" s="260" t="str">
        <f>VLOOKUP(Ruimtestaat[[#This Row],[Ruimte code]],Ruimtegroepen[#All],2,FALSE)</f>
        <v>Magazijnen/bergingen</v>
      </c>
      <c r="L310" s="211" t="s">
        <v>110</v>
      </c>
      <c r="M310" s="195" t="s">
        <v>133</v>
      </c>
      <c r="N310" s="197">
        <v>11.31</v>
      </c>
      <c r="O310" s="209"/>
      <c r="P310" s="241" t="str">
        <f>VLOOKUP(Ruimtestaat[[#This Row],[Ruimte code]],Ruimtegroepen[#All],4,FALSE)</f>
        <v>V  (Verkeersruimte)</v>
      </c>
      <c r="Q310" s="210"/>
      <c r="R310" s="211">
        <v>40</v>
      </c>
      <c r="S310" s="211" t="s">
        <v>16</v>
      </c>
      <c r="T310" s="211">
        <f>IF(R310&gt;0,IF(RIGHT(Ruimtestaat[[#This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U310" s="211">
        <f>IF(T310&gt;0,VLOOKUP($J310,Ruimtegroepen[],3,FALSE)*VLOOKUP($L310,Vloersoorten[],3,FALSE)*VLOOKUP($S310,Frequenties[],3,FALSE)*VLOOKUP($A310,Locaties[],3,FALSE),0)</f>
        <v>100</v>
      </c>
      <c r="V310" s="211">
        <f>Ruimtestaat[[#This Row],[Uitvoeringen werkdagen]]*Ruimtestaat[[#This Row],[Oppervlak (netto)]]</f>
        <v>135.72</v>
      </c>
      <c r="W310" s="257">
        <f>IF(U310&gt;0,Ruimtestaat[[#This Row],[Prest. (m2 /jaar) werkdagen]]/Ruimtestaat[[#This Row],[Norm (m2/uur) werkdagen]],0)</f>
        <v>1.3572</v>
      </c>
      <c r="X310" s="258">
        <f>Ruimtestaat[[#This Row],[uren / jaar werkdagen]]*Tariefsopbouw!$D$38</f>
        <v>33.93</v>
      </c>
      <c r="Y310" s="33"/>
      <c r="Z310" s="33">
        <f>IF(Ruimtestaat[[#This Row],[Frequentie weekend]]&gt;0,VALUE(LEFT(Y310,1))*R310,0)</f>
        <v>0</v>
      </c>
      <c r="AA310" s="33">
        <f>IF($Z310&gt;0,VLOOKUP($J310,Ruimtegroepen[],3,FALSE)*VLOOKUP($L310,Vloersoorten[],3,FALSE)*VLOOKUP($Y310,Frequenties[],3,FALSE)*VLOOKUP(#REF!,Locaties[],3,FALSE),0)</f>
        <v>0</v>
      </c>
      <c r="AB310" s="33"/>
      <c r="AC310" s="33"/>
      <c r="AD310" s="33">
        <f>Ruimtestaat[[#This Row],[uren / jaar weekend]]*Tariefsopbouw!$D$40</f>
        <v>0</v>
      </c>
      <c r="AE310" s="88">
        <f>Ruimtestaat[[#This Row],[Prest. (m2 /jaar) weekend]]+Ruimtestaat[[#This Row],[Prest. (m2 /jaar) werkdagen]]</f>
        <v>135.72</v>
      </c>
      <c r="AF310" s="88">
        <f>Ruimtestaat[[#This Row],[uren / jaar weekend]]+Ruimtestaat[[#This Row],[uren / jaar werkdagen]]</f>
        <v>1.3572</v>
      </c>
      <c r="AG310" s="89">
        <f>Ruimtestaat[[#This Row],[kosten / jaar weekend]]+Ruimtestaat[[#This Row],[kosten / jaar werkdagen]]</f>
        <v>33.93</v>
      </c>
    </row>
    <row r="311" spans="1:33" ht="15" customHeight="1">
      <c r="A311" s="195">
        <v>3</v>
      </c>
      <c r="B311" s="195" t="str">
        <f>VLOOKUP(Ruimtestaat[[#This Row],[Code]],Locaties[#All],2,FALSE)</f>
        <v>Lichtenvoorde gebouw 1</v>
      </c>
      <c r="C311" s="241" t="str">
        <f>VLOOKUP(Ruimtestaat[[#This Row],[Code]],Locaties[#All],4,FALSE)</f>
        <v>Dr Ariensstraat 1</v>
      </c>
      <c r="D311" s="241" t="str">
        <f>VLOOKUP(Ruimtestaat[[#This Row],[Code]],Locaties[#All],5,FALSE)</f>
        <v>7131 XM </v>
      </c>
      <c r="E311" s="241" t="str">
        <f>VLOOKUP(Ruimtestaat[[#This Row],[Code]],Locaties[#All],6,FALSE)</f>
        <v>Lichtenvoorde</v>
      </c>
      <c r="F311" s="195"/>
      <c r="G311" s="211" t="s">
        <v>768</v>
      </c>
      <c r="H311" s="195" t="s">
        <v>746</v>
      </c>
      <c r="I311" s="242" t="s">
        <v>601</v>
      </c>
      <c r="J311" s="195">
        <v>21</v>
      </c>
      <c r="K311" s="260" t="str">
        <f>VLOOKUP(Ruimtestaat[[#This Row],[Ruimte code]],Ruimtegroepen[#All],2,FALSE)</f>
        <v>Niet in onderhoud</v>
      </c>
      <c r="L311" s="211"/>
      <c r="M311" s="195"/>
      <c r="N311" s="197"/>
      <c r="O311" s="209">
        <v>10.72</v>
      </c>
      <c r="P311" s="241" t="str">
        <f>VLOOKUP(Ruimtestaat[[#This Row],[Ruimte code]],Ruimtegroepen[#All],4,FALSE)</f>
        <v>Niet in onderhoud</v>
      </c>
      <c r="Q311" s="210"/>
      <c r="R311" s="211"/>
      <c r="S311" s="211"/>
      <c r="T311" s="211">
        <f>IF(R311&gt;0,IF(RIGHT(Ruimtestaat[[#This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311" s="211">
        <f>IF(T311&gt;0,VLOOKUP($J311,Ruimtegroepen[],3,FALSE)*VLOOKUP($L311,Vloersoorten[],3,FALSE)*VLOOKUP($S311,Frequenties[],3,FALSE)*VLOOKUP($A311,Locaties[],3,FALSE),0)</f>
        <v>0</v>
      </c>
      <c r="V311" s="211">
        <f>Ruimtestaat[[#This Row],[Uitvoeringen werkdagen]]*Ruimtestaat[[#This Row],[Oppervlak (netto)]]</f>
        <v>0</v>
      </c>
      <c r="W311" s="257">
        <f>IF(U311&gt;0,Ruimtestaat[[#This Row],[Prest. (m2 /jaar) werkdagen]]/Ruimtestaat[[#This Row],[Norm (m2/uur) werkdagen]],0)</f>
        <v>0</v>
      </c>
      <c r="X311" s="258">
        <f>Ruimtestaat[[#This Row],[uren / jaar werkdagen]]*Tariefsopbouw!$D$38</f>
        <v>0</v>
      </c>
      <c r="Y311" s="33"/>
      <c r="Z311" s="33">
        <f>IF(Ruimtestaat[[#This Row],[Frequentie weekend]]&gt;0,VALUE(LEFT(Y311,1))*R311,0)</f>
        <v>0</v>
      </c>
      <c r="AA311" s="33">
        <f>IF($Z311&gt;0,VLOOKUP($J311,Ruimtegroepen[],3,FALSE)*VLOOKUP($L311,Vloersoorten[],3,FALSE)*VLOOKUP($Y311,Frequenties[],3,FALSE)*VLOOKUP(#REF!,Locaties[],3,FALSE),0)</f>
        <v>0</v>
      </c>
      <c r="AB311" s="33"/>
      <c r="AC311" s="33"/>
      <c r="AD311" s="33">
        <f>Ruimtestaat[[#This Row],[uren / jaar weekend]]*Tariefsopbouw!$D$40</f>
        <v>0</v>
      </c>
      <c r="AE311" s="88">
        <f>Ruimtestaat[[#This Row],[Prest. (m2 /jaar) weekend]]+Ruimtestaat[[#This Row],[Prest. (m2 /jaar) werkdagen]]</f>
        <v>0</v>
      </c>
      <c r="AF311" s="88">
        <f>Ruimtestaat[[#This Row],[uren / jaar weekend]]+Ruimtestaat[[#This Row],[uren / jaar werkdagen]]</f>
        <v>0</v>
      </c>
      <c r="AG311" s="89">
        <f>Ruimtestaat[[#This Row],[kosten / jaar weekend]]+Ruimtestaat[[#This Row],[kosten / jaar werkdagen]]</f>
        <v>0</v>
      </c>
    </row>
    <row r="312" spans="1:33" ht="15" customHeight="1">
      <c r="A312" s="195">
        <v>3</v>
      </c>
      <c r="B312" s="195" t="str">
        <f>VLOOKUP(Ruimtestaat[[#This Row],[Code]],Locaties[#All],2,FALSE)</f>
        <v>Lichtenvoorde gebouw 1</v>
      </c>
      <c r="C312" s="241" t="str">
        <f>VLOOKUP(Ruimtestaat[[#This Row],[Code]],Locaties[#All],4,FALSE)</f>
        <v>Dr Ariensstraat 1</v>
      </c>
      <c r="D312" s="241" t="str">
        <f>VLOOKUP(Ruimtestaat[[#This Row],[Code]],Locaties[#All],5,FALSE)</f>
        <v>7131 XM </v>
      </c>
      <c r="E312" s="241" t="str">
        <f>VLOOKUP(Ruimtestaat[[#This Row],[Code]],Locaties[#All],6,FALSE)</f>
        <v>Lichtenvoorde</v>
      </c>
      <c r="F312" s="195"/>
      <c r="G312" s="211" t="s">
        <v>768</v>
      </c>
      <c r="H312" s="195" t="s">
        <v>747</v>
      </c>
      <c r="I312" s="242" t="s">
        <v>449</v>
      </c>
      <c r="J312" s="195">
        <v>2</v>
      </c>
      <c r="K312" s="260" t="str">
        <f>VLOOKUP(Ruimtestaat[[#This Row],[Ruimte code]],Ruimtegroepen[#All],2,FALSE)</f>
        <v>Kantoren</v>
      </c>
      <c r="L312" s="195" t="s">
        <v>109</v>
      </c>
      <c r="M312" s="195" t="s">
        <v>38</v>
      </c>
      <c r="N312" s="197">
        <v>25.52</v>
      </c>
      <c r="O312" s="209"/>
      <c r="P312" s="241" t="str">
        <f>VLOOKUP(Ruimtestaat[[#This Row],[Ruimte code]],Ruimtegroepen[#All],4,FALSE)</f>
        <v>B  (Bureauruimte)</v>
      </c>
      <c r="Q312" s="210"/>
      <c r="R312" s="211">
        <v>40</v>
      </c>
      <c r="S312" s="211" t="s">
        <v>2</v>
      </c>
      <c r="T312" s="211">
        <f>IF(R312&gt;0,IF(RIGHT(Ruimtestaat[[#This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12" s="211">
        <f>IF(T312&gt;0,VLOOKUP($J312,Ruimtegroepen[],3,FALSE)*VLOOKUP($L312,Vloersoorten[],3,FALSE)*VLOOKUP($S312,Frequenties[],3,FALSE)*VLOOKUP($A312,Locaties[],3,FALSE),0)</f>
        <v>100</v>
      </c>
      <c r="V312" s="211">
        <f>Ruimtestaat[[#This Row],[Uitvoeringen werkdagen]]*Ruimtestaat[[#This Row],[Oppervlak (netto)]]</f>
        <v>5104</v>
      </c>
      <c r="W312" s="257">
        <f>IF(U312&gt;0,Ruimtestaat[[#This Row],[Prest. (m2 /jaar) werkdagen]]/Ruimtestaat[[#This Row],[Norm (m2/uur) werkdagen]],0)</f>
        <v>51.04</v>
      </c>
      <c r="X312" s="258">
        <f>Ruimtestaat[[#This Row],[uren / jaar werkdagen]]*Tariefsopbouw!$D$38</f>
        <v>1276</v>
      </c>
      <c r="Y312" s="33"/>
      <c r="Z312" s="33">
        <f>IF(Ruimtestaat[[#This Row],[Frequentie weekend]]&gt;0,VALUE(LEFT(Y312,1))*R312,0)</f>
        <v>0</v>
      </c>
      <c r="AA312" s="33">
        <f>IF($Z312&gt;0,VLOOKUP($J312,Ruimtegroepen[],3,FALSE)*VLOOKUP($L312,Vloersoorten[],3,FALSE)*VLOOKUP($Y312,Frequenties[],3,FALSE)*VLOOKUP(#REF!,Locaties[],3,FALSE),0)</f>
        <v>0</v>
      </c>
      <c r="AB312" s="33"/>
      <c r="AC312" s="33"/>
      <c r="AD312" s="33">
        <f>Ruimtestaat[[#This Row],[uren / jaar weekend]]*Tariefsopbouw!$D$40</f>
        <v>0</v>
      </c>
      <c r="AE312" s="88">
        <f>Ruimtestaat[[#This Row],[Prest. (m2 /jaar) weekend]]+Ruimtestaat[[#This Row],[Prest. (m2 /jaar) werkdagen]]</f>
        <v>5104</v>
      </c>
      <c r="AF312" s="88">
        <f>Ruimtestaat[[#This Row],[uren / jaar weekend]]+Ruimtestaat[[#This Row],[uren / jaar werkdagen]]</f>
        <v>51.04</v>
      </c>
      <c r="AG312" s="89">
        <f>Ruimtestaat[[#This Row],[kosten / jaar weekend]]+Ruimtestaat[[#This Row],[kosten / jaar werkdagen]]</f>
        <v>1276</v>
      </c>
    </row>
    <row r="313" spans="1:33" ht="15" customHeight="1">
      <c r="A313" s="195">
        <v>3</v>
      </c>
      <c r="B313" s="195" t="str">
        <f>VLOOKUP(Ruimtestaat[[#This Row],[Code]],Locaties[#All],2,FALSE)</f>
        <v>Lichtenvoorde gebouw 1</v>
      </c>
      <c r="C313" s="241" t="str">
        <f>VLOOKUP(Ruimtestaat[[#This Row],[Code]],Locaties[#All],4,FALSE)</f>
        <v>Dr Ariensstraat 1</v>
      </c>
      <c r="D313" s="241" t="str">
        <f>VLOOKUP(Ruimtestaat[[#This Row],[Code]],Locaties[#All],5,FALSE)</f>
        <v>7131 XM </v>
      </c>
      <c r="E313" s="241" t="str">
        <f>VLOOKUP(Ruimtestaat[[#This Row],[Code]],Locaties[#All],6,FALSE)</f>
        <v>Lichtenvoorde</v>
      </c>
      <c r="F313" s="195"/>
      <c r="G313" s="211" t="s">
        <v>768</v>
      </c>
      <c r="H313" s="195" t="s">
        <v>748</v>
      </c>
      <c r="I313" s="242" t="s">
        <v>449</v>
      </c>
      <c r="J313" s="195">
        <v>2</v>
      </c>
      <c r="K313" s="260" t="str">
        <f>VLOOKUP(Ruimtestaat[[#This Row],[Ruimte code]],Ruimtegroepen[#All],2,FALSE)</f>
        <v>Kantoren</v>
      </c>
      <c r="L313" s="211" t="s">
        <v>109</v>
      </c>
      <c r="M313" s="195" t="s">
        <v>38</v>
      </c>
      <c r="N313" s="197">
        <v>25.75</v>
      </c>
      <c r="O313" s="209"/>
      <c r="P313" s="241" t="str">
        <f>VLOOKUP(Ruimtestaat[[#This Row],[Ruimte code]],Ruimtegroepen[#All],4,FALSE)</f>
        <v>B  (Bureauruimte)</v>
      </c>
      <c r="Q313" s="210"/>
      <c r="R313" s="211">
        <v>40</v>
      </c>
      <c r="S313" s="211" t="s">
        <v>2</v>
      </c>
      <c r="T313" s="211">
        <f>IF(R313&gt;0,IF(RIGHT(Ruimtestaat[[#This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13" s="211">
        <f>IF(T313&gt;0,VLOOKUP($J313,Ruimtegroepen[],3,FALSE)*VLOOKUP($L313,Vloersoorten[],3,FALSE)*VLOOKUP($S313,Frequenties[],3,FALSE)*VLOOKUP($A313,Locaties[],3,FALSE),0)</f>
        <v>100</v>
      </c>
      <c r="V313" s="211">
        <f>Ruimtestaat[[#This Row],[Uitvoeringen werkdagen]]*Ruimtestaat[[#This Row],[Oppervlak (netto)]]</f>
        <v>5150</v>
      </c>
      <c r="W313" s="257">
        <f>IF(U313&gt;0,Ruimtestaat[[#This Row],[Prest. (m2 /jaar) werkdagen]]/Ruimtestaat[[#This Row],[Norm (m2/uur) werkdagen]],0)</f>
        <v>51.5</v>
      </c>
      <c r="X313" s="258">
        <f>Ruimtestaat[[#This Row],[uren / jaar werkdagen]]*Tariefsopbouw!$D$38</f>
        <v>1287.5</v>
      </c>
      <c r="Y313" s="33"/>
      <c r="Z313" s="33">
        <f>IF(Ruimtestaat[[#This Row],[Frequentie weekend]]&gt;0,VALUE(LEFT(Y313,1))*R313,0)</f>
        <v>0</v>
      </c>
      <c r="AA313" s="33">
        <f>IF($Z313&gt;0,VLOOKUP($J313,Ruimtegroepen[],3,FALSE)*VLOOKUP($L313,Vloersoorten[],3,FALSE)*VLOOKUP($Y313,Frequenties[],3,FALSE)*VLOOKUP(#REF!,Locaties[],3,FALSE),0)</f>
        <v>0</v>
      </c>
      <c r="AB313" s="33"/>
      <c r="AC313" s="33"/>
      <c r="AD313" s="33">
        <f>Ruimtestaat[[#This Row],[uren / jaar weekend]]*Tariefsopbouw!$D$40</f>
        <v>0</v>
      </c>
      <c r="AE313" s="88">
        <f>Ruimtestaat[[#This Row],[Prest. (m2 /jaar) weekend]]+Ruimtestaat[[#This Row],[Prest. (m2 /jaar) werkdagen]]</f>
        <v>5150</v>
      </c>
      <c r="AF313" s="88">
        <f>Ruimtestaat[[#This Row],[uren / jaar weekend]]+Ruimtestaat[[#This Row],[uren / jaar werkdagen]]</f>
        <v>51.5</v>
      </c>
      <c r="AG313" s="89">
        <f>Ruimtestaat[[#This Row],[kosten / jaar weekend]]+Ruimtestaat[[#This Row],[kosten / jaar werkdagen]]</f>
        <v>1287.5</v>
      </c>
    </row>
    <row r="314" spans="1:33" ht="15" customHeight="1">
      <c r="A314" s="195">
        <v>3</v>
      </c>
      <c r="B314" s="195" t="str">
        <f>VLOOKUP(Ruimtestaat[[#This Row],[Code]],Locaties[#All],2,FALSE)</f>
        <v>Lichtenvoorde gebouw 1</v>
      </c>
      <c r="C314" s="241" t="str">
        <f>VLOOKUP(Ruimtestaat[[#This Row],[Code]],Locaties[#All],4,FALSE)</f>
        <v>Dr Ariensstraat 1</v>
      </c>
      <c r="D314" s="241" t="str">
        <f>VLOOKUP(Ruimtestaat[[#This Row],[Code]],Locaties[#All],5,FALSE)</f>
        <v>7131 XM </v>
      </c>
      <c r="E314" s="241" t="str">
        <f>VLOOKUP(Ruimtestaat[[#This Row],[Code]],Locaties[#All],6,FALSE)</f>
        <v>Lichtenvoorde</v>
      </c>
      <c r="F314" s="195"/>
      <c r="G314" s="211" t="s">
        <v>768</v>
      </c>
      <c r="H314" s="195" t="s">
        <v>749</v>
      </c>
      <c r="I314" s="242" t="s">
        <v>441</v>
      </c>
      <c r="J314" s="195">
        <v>1</v>
      </c>
      <c r="K314" s="260" t="str">
        <f>VLOOKUP(Ruimtestaat[[#This Row],[Ruimte code]],Ruimtegroepen[#All],2,FALSE)</f>
        <v>Magazijnen/bergingen</v>
      </c>
      <c r="L314" s="211" t="s">
        <v>111</v>
      </c>
      <c r="M314" s="195" t="s">
        <v>693</v>
      </c>
      <c r="N314" s="197">
        <v>1.4</v>
      </c>
      <c r="O314" s="209"/>
      <c r="P314" s="241" t="str">
        <f>VLOOKUP(Ruimtestaat[[#This Row],[Ruimte code]],Ruimtegroepen[#All],4,FALSE)</f>
        <v>V  (Verkeersruimte)</v>
      </c>
      <c r="Q314" s="210"/>
      <c r="R314" s="211">
        <v>40</v>
      </c>
      <c r="S314" s="211" t="s">
        <v>16</v>
      </c>
      <c r="T314" s="211">
        <f>IF(R314&gt;0,IF(RIGHT(Ruimtestaat[[#This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U314" s="211">
        <f>IF(T314&gt;0,VLOOKUP($J314,Ruimtegroepen[],3,FALSE)*VLOOKUP($L314,Vloersoorten[],3,FALSE)*VLOOKUP($S314,Frequenties[],3,FALSE)*VLOOKUP($A314,Locaties[],3,FALSE),0)</f>
        <v>100</v>
      </c>
      <c r="V314" s="211">
        <f>Ruimtestaat[[#This Row],[Uitvoeringen werkdagen]]*Ruimtestaat[[#This Row],[Oppervlak (netto)]]</f>
        <v>16.799999999999997</v>
      </c>
      <c r="W314" s="257">
        <f>IF(U314&gt;0,Ruimtestaat[[#This Row],[Prest. (m2 /jaar) werkdagen]]/Ruimtestaat[[#This Row],[Norm (m2/uur) werkdagen]],0)</f>
        <v>0.16799999999999998</v>
      </c>
      <c r="X314" s="258">
        <f>Ruimtestaat[[#This Row],[uren / jaar werkdagen]]*Tariefsopbouw!$D$38</f>
        <v>4.1999999999999993</v>
      </c>
      <c r="Y314" s="33"/>
      <c r="Z314" s="33">
        <f>IF(Ruimtestaat[[#This Row],[Frequentie weekend]]&gt;0,VALUE(LEFT(Y314,1))*R314,0)</f>
        <v>0</v>
      </c>
      <c r="AA314" s="33">
        <f>IF($Z314&gt;0,VLOOKUP($J314,Ruimtegroepen[],3,FALSE)*VLOOKUP($L314,Vloersoorten[],3,FALSE)*VLOOKUP($Y314,Frequenties[],3,FALSE)*VLOOKUP(#REF!,Locaties[],3,FALSE),0)</f>
        <v>0</v>
      </c>
      <c r="AB314" s="33"/>
      <c r="AC314" s="33"/>
      <c r="AD314" s="33">
        <f>Ruimtestaat[[#This Row],[uren / jaar weekend]]*Tariefsopbouw!$D$40</f>
        <v>0</v>
      </c>
      <c r="AE314" s="88">
        <f>Ruimtestaat[[#This Row],[Prest. (m2 /jaar) weekend]]+Ruimtestaat[[#This Row],[Prest. (m2 /jaar) werkdagen]]</f>
        <v>16.799999999999997</v>
      </c>
      <c r="AF314" s="88">
        <f>Ruimtestaat[[#This Row],[uren / jaar weekend]]+Ruimtestaat[[#This Row],[uren / jaar werkdagen]]</f>
        <v>0.16799999999999998</v>
      </c>
      <c r="AG314" s="89">
        <f>Ruimtestaat[[#This Row],[kosten / jaar weekend]]+Ruimtestaat[[#This Row],[kosten / jaar werkdagen]]</f>
        <v>4.1999999999999993</v>
      </c>
    </row>
    <row r="315" spans="1:33" ht="15" customHeight="1">
      <c r="A315" s="195">
        <v>3</v>
      </c>
      <c r="B315" s="195" t="str">
        <f>VLOOKUP(Ruimtestaat[[#This Row],[Code]],Locaties[#All],2,FALSE)</f>
        <v>Lichtenvoorde gebouw 1</v>
      </c>
      <c r="C315" s="241" t="str">
        <f>VLOOKUP(Ruimtestaat[[#This Row],[Code]],Locaties[#All],4,FALSE)</f>
        <v>Dr Ariensstraat 1</v>
      </c>
      <c r="D315" s="241" t="str">
        <f>VLOOKUP(Ruimtestaat[[#This Row],[Code]],Locaties[#All],5,FALSE)</f>
        <v>7131 XM </v>
      </c>
      <c r="E315" s="241" t="str">
        <f>VLOOKUP(Ruimtestaat[[#This Row],[Code]],Locaties[#All],6,FALSE)</f>
        <v>Lichtenvoorde</v>
      </c>
      <c r="F315" s="195"/>
      <c r="G315" s="211" t="s">
        <v>768</v>
      </c>
      <c r="H315" s="195" t="s">
        <v>750</v>
      </c>
      <c r="I315" s="242" t="s">
        <v>382</v>
      </c>
      <c r="J315" s="241">
        <v>6</v>
      </c>
      <c r="K315" s="260" t="str">
        <f>VLOOKUP(Ruimtestaat[[#This Row],[Ruimte code]],Ruimtegroepen[#All],2,FALSE)</f>
        <v>Gangen/hallen</v>
      </c>
      <c r="L315" s="241" t="s">
        <v>111</v>
      </c>
      <c r="M315" s="195" t="s">
        <v>693</v>
      </c>
      <c r="N315" s="197">
        <v>74.09</v>
      </c>
      <c r="O315" s="209"/>
      <c r="P315" s="241" t="str">
        <f>VLOOKUP(Ruimtestaat[[#This Row],[Ruimte code]],Ruimtegroepen[#All],4,FALSE)</f>
        <v>V  (Verkeersruimte)</v>
      </c>
      <c r="Q315" s="210"/>
      <c r="R315" s="211">
        <v>40</v>
      </c>
      <c r="S315" s="211" t="s">
        <v>2</v>
      </c>
      <c r="T315" s="211">
        <f>IF(R315&gt;0,IF(RIGHT(Ruimtestaat[[#This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15" s="211">
        <f>IF(T315&gt;0,VLOOKUP($J315,Ruimtegroepen[],3,FALSE)*VLOOKUP($L315,Vloersoorten[],3,FALSE)*VLOOKUP($S315,Frequenties[],3,FALSE)*VLOOKUP($A315,Locaties[],3,FALSE),0)</f>
        <v>100</v>
      </c>
      <c r="V315" s="211">
        <f>Ruimtestaat[[#This Row],[Uitvoeringen werkdagen]]*Ruimtestaat[[#This Row],[Oppervlak (netto)]]</f>
        <v>14818</v>
      </c>
      <c r="W315" s="257">
        <f>IF(U315&gt;0,Ruimtestaat[[#This Row],[Prest. (m2 /jaar) werkdagen]]/Ruimtestaat[[#This Row],[Norm (m2/uur) werkdagen]],0)</f>
        <v>148.18</v>
      </c>
      <c r="X315" s="258">
        <f>Ruimtestaat[[#This Row],[uren / jaar werkdagen]]*Tariefsopbouw!$D$38</f>
        <v>3704.5</v>
      </c>
      <c r="Y315" s="33"/>
      <c r="Z315" s="33">
        <f>IF(Ruimtestaat[[#This Row],[Frequentie weekend]]&gt;0,VALUE(LEFT(Y315,1))*R315,0)</f>
        <v>0</v>
      </c>
      <c r="AA315" s="33">
        <f>IF($Z315&gt;0,VLOOKUP($J315,Ruimtegroepen[],3,FALSE)*VLOOKUP($L315,Vloersoorten[],3,FALSE)*VLOOKUP($Y315,Frequenties[],3,FALSE)*VLOOKUP(#REF!,Locaties[],3,FALSE),0)</f>
        <v>0</v>
      </c>
      <c r="AB315" s="33"/>
      <c r="AC315" s="33"/>
      <c r="AD315" s="33">
        <f>Ruimtestaat[[#This Row],[uren / jaar weekend]]*Tariefsopbouw!$D$40</f>
        <v>0</v>
      </c>
      <c r="AE315" s="88">
        <f>Ruimtestaat[[#This Row],[Prest. (m2 /jaar) weekend]]+Ruimtestaat[[#This Row],[Prest. (m2 /jaar) werkdagen]]</f>
        <v>14818</v>
      </c>
      <c r="AF315" s="88">
        <f>Ruimtestaat[[#This Row],[uren / jaar weekend]]+Ruimtestaat[[#This Row],[uren / jaar werkdagen]]</f>
        <v>148.18</v>
      </c>
      <c r="AG315" s="89">
        <f>Ruimtestaat[[#This Row],[kosten / jaar weekend]]+Ruimtestaat[[#This Row],[kosten / jaar werkdagen]]</f>
        <v>3704.5</v>
      </c>
    </row>
    <row r="316" spans="1:33" ht="15" customHeight="1">
      <c r="A316" s="195">
        <v>3</v>
      </c>
      <c r="B316" s="195" t="str">
        <f>VLOOKUP(Ruimtestaat[[#This Row],[Code]],Locaties[#All],2,FALSE)</f>
        <v>Lichtenvoorde gebouw 1</v>
      </c>
      <c r="C316" s="241" t="str">
        <f>VLOOKUP(Ruimtestaat[[#This Row],[Code]],Locaties[#All],4,FALSE)</f>
        <v>Dr Ariensstraat 1</v>
      </c>
      <c r="D316" s="241" t="str">
        <f>VLOOKUP(Ruimtestaat[[#This Row],[Code]],Locaties[#All],5,FALSE)</f>
        <v>7131 XM </v>
      </c>
      <c r="E316" s="241" t="str">
        <f>VLOOKUP(Ruimtestaat[[#This Row],[Code]],Locaties[#All],6,FALSE)</f>
        <v>Lichtenvoorde</v>
      </c>
      <c r="F316" s="195"/>
      <c r="G316" s="211" t="s">
        <v>768</v>
      </c>
      <c r="H316" s="195" t="s">
        <v>841</v>
      </c>
      <c r="I316" s="242" t="s">
        <v>272</v>
      </c>
      <c r="J316" s="195">
        <v>10</v>
      </c>
      <c r="K316" s="260" t="str">
        <f>VLOOKUP(Ruimtestaat[[#This Row],[Ruimte code]],Ruimtegroepen[#All],2,FALSE)</f>
        <v>Trappenhuizen/lift</v>
      </c>
      <c r="L316" s="241" t="s">
        <v>110</v>
      </c>
      <c r="M316" s="195" t="s">
        <v>133</v>
      </c>
      <c r="N316" s="197">
        <v>1.5</v>
      </c>
      <c r="O316" s="209"/>
      <c r="P316" s="241" t="str">
        <f>VLOOKUP(Ruimtestaat[[#This Row],[Ruimte code]],Ruimtegroepen[#All],4,FALSE)</f>
        <v>V  (Verkeersruimte)</v>
      </c>
      <c r="Q316" s="210"/>
      <c r="R316" s="211">
        <v>40</v>
      </c>
      <c r="S316" s="211" t="s">
        <v>18</v>
      </c>
      <c r="T316" s="211">
        <f>IF(R316&gt;0,IF(RIGHT(Ruimtestaat[[#This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U316" s="211">
        <f>IF(T316&gt;0,VLOOKUP($J316,Ruimtegroepen[],3,FALSE)*VLOOKUP($L316,Vloersoorten[],3,FALSE)*VLOOKUP($S316,Frequenties[],3,FALSE)*VLOOKUP($A316,Locaties[],3,FALSE),0)</f>
        <v>100</v>
      </c>
      <c r="V316" s="211">
        <f>Ruimtestaat[[#This Row],[Uitvoeringen werkdagen]]*Ruimtestaat[[#This Row],[Oppervlak (netto)]]</f>
        <v>180</v>
      </c>
      <c r="W316" s="257">
        <f>IF(U316&gt;0,Ruimtestaat[[#This Row],[Prest. (m2 /jaar) werkdagen]]/Ruimtestaat[[#This Row],[Norm (m2/uur) werkdagen]],0)</f>
        <v>1.8</v>
      </c>
      <c r="X316" s="258">
        <f>Ruimtestaat[[#This Row],[uren / jaar werkdagen]]*Tariefsopbouw!$D$38</f>
        <v>45</v>
      </c>
      <c r="Y316" s="33"/>
      <c r="Z316" s="33">
        <f>IF(Ruimtestaat[[#This Row],[Frequentie weekend]]&gt;0,VALUE(LEFT(Y316,1))*R316,0)</f>
        <v>0</v>
      </c>
      <c r="AA316" s="33">
        <f>IF($Z316&gt;0,VLOOKUP($J316,Ruimtegroepen[],3,FALSE)*VLOOKUP($L316,Vloersoorten[],3,FALSE)*VLOOKUP($Y316,Frequenties[],3,FALSE)*VLOOKUP(#REF!,Locaties[],3,FALSE),0)</f>
        <v>0</v>
      </c>
      <c r="AB316" s="33"/>
      <c r="AC316" s="33"/>
      <c r="AD316" s="33">
        <f>Ruimtestaat[[#This Row],[uren / jaar weekend]]*Tariefsopbouw!$D$40</f>
        <v>0</v>
      </c>
      <c r="AE316" s="88">
        <f>Ruimtestaat[[#This Row],[Prest. (m2 /jaar) weekend]]+Ruimtestaat[[#This Row],[Prest. (m2 /jaar) werkdagen]]</f>
        <v>180</v>
      </c>
      <c r="AF316" s="88">
        <f>Ruimtestaat[[#This Row],[uren / jaar weekend]]+Ruimtestaat[[#This Row],[uren / jaar werkdagen]]</f>
        <v>1.8</v>
      </c>
      <c r="AG316" s="89">
        <f>Ruimtestaat[[#This Row],[kosten / jaar weekend]]+Ruimtestaat[[#This Row],[kosten / jaar werkdagen]]</f>
        <v>45</v>
      </c>
    </row>
    <row r="317" spans="1:33" ht="15" customHeight="1">
      <c r="A317" s="195">
        <v>3</v>
      </c>
      <c r="B317" s="195" t="str">
        <f>VLOOKUP(Ruimtestaat[[#This Row],[Code]],Locaties[#All],2,FALSE)</f>
        <v>Lichtenvoorde gebouw 1</v>
      </c>
      <c r="C317" s="241" t="str">
        <f>VLOOKUP(Ruimtestaat[[#This Row],[Code]],Locaties[#All],4,FALSE)</f>
        <v>Dr Ariensstraat 1</v>
      </c>
      <c r="D317" s="241" t="str">
        <f>VLOOKUP(Ruimtestaat[[#This Row],[Code]],Locaties[#All],5,FALSE)</f>
        <v>7131 XM </v>
      </c>
      <c r="E317" s="241" t="str">
        <f>VLOOKUP(Ruimtestaat[[#This Row],[Code]],Locaties[#All],6,FALSE)</f>
        <v>Lichtenvoorde</v>
      </c>
      <c r="F317" s="195"/>
      <c r="G317" s="211" t="s">
        <v>768</v>
      </c>
      <c r="H317" s="195" t="s">
        <v>751</v>
      </c>
      <c r="I317" s="242" t="s">
        <v>382</v>
      </c>
      <c r="J317" s="195">
        <v>10</v>
      </c>
      <c r="K317" s="260" t="str">
        <f>VLOOKUP(Ruimtestaat[[#This Row],[Ruimte code]],Ruimtegroepen[#All],2,FALSE)</f>
        <v>Trappenhuizen/lift</v>
      </c>
      <c r="L317" s="211" t="s">
        <v>111</v>
      </c>
      <c r="M317" s="195" t="s">
        <v>693</v>
      </c>
      <c r="N317" s="197">
        <v>1.86</v>
      </c>
      <c r="O317" s="209"/>
      <c r="P317" s="241" t="str">
        <f>VLOOKUP(Ruimtestaat[[#This Row],[Ruimte code]],Ruimtegroepen[#All],4,FALSE)</f>
        <v>V  (Verkeersruimte)</v>
      </c>
      <c r="Q317" s="210"/>
      <c r="R317" s="211">
        <v>40</v>
      </c>
      <c r="S317" s="211" t="s">
        <v>2</v>
      </c>
      <c r="T317" s="211">
        <f>IF(R317&gt;0,IF(RIGHT(Ruimtestaat[[#This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17" s="211">
        <f>IF(T317&gt;0,VLOOKUP($J317,Ruimtegroepen[],3,FALSE)*VLOOKUP($L317,Vloersoorten[],3,FALSE)*VLOOKUP($S317,Frequenties[],3,FALSE)*VLOOKUP($A317,Locaties[],3,FALSE),0)</f>
        <v>100</v>
      </c>
      <c r="V317" s="211">
        <f>Ruimtestaat[[#This Row],[Uitvoeringen werkdagen]]*Ruimtestaat[[#This Row],[Oppervlak (netto)]]</f>
        <v>372</v>
      </c>
      <c r="W317" s="257">
        <f>IF(U317&gt;0,Ruimtestaat[[#This Row],[Prest. (m2 /jaar) werkdagen]]/Ruimtestaat[[#This Row],[Norm (m2/uur) werkdagen]],0)</f>
        <v>3.72</v>
      </c>
      <c r="X317" s="258">
        <f>Ruimtestaat[[#This Row],[uren / jaar werkdagen]]*Tariefsopbouw!$D$38</f>
        <v>93</v>
      </c>
      <c r="Y317" s="33"/>
      <c r="Z317" s="33">
        <f>IF(Ruimtestaat[[#This Row],[Frequentie weekend]]&gt;0,VALUE(LEFT(Y317,1))*R317,0)</f>
        <v>0</v>
      </c>
      <c r="AA317" s="33">
        <f>IF($Z317&gt;0,VLOOKUP($J317,Ruimtegroepen[],3,FALSE)*VLOOKUP($L317,Vloersoorten[],3,FALSE)*VLOOKUP($Y317,Frequenties[],3,FALSE)*VLOOKUP(#REF!,Locaties[],3,FALSE),0)</f>
        <v>0</v>
      </c>
      <c r="AB317" s="33"/>
      <c r="AC317" s="33"/>
      <c r="AD317" s="33">
        <f>Ruimtestaat[[#This Row],[uren / jaar weekend]]*Tariefsopbouw!$D$40</f>
        <v>0</v>
      </c>
      <c r="AE317" s="88">
        <f>Ruimtestaat[[#This Row],[Prest. (m2 /jaar) weekend]]+Ruimtestaat[[#This Row],[Prest. (m2 /jaar) werkdagen]]</f>
        <v>372</v>
      </c>
      <c r="AF317" s="88">
        <f>Ruimtestaat[[#This Row],[uren / jaar weekend]]+Ruimtestaat[[#This Row],[uren / jaar werkdagen]]</f>
        <v>3.72</v>
      </c>
      <c r="AG317" s="89">
        <f>Ruimtestaat[[#This Row],[kosten / jaar weekend]]+Ruimtestaat[[#This Row],[kosten / jaar werkdagen]]</f>
        <v>93</v>
      </c>
    </row>
    <row r="318" spans="1:33" ht="15" customHeight="1">
      <c r="A318" s="195">
        <v>3</v>
      </c>
      <c r="B318" s="195" t="str">
        <f>VLOOKUP(Ruimtestaat[[#This Row],[Code]],Locaties[#All],2,FALSE)</f>
        <v>Lichtenvoorde gebouw 1</v>
      </c>
      <c r="C318" s="241" t="str">
        <f>VLOOKUP(Ruimtestaat[[#This Row],[Code]],Locaties[#All],4,FALSE)</f>
        <v>Dr Ariensstraat 1</v>
      </c>
      <c r="D318" s="241" t="str">
        <f>VLOOKUP(Ruimtestaat[[#This Row],[Code]],Locaties[#All],5,FALSE)</f>
        <v>7131 XM </v>
      </c>
      <c r="E318" s="241" t="str">
        <f>VLOOKUP(Ruimtestaat[[#This Row],[Code]],Locaties[#All],6,FALSE)</f>
        <v>Lichtenvoorde</v>
      </c>
      <c r="F318" s="195"/>
      <c r="G318" s="211" t="s">
        <v>768</v>
      </c>
      <c r="H318" s="195" t="s">
        <v>752</v>
      </c>
      <c r="I318" s="242" t="s">
        <v>639</v>
      </c>
      <c r="J318" s="195">
        <v>6</v>
      </c>
      <c r="K318" s="260" t="str">
        <f>VLOOKUP(Ruimtestaat[[#This Row],[Ruimte code]],Ruimtegroepen[#All],2,FALSE)</f>
        <v>Gangen/hallen</v>
      </c>
      <c r="L318" s="211" t="s">
        <v>109</v>
      </c>
      <c r="M318" s="195" t="s">
        <v>38</v>
      </c>
      <c r="N318" s="197">
        <v>99.43</v>
      </c>
      <c r="O318" s="209"/>
      <c r="P318" s="241" t="str">
        <f>VLOOKUP(Ruimtestaat[[#This Row],[Ruimte code]],Ruimtegroepen[#All],4,FALSE)</f>
        <v>V  (Verkeersruimte)</v>
      </c>
      <c r="Q318" s="210"/>
      <c r="R318" s="211">
        <v>40</v>
      </c>
      <c r="S318" s="211" t="s">
        <v>2</v>
      </c>
      <c r="T318" s="211">
        <f>IF(R318&gt;0,IF(RIGHT(Ruimtestaat[[#This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18" s="211">
        <f>IF(T318&gt;0,VLOOKUP($J318,Ruimtegroepen[],3,FALSE)*VLOOKUP($L318,Vloersoorten[],3,FALSE)*VLOOKUP($S318,Frequenties[],3,FALSE)*VLOOKUP($A318,Locaties[],3,FALSE),0)</f>
        <v>100</v>
      </c>
      <c r="V318" s="211">
        <f>Ruimtestaat[[#This Row],[Uitvoeringen werkdagen]]*Ruimtestaat[[#This Row],[Oppervlak (netto)]]</f>
        <v>19886</v>
      </c>
      <c r="W318" s="257">
        <f>IF(U318&gt;0,Ruimtestaat[[#This Row],[Prest. (m2 /jaar) werkdagen]]/Ruimtestaat[[#This Row],[Norm (m2/uur) werkdagen]],0)</f>
        <v>198.86</v>
      </c>
      <c r="X318" s="258">
        <f>Ruimtestaat[[#This Row],[uren / jaar werkdagen]]*Tariefsopbouw!$D$38</f>
        <v>4971.5</v>
      </c>
      <c r="Y318" s="33"/>
      <c r="Z318" s="33">
        <f>IF(Ruimtestaat[[#This Row],[Frequentie weekend]]&gt;0,VALUE(LEFT(Y318,1))*R318,0)</f>
        <v>0</v>
      </c>
      <c r="AA318" s="33">
        <f>IF($Z318&gt;0,VLOOKUP($J318,Ruimtegroepen[],3,FALSE)*VLOOKUP($L318,Vloersoorten[],3,FALSE)*VLOOKUP($Y318,Frequenties[],3,FALSE)*VLOOKUP(#REF!,Locaties[],3,FALSE),0)</f>
        <v>0</v>
      </c>
      <c r="AB318" s="33"/>
      <c r="AC318" s="33"/>
      <c r="AD318" s="33">
        <f>Ruimtestaat[[#This Row],[uren / jaar weekend]]*Tariefsopbouw!$D$40</f>
        <v>0</v>
      </c>
      <c r="AE318" s="88">
        <f>Ruimtestaat[[#This Row],[Prest. (m2 /jaar) weekend]]+Ruimtestaat[[#This Row],[Prest. (m2 /jaar) werkdagen]]</f>
        <v>19886</v>
      </c>
      <c r="AF318" s="88">
        <f>Ruimtestaat[[#This Row],[uren / jaar weekend]]+Ruimtestaat[[#This Row],[uren / jaar werkdagen]]</f>
        <v>198.86</v>
      </c>
      <c r="AG318" s="89">
        <f>Ruimtestaat[[#This Row],[kosten / jaar weekend]]+Ruimtestaat[[#This Row],[kosten / jaar werkdagen]]</f>
        <v>4971.5</v>
      </c>
    </row>
    <row r="319" spans="1:33" ht="15" customHeight="1">
      <c r="A319" s="195">
        <v>3</v>
      </c>
      <c r="B319" s="195" t="str">
        <f>VLOOKUP(Ruimtestaat[[#This Row],[Code]],Locaties[#All],2,FALSE)</f>
        <v>Lichtenvoorde gebouw 1</v>
      </c>
      <c r="C319" s="241" t="str">
        <f>VLOOKUP(Ruimtestaat[[#This Row],[Code]],Locaties[#All],4,FALSE)</f>
        <v>Dr Ariensstraat 1</v>
      </c>
      <c r="D319" s="241" t="str">
        <f>VLOOKUP(Ruimtestaat[[#This Row],[Code]],Locaties[#All],5,FALSE)</f>
        <v>7131 XM </v>
      </c>
      <c r="E319" s="241" t="str">
        <f>VLOOKUP(Ruimtestaat[[#This Row],[Code]],Locaties[#All],6,FALSE)</f>
        <v>Lichtenvoorde</v>
      </c>
      <c r="F319" s="195"/>
      <c r="G319" s="211" t="s">
        <v>768</v>
      </c>
      <c r="H319" s="195" t="s">
        <v>753</v>
      </c>
      <c r="I319" s="242" t="s">
        <v>842</v>
      </c>
      <c r="J319" s="241">
        <v>5</v>
      </c>
      <c r="K319" s="260" t="str">
        <f>VLOOKUP(Ruimtestaat[[#This Row],[Ruimte code]],Ruimtegroepen[#All],2,FALSE)</f>
        <v>Sanitair</v>
      </c>
      <c r="L319" s="211" t="s">
        <v>111</v>
      </c>
      <c r="M319" s="195" t="s">
        <v>693</v>
      </c>
      <c r="N319" s="197">
        <v>11.85</v>
      </c>
      <c r="O319" s="209"/>
      <c r="P319" s="241" t="str">
        <f>VLOOKUP(Ruimtestaat[[#This Row],[Ruimte code]],Ruimtegroepen[#All],4,FALSE)</f>
        <v>S  (Sanitair)</v>
      </c>
      <c r="Q319" s="210"/>
      <c r="R319" s="211">
        <v>40</v>
      </c>
      <c r="S319" s="211" t="s">
        <v>2</v>
      </c>
      <c r="T319" s="211">
        <f>IF(R319&gt;0,IF(RIGHT(Ruimtestaat[[#This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19" s="211">
        <f>IF(T319&gt;0,VLOOKUP($J319,Ruimtegroepen[],3,FALSE)*VLOOKUP($L319,Vloersoorten[],3,FALSE)*VLOOKUP($S319,Frequenties[],3,FALSE)*VLOOKUP($A319,Locaties[],3,FALSE),0)</f>
        <v>100</v>
      </c>
      <c r="V319" s="211">
        <f>Ruimtestaat[[#This Row],[Uitvoeringen werkdagen]]*Ruimtestaat[[#This Row],[Oppervlak (netto)]]</f>
        <v>2370</v>
      </c>
      <c r="W319" s="257">
        <f>IF(U319&gt;0,Ruimtestaat[[#This Row],[Prest. (m2 /jaar) werkdagen]]/Ruimtestaat[[#This Row],[Norm (m2/uur) werkdagen]],0)</f>
        <v>23.7</v>
      </c>
      <c r="X319" s="258">
        <f>Ruimtestaat[[#This Row],[uren / jaar werkdagen]]*Tariefsopbouw!$D$38</f>
        <v>592.5</v>
      </c>
      <c r="Y319" s="33"/>
      <c r="Z319" s="33">
        <f>IF(Ruimtestaat[[#This Row],[Frequentie weekend]]&gt;0,VALUE(LEFT(Y319,1))*R319,0)</f>
        <v>0</v>
      </c>
      <c r="AA319" s="33">
        <f>IF($Z319&gt;0,VLOOKUP($J319,Ruimtegroepen[],3,FALSE)*VLOOKUP($L319,Vloersoorten[],3,FALSE)*VLOOKUP($Y319,Frequenties[],3,FALSE)*VLOOKUP(#REF!,Locaties[],3,FALSE),0)</f>
        <v>0</v>
      </c>
      <c r="AB319" s="33"/>
      <c r="AC319" s="33"/>
      <c r="AD319" s="33">
        <f>Ruimtestaat[[#This Row],[uren / jaar weekend]]*Tariefsopbouw!$D$40</f>
        <v>0</v>
      </c>
      <c r="AE319" s="88">
        <f>Ruimtestaat[[#This Row],[Prest. (m2 /jaar) weekend]]+Ruimtestaat[[#This Row],[Prest. (m2 /jaar) werkdagen]]</f>
        <v>2370</v>
      </c>
      <c r="AF319" s="88">
        <f>Ruimtestaat[[#This Row],[uren / jaar weekend]]+Ruimtestaat[[#This Row],[uren / jaar werkdagen]]</f>
        <v>23.7</v>
      </c>
      <c r="AG319" s="89">
        <f>Ruimtestaat[[#This Row],[kosten / jaar weekend]]+Ruimtestaat[[#This Row],[kosten / jaar werkdagen]]</f>
        <v>592.5</v>
      </c>
    </row>
    <row r="320" spans="1:33" ht="15" customHeight="1">
      <c r="A320" s="195">
        <v>3</v>
      </c>
      <c r="B320" s="195" t="str">
        <f>VLOOKUP(Ruimtestaat[[#This Row],[Code]],Locaties[#All],2,FALSE)</f>
        <v>Lichtenvoorde gebouw 1</v>
      </c>
      <c r="C320" s="241" t="str">
        <f>VLOOKUP(Ruimtestaat[[#This Row],[Code]],Locaties[#All],4,FALSE)</f>
        <v>Dr Ariensstraat 1</v>
      </c>
      <c r="D320" s="241" t="str">
        <f>VLOOKUP(Ruimtestaat[[#This Row],[Code]],Locaties[#All],5,FALSE)</f>
        <v>7131 XM </v>
      </c>
      <c r="E320" s="241" t="str">
        <f>VLOOKUP(Ruimtestaat[[#This Row],[Code]],Locaties[#All],6,FALSE)</f>
        <v>Lichtenvoorde</v>
      </c>
      <c r="F320" s="195"/>
      <c r="G320" s="211" t="s">
        <v>768</v>
      </c>
      <c r="H320" s="195" t="s">
        <v>754</v>
      </c>
      <c r="I320" s="242" t="s">
        <v>395</v>
      </c>
      <c r="J320" s="195">
        <v>16</v>
      </c>
      <c r="K320" s="260" t="str">
        <f>VLOOKUP(Ruimtestaat[[#This Row],[Ruimte code]],Ruimtegroepen[#All],2,FALSE)</f>
        <v>Lokaal</v>
      </c>
      <c r="L320" s="241" t="s">
        <v>112</v>
      </c>
      <c r="M320" s="195" t="s">
        <v>130</v>
      </c>
      <c r="N320" s="197">
        <v>66.849999999999994</v>
      </c>
      <c r="O320" s="209"/>
      <c r="P320" s="241" t="str">
        <f>VLOOKUP(Ruimtestaat[[#This Row],[Ruimte code]],Ruimtegroepen[#All],4,FALSE)</f>
        <v>L  (Lesruimte)</v>
      </c>
      <c r="Q320" s="210"/>
      <c r="R320" s="211">
        <v>40</v>
      </c>
      <c r="S320" s="211" t="s">
        <v>2</v>
      </c>
      <c r="T320" s="211">
        <f>IF(R320&gt;0,IF(RIGHT(Ruimtestaat[[#This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20" s="211">
        <f>IF(T320&gt;0,VLOOKUP($J320,Ruimtegroepen[],3,FALSE)*VLOOKUP($L320,Vloersoorten[],3,FALSE)*VLOOKUP($S320,Frequenties[],3,FALSE)*VLOOKUP($A320,Locaties[],3,FALSE),0)</f>
        <v>100</v>
      </c>
      <c r="V320" s="211">
        <f>Ruimtestaat[[#This Row],[Uitvoeringen werkdagen]]*Ruimtestaat[[#This Row],[Oppervlak (netto)]]</f>
        <v>13369.999999999998</v>
      </c>
      <c r="W320" s="257">
        <f>IF(U320&gt;0,Ruimtestaat[[#This Row],[Prest. (m2 /jaar) werkdagen]]/Ruimtestaat[[#This Row],[Norm (m2/uur) werkdagen]],0)</f>
        <v>133.69999999999999</v>
      </c>
      <c r="X320" s="258">
        <f>Ruimtestaat[[#This Row],[uren / jaar werkdagen]]*Tariefsopbouw!$D$38</f>
        <v>3342.4999999999995</v>
      </c>
      <c r="Y320" s="33"/>
      <c r="Z320" s="33">
        <f>IF(Ruimtestaat[[#This Row],[Frequentie weekend]]&gt;0,VALUE(LEFT(Y320,1))*R320,0)</f>
        <v>0</v>
      </c>
      <c r="AA320" s="33">
        <f>IF($Z320&gt;0,VLOOKUP($J320,Ruimtegroepen[],3,FALSE)*VLOOKUP($L320,Vloersoorten[],3,FALSE)*VLOOKUP($Y320,Frequenties[],3,FALSE)*VLOOKUP(#REF!,Locaties[],3,FALSE),0)</f>
        <v>0</v>
      </c>
      <c r="AB320" s="33"/>
      <c r="AC320" s="33"/>
      <c r="AD320" s="33">
        <f>Ruimtestaat[[#This Row],[uren / jaar weekend]]*Tariefsopbouw!$D$40</f>
        <v>0</v>
      </c>
      <c r="AE320" s="88">
        <f>Ruimtestaat[[#This Row],[Prest. (m2 /jaar) weekend]]+Ruimtestaat[[#This Row],[Prest. (m2 /jaar) werkdagen]]</f>
        <v>13369.999999999998</v>
      </c>
      <c r="AF320" s="88">
        <f>Ruimtestaat[[#This Row],[uren / jaar weekend]]+Ruimtestaat[[#This Row],[uren / jaar werkdagen]]</f>
        <v>133.69999999999999</v>
      </c>
      <c r="AG320" s="89">
        <f>Ruimtestaat[[#This Row],[kosten / jaar weekend]]+Ruimtestaat[[#This Row],[kosten / jaar werkdagen]]</f>
        <v>3342.4999999999995</v>
      </c>
    </row>
    <row r="321" spans="1:33" ht="15" customHeight="1">
      <c r="A321" s="195">
        <v>3</v>
      </c>
      <c r="B321" s="195" t="str">
        <f>VLOOKUP(Ruimtestaat[[#This Row],[Code]],Locaties[#All],2,FALSE)</f>
        <v>Lichtenvoorde gebouw 1</v>
      </c>
      <c r="C321" s="241" t="str">
        <f>VLOOKUP(Ruimtestaat[[#This Row],[Code]],Locaties[#All],4,FALSE)</f>
        <v>Dr Ariensstraat 1</v>
      </c>
      <c r="D321" s="241" t="str">
        <f>VLOOKUP(Ruimtestaat[[#This Row],[Code]],Locaties[#All],5,FALSE)</f>
        <v>7131 XM </v>
      </c>
      <c r="E321" s="241" t="str">
        <f>VLOOKUP(Ruimtestaat[[#This Row],[Code]],Locaties[#All],6,FALSE)</f>
        <v>Lichtenvoorde</v>
      </c>
      <c r="F321" s="195"/>
      <c r="G321" s="211" t="s">
        <v>768</v>
      </c>
      <c r="H321" s="195" t="s">
        <v>755</v>
      </c>
      <c r="I321" s="242" t="s">
        <v>395</v>
      </c>
      <c r="J321" s="195">
        <v>16</v>
      </c>
      <c r="K321" s="260" t="str">
        <f>VLOOKUP(Ruimtestaat[[#This Row],[Ruimte code]],Ruimtegroepen[#All],2,FALSE)</f>
        <v>Lokaal</v>
      </c>
      <c r="L321" s="241" t="s">
        <v>112</v>
      </c>
      <c r="M321" s="195" t="s">
        <v>130</v>
      </c>
      <c r="N321" s="197">
        <v>66.930000000000007</v>
      </c>
      <c r="O321" s="209"/>
      <c r="P321" s="241" t="str">
        <f>VLOOKUP(Ruimtestaat[[#This Row],[Ruimte code]],Ruimtegroepen[#All],4,FALSE)</f>
        <v>L  (Lesruimte)</v>
      </c>
      <c r="Q321" s="210"/>
      <c r="R321" s="211">
        <v>40</v>
      </c>
      <c r="S321" s="211" t="s">
        <v>2</v>
      </c>
      <c r="T321" s="211">
        <f>IF(R321&gt;0,IF(RIGHT(Ruimtestaat[[#This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21" s="211">
        <f>IF(T321&gt;0,VLOOKUP($J321,Ruimtegroepen[],3,FALSE)*VLOOKUP($L321,Vloersoorten[],3,FALSE)*VLOOKUP($S321,Frequenties[],3,FALSE)*VLOOKUP($A321,Locaties[],3,FALSE),0)</f>
        <v>100</v>
      </c>
      <c r="V321" s="211">
        <f>Ruimtestaat[[#This Row],[Uitvoeringen werkdagen]]*Ruimtestaat[[#This Row],[Oppervlak (netto)]]</f>
        <v>13386.000000000002</v>
      </c>
      <c r="W321" s="257">
        <f>IF(U321&gt;0,Ruimtestaat[[#This Row],[Prest. (m2 /jaar) werkdagen]]/Ruimtestaat[[#This Row],[Norm (m2/uur) werkdagen]],0)</f>
        <v>133.86000000000001</v>
      </c>
      <c r="X321" s="258">
        <f>Ruimtestaat[[#This Row],[uren / jaar werkdagen]]*Tariefsopbouw!$D$38</f>
        <v>3346.5000000000005</v>
      </c>
      <c r="Y321" s="33"/>
      <c r="Z321" s="33">
        <f>IF(Ruimtestaat[[#This Row],[Frequentie weekend]]&gt;0,VALUE(LEFT(Y321,1))*R321,0)</f>
        <v>0</v>
      </c>
      <c r="AA321" s="33">
        <f>IF($Z321&gt;0,VLOOKUP($J321,Ruimtegroepen[],3,FALSE)*VLOOKUP($L321,Vloersoorten[],3,FALSE)*VLOOKUP($Y321,Frequenties[],3,FALSE)*VLOOKUP(#REF!,Locaties[],3,FALSE),0)</f>
        <v>0</v>
      </c>
      <c r="AB321" s="33"/>
      <c r="AC321" s="33"/>
      <c r="AD321" s="33">
        <f>Ruimtestaat[[#This Row],[uren / jaar weekend]]*Tariefsopbouw!$D$40</f>
        <v>0</v>
      </c>
      <c r="AE321" s="88">
        <f>Ruimtestaat[[#This Row],[Prest. (m2 /jaar) weekend]]+Ruimtestaat[[#This Row],[Prest. (m2 /jaar) werkdagen]]</f>
        <v>13386.000000000002</v>
      </c>
      <c r="AF321" s="88">
        <f>Ruimtestaat[[#This Row],[uren / jaar weekend]]+Ruimtestaat[[#This Row],[uren / jaar werkdagen]]</f>
        <v>133.86000000000001</v>
      </c>
      <c r="AG321" s="89">
        <f>Ruimtestaat[[#This Row],[kosten / jaar weekend]]+Ruimtestaat[[#This Row],[kosten / jaar werkdagen]]</f>
        <v>3346.5000000000005</v>
      </c>
    </row>
    <row r="322" spans="1:33" ht="15" customHeight="1">
      <c r="A322" s="195">
        <v>3</v>
      </c>
      <c r="B322" s="195" t="str">
        <f>VLOOKUP(Ruimtestaat[[#This Row],[Code]],Locaties[#All],2,FALSE)</f>
        <v>Lichtenvoorde gebouw 1</v>
      </c>
      <c r="C322" s="241" t="str">
        <f>VLOOKUP(Ruimtestaat[[#This Row],[Code]],Locaties[#All],4,FALSE)</f>
        <v>Dr Ariensstraat 1</v>
      </c>
      <c r="D322" s="241" t="str">
        <f>VLOOKUP(Ruimtestaat[[#This Row],[Code]],Locaties[#All],5,FALSE)</f>
        <v>7131 XM </v>
      </c>
      <c r="E322" s="241" t="str">
        <f>VLOOKUP(Ruimtestaat[[#This Row],[Code]],Locaties[#All],6,FALSE)</f>
        <v>Lichtenvoorde</v>
      </c>
      <c r="F322" s="195"/>
      <c r="G322" s="211" t="s">
        <v>768</v>
      </c>
      <c r="H322" s="195" t="s">
        <v>756</v>
      </c>
      <c r="I322" s="242" t="s">
        <v>395</v>
      </c>
      <c r="J322" s="195">
        <v>16</v>
      </c>
      <c r="K322" s="260" t="str">
        <f>VLOOKUP(Ruimtestaat[[#This Row],[Ruimte code]],Ruimtegroepen[#All],2,FALSE)</f>
        <v>Lokaal</v>
      </c>
      <c r="L322" s="241" t="s">
        <v>112</v>
      </c>
      <c r="M322" s="195" t="s">
        <v>130</v>
      </c>
      <c r="N322" s="197">
        <v>65.180000000000007</v>
      </c>
      <c r="O322" s="209"/>
      <c r="P322" s="241" t="str">
        <f>VLOOKUP(Ruimtestaat[[#This Row],[Ruimte code]],Ruimtegroepen[#All],4,FALSE)</f>
        <v>L  (Lesruimte)</v>
      </c>
      <c r="Q322" s="210"/>
      <c r="R322" s="211">
        <v>40</v>
      </c>
      <c r="S322" s="211" t="s">
        <v>2</v>
      </c>
      <c r="T322" s="211">
        <f>IF(R322&gt;0,IF(RIGHT(Ruimtestaat[[#This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22" s="211">
        <f>IF(T322&gt;0,VLOOKUP($J322,Ruimtegroepen[],3,FALSE)*VLOOKUP($L322,Vloersoorten[],3,FALSE)*VLOOKUP($S322,Frequenties[],3,FALSE)*VLOOKUP($A322,Locaties[],3,FALSE),0)</f>
        <v>100</v>
      </c>
      <c r="V322" s="211">
        <f>Ruimtestaat[[#This Row],[Uitvoeringen werkdagen]]*Ruimtestaat[[#This Row],[Oppervlak (netto)]]</f>
        <v>13036.000000000002</v>
      </c>
      <c r="W322" s="257">
        <f>IF(U322&gt;0,Ruimtestaat[[#This Row],[Prest. (m2 /jaar) werkdagen]]/Ruimtestaat[[#This Row],[Norm (m2/uur) werkdagen]],0)</f>
        <v>130.36000000000001</v>
      </c>
      <c r="X322" s="258">
        <f>Ruimtestaat[[#This Row],[uren / jaar werkdagen]]*Tariefsopbouw!$D$38</f>
        <v>3259.0000000000005</v>
      </c>
      <c r="Y322" s="33"/>
      <c r="Z322" s="33">
        <f>IF(Ruimtestaat[[#This Row],[Frequentie weekend]]&gt;0,VALUE(LEFT(Y322,1))*R322,0)</f>
        <v>0</v>
      </c>
      <c r="AA322" s="33">
        <f>IF($Z322&gt;0,VLOOKUP($J322,Ruimtegroepen[],3,FALSE)*VLOOKUP($L322,Vloersoorten[],3,FALSE)*VLOOKUP($Y322,Frequenties[],3,FALSE)*VLOOKUP(#REF!,Locaties[],3,FALSE),0)</f>
        <v>0</v>
      </c>
      <c r="AB322" s="33"/>
      <c r="AC322" s="33"/>
      <c r="AD322" s="33">
        <f>Ruimtestaat[[#This Row],[uren / jaar weekend]]*Tariefsopbouw!$D$40</f>
        <v>0</v>
      </c>
      <c r="AE322" s="88">
        <f>Ruimtestaat[[#This Row],[Prest. (m2 /jaar) weekend]]+Ruimtestaat[[#This Row],[Prest. (m2 /jaar) werkdagen]]</f>
        <v>13036.000000000002</v>
      </c>
      <c r="AF322" s="88">
        <f>Ruimtestaat[[#This Row],[uren / jaar weekend]]+Ruimtestaat[[#This Row],[uren / jaar werkdagen]]</f>
        <v>130.36000000000001</v>
      </c>
      <c r="AG322" s="89">
        <f>Ruimtestaat[[#This Row],[kosten / jaar weekend]]+Ruimtestaat[[#This Row],[kosten / jaar werkdagen]]</f>
        <v>3259.0000000000005</v>
      </c>
    </row>
    <row r="323" spans="1:33" ht="15" customHeight="1">
      <c r="A323" s="195">
        <v>3</v>
      </c>
      <c r="B323" s="195" t="str">
        <f>VLOOKUP(Ruimtestaat[[#This Row],[Code]],Locaties[#All],2,FALSE)</f>
        <v>Lichtenvoorde gebouw 1</v>
      </c>
      <c r="C323" s="241" t="str">
        <f>VLOOKUP(Ruimtestaat[[#This Row],[Code]],Locaties[#All],4,FALSE)</f>
        <v>Dr Ariensstraat 1</v>
      </c>
      <c r="D323" s="241" t="str">
        <f>VLOOKUP(Ruimtestaat[[#This Row],[Code]],Locaties[#All],5,FALSE)</f>
        <v>7131 XM </v>
      </c>
      <c r="E323" s="241" t="str">
        <f>VLOOKUP(Ruimtestaat[[#This Row],[Code]],Locaties[#All],6,FALSE)</f>
        <v>Lichtenvoorde</v>
      </c>
      <c r="F323" s="195"/>
      <c r="G323" s="211" t="s">
        <v>768</v>
      </c>
      <c r="H323" s="195" t="s">
        <v>757</v>
      </c>
      <c r="I323" s="242" t="s">
        <v>839</v>
      </c>
      <c r="J323" s="241">
        <v>2</v>
      </c>
      <c r="K323" s="260" t="str">
        <f>VLOOKUP(Ruimtestaat[[#This Row],[Ruimte code]],Ruimtegroepen[#All],2,FALSE)</f>
        <v>Kantoren</v>
      </c>
      <c r="L323" s="211" t="s">
        <v>110</v>
      </c>
      <c r="M323" s="195" t="s">
        <v>133</v>
      </c>
      <c r="N323" s="197">
        <v>17.04</v>
      </c>
      <c r="O323" s="209"/>
      <c r="P323" s="241" t="str">
        <f>VLOOKUP(Ruimtestaat[[#This Row],[Ruimte code]],Ruimtegroepen[#All],4,FALSE)</f>
        <v>B  (Bureauruimte)</v>
      </c>
      <c r="Q323" s="210"/>
      <c r="R323" s="211">
        <v>40</v>
      </c>
      <c r="S323" s="211" t="s">
        <v>18</v>
      </c>
      <c r="T323" s="211">
        <f>IF(R323&gt;0,IF(RIGHT(Ruimtestaat[[#This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U323" s="211">
        <f>IF(T323&gt;0,VLOOKUP($J323,Ruimtegroepen[],3,FALSE)*VLOOKUP($L323,Vloersoorten[],3,FALSE)*VLOOKUP($S323,Frequenties[],3,FALSE)*VLOOKUP($A323,Locaties[],3,FALSE),0)</f>
        <v>100</v>
      </c>
      <c r="V323" s="211">
        <f>Ruimtestaat[[#This Row],[Uitvoeringen werkdagen]]*Ruimtestaat[[#This Row],[Oppervlak (netto)]]</f>
        <v>2044.8</v>
      </c>
      <c r="W323" s="257">
        <f>IF(U323&gt;0,Ruimtestaat[[#This Row],[Prest. (m2 /jaar) werkdagen]]/Ruimtestaat[[#This Row],[Norm (m2/uur) werkdagen]],0)</f>
        <v>20.448</v>
      </c>
      <c r="X323" s="258">
        <f>Ruimtestaat[[#This Row],[uren / jaar werkdagen]]*Tariefsopbouw!$D$38</f>
        <v>511.2</v>
      </c>
      <c r="Y323" s="33"/>
      <c r="Z323" s="33">
        <f>IF(Ruimtestaat[[#This Row],[Frequentie weekend]]&gt;0,VALUE(LEFT(Y323,1))*R323,0)</f>
        <v>0</v>
      </c>
      <c r="AA323" s="33">
        <f>IF($Z323&gt;0,VLOOKUP($J323,Ruimtegroepen[],3,FALSE)*VLOOKUP($L323,Vloersoorten[],3,FALSE)*VLOOKUP($Y323,Frequenties[],3,FALSE)*VLOOKUP(#REF!,Locaties[],3,FALSE),0)</f>
        <v>0</v>
      </c>
      <c r="AB323" s="33"/>
      <c r="AC323" s="33"/>
      <c r="AD323" s="33">
        <f>Ruimtestaat[[#This Row],[uren / jaar weekend]]*Tariefsopbouw!$D$40</f>
        <v>0</v>
      </c>
      <c r="AE323" s="88">
        <f>Ruimtestaat[[#This Row],[Prest. (m2 /jaar) weekend]]+Ruimtestaat[[#This Row],[Prest. (m2 /jaar) werkdagen]]</f>
        <v>2044.8</v>
      </c>
      <c r="AF323" s="88">
        <f>Ruimtestaat[[#This Row],[uren / jaar weekend]]+Ruimtestaat[[#This Row],[uren / jaar werkdagen]]</f>
        <v>20.448</v>
      </c>
      <c r="AG323" s="89">
        <f>Ruimtestaat[[#This Row],[kosten / jaar weekend]]+Ruimtestaat[[#This Row],[kosten / jaar werkdagen]]</f>
        <v>511.2</v>
      </c>
    </row>
    <row r="324" spans="1:33" ht="15" customHeight="1">
      <c r="A324" s="195">
        <v>3</v>
      </c>
      <c r="B324" s="195" t="str">
        <f>VLOOKUP(Ruimtestaat[[#This Row],[Code]],Locaties[#All],2,FALSE)</f>
        <v>Lichtenvoorde gebouw 1</v>
      </c>
      <c r="C324" s="241" t="str">
        <f>VLOOKUP(Ruimtestaat[[#This Row],[Code]],Locaties[#All],4,FALSE)</f>
        <v>Dr Ariensstraat 1</v>
      </c>
      <c r="D324" s="241" t="str">
        <f>VLOOKUP(Ruimtestaat[[#This Row],[Code]],Locaties[#All],5,FALSE)</f>
        <v>7131 XM </v>
      </c>
      <c r="E324" s="241" t="str">
        <f>VLOOKUP(Ruimtestaat[[#This Row],[Code]],Locaties[#All],6,FALSE)</f>
        <v>Lichtenvoorde</v>
      </c>
      <c r="F324" s="195"/>
      <c r="G324" s="211" t="s">
        <v>768</v>
      </c>
      <c r="H324" s="195" t="s">
        <v>758</v>
      </c>
      <c r="I324" s="242" t="s">
        <v>602</v>
      </c>
      <c r="J324" s="195">
        <v>21</v>
      </c>
      <c r="K324" s="260" t="str">
        <f>VLOOKUP(Ruimtestaat[[#This Row],[Ruimte code]],Ruimtegroepen[#All],2,FALSE)</f>
        <v>Niet in onderhoud</v>
      </c>
      <c r="L324" s="211" t="s">
        <v>110</v>
      </c>
      <c r="M324" s="195" t="s">
        <v>133</v>
      </c>
      <c r="N324" s="197"/>
      <c r="O324" s="209">
        <v>4.13</v>
      </c>
      <c r="P324" s="241" t="str">
        <f>VLOOKUP(Ruimtestaat[[#This Row],[Ruimte code]],Ruimtegroepen[#All],4,FALSE)</f>
        <v>Niet in onderhoud</v>
      </c>
      <c r="Q324" s="210"/>
      <c r="R324" s="211"/>
      <c r="S324" s="211"/>
      <c r="T324" s="211">
        <f>IF(R324&gt;0,IF(RIGHT(Ruimtestaat[[#This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324" s="211">
        <f>IF(T324&gt;0,VLOOKUP($J324,Ruimtegroepen[],3,FALSE)*VLOOKUP($L324,Vloersoorten[],3,FALSE)*VLOOKUP($S324,Frequenties[],3,FALSE)*VLOOKUP($A324,Locaties[],3,FALSE),0)</f>
        <v>0</v>
      </c>
      <c r="V324" s="211">
        <f>Ruimtestaat[[#This Row],[Uitvoeringen werkdagen]]*Ruimtestaat[[#This Row],[Oppervlak (netto)]]</f>
        <v>0</v>
      </c>
      <c r="W324" s="257">
        <f>IF(U324&gt;0,Ruimtestaat[[#This Row],[Prest. (m2 /jaar) werkdagen]]/Ruimtestaat[[#This Row],[Norm (m2/uur) werkdagen]],0)</f>
        <v>0</v>
      </c>
      <c r="X324" s="258">
        <f>Ruimtestaat[[#This Row],[uren / jaar werkdagen]]*Tariefsopbouw!$D$38</f>
        <v>0</v>
      </c>
      <c r="Y324" s="33"/>
      <c r="Z324" s="33">
        <f>IF(Ruimtestaat[[#This Row],[Frequentie weekend]]&gt;0,VALUE(LEFT(Y324,1))*R324,0)</f>
        <v>0</v>
      </c>
      <c r="AA324" s="33">
        <f>IF($Z324&gt;0,VLOOKUP($J324,Ruimtegroepen[],3,FALSE)*VLOOKUP($L324,Vloersoorten[],3,FALSE)*VLOOKUP($Y324,Frequenties[],3,FALSE)*VLOOKUP(#REF!,Locaties[],3,FALSE),0)</f>
        <v>0</v>
      </c>
      <c r="AB324" s="33"/>
      <c r="AC324" s="33"/>
      <c r="AD324" s="33">
        <f>Ruimtestaat[[#This Row],[uren / jaar weekend]]*Tariefsopbouw!$D$40</f>
        <v>0</v>
      </c>
      <c r="AE324" s="88">
        <f>Ruimtestaat[[#This Row],[Prest. (m2 /jaar) weekend]]+Ruimtestaat[[#This Row],[Prest. (m2 /jaar) werkdagen]]</f>
        <v>0</v>
      </c>
      <c r="AF324" s="88">
        <f>Ruimtestaat[[#This Row],[uren / jaar weekend]]+Ruimtestaat[[#This Row],[uren / jaar werkdagen]]</f>
        <v>0</v>
      </c>
      <c r="AG324" s="89">
        <f>Ruimtestaat[[#This Row],[kosten / jaar weekend]]+Ruimtestaat[[#This Row],[kosten / jaar werkdagen]]</f>
        <v>0</v>
      </c>
    </row>
    <row r="325" spans="1:33" ht="15" customHeight="1">
      <c r="A325" s="195">
        <v>3</v>
      </c>
      <c r="B325" s="195" t="str">
        <f>VLOOKUP(Ruimtestaat[[#This Row],[Code]],Locaties[#All],2,FALSE)</f>
        <v>Lichtenvoorde gebouw 1</v>
      </c>
      <c r="C325" s="241" t="str">
        <f>VLOOKUP(Ruimtestaat[[#This Row],[Code]],Locaties[#All],4,FALSE)</f>
        <v>Dr Ariensstraat 1</v>
      </c>
      <c r="D325" s="241" t="str">
        <f>VLOOKUP(Ruimtestaat[[#This Row],[Code]],Locaties[#All],5,FALSE)</f>
        <v>7131 XM </v>
      </c>
      <c r="E325" s="241" t="str">
        <f>VLOOKUP(Ruimtestaat[[#This Row],[Code]],Locaties[#All],6,FALSE)</f>
        <v>Lichtenvoorde</v>
      </c>
      <c r="F325" s="195"/>
      <c r="G325" s="211" t="s">
        <v>768</v>
      </c>
      <c r="H325" s="195" t="s">
        <v>759</v>
      </c>
      <c r="I325" s="242" t="s">
        <v>824</v>
      </c>
      <c r="J325" s="195">
        <v>1</v>
      </c>
      <c r="K325" s="260" t="str">
        <f>VLOOKUP(Ruimtestaat[[#This Row],[Ruimte code]],Ruimtegroepen[#All],2,FALSE)</f>
        <v>Magazijnen/bergingen</v>
      </c>
      <c r="L325" s="211" t="s">
        <v>111</v>
      </c>
      <c r="M325" s="195" t="s">
        <v>846</v>
      </c>
      <c r="N325" s="197">
        <v>2.16</v>
      </c>
      <c r="O325" s="209"/>
      <c r="P325" s="241" t="str">
        <f>VLOOKUP(Ruimtestaat[[#This Row],[Ruimte code]],Ruimtegroepen[#All],4,FALSE)</f>
        <v>V  (Verkeersruimte)</v>
      </c>
      <c r="Q325" s="210"/>
      <c r="R325" s="211">
        <v>40</v>
      </c>
      <c r="S325" s="211" t="s">
        <v>16</v>
      </c>
      <c r="T325" s="211">
        <f>IF(R325&gt;0,IF(RIGHT(Ruimtestaat[[#This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U325" s="211">
        <f>IF(T325&gt;0,VLOOKUP($J325,Ruimtegroepen[],3,FALSE)*VLOOKUP($L325,Vloersoorten[],3,FALSE)*VLOOKUP($S325,Frequenties[],3,FALSE)*VLOOKUP($A325,Locaties[],3,FALSE),0)</f>
        <v>100</v>
      </c>
      <c r="V325" s="211">
        <f>Ruimtestaat[[#This Row],[Uitvoeringen werkdagen]]*Ruimtestaat[[#This Row],[Oppervlak (netto)]]</f>
        <v>25.92</v>
      </c>
      <c r="W325" s="257">
        <f>IF(U325&gt;0,Ruimtestaat[[#This Row],[Prest. (m2 /jaar) werkdagen]]/Ruimtestaat[[#This Row],[Norm (m2/uur) werkdagen]],0)</f>
        <v>0.25920000000000004</v>
      </c>
      <c r="X325" s="258">
        <f>Ruimtestaat[[#This Row],[uren / jaar werkdagen]]*Tariefsopbouw!$D$38</f>
        <v>6.4800000000000013</v>
      </c>
      <c r="Y325" s="33"/>
      <c r="Z325" s="33">
        <f>IF(Ruimtestaat[[#This Row],[Frequentie weekend]]&gt;0,VALUE(LEFT(Y325,1))*R325,0)</f>
        <v>0</v>
      </c>
      <c r="AA325" s="33">
        <f>IF($Z325&gt;0,VLOOKUP($J325,Ruimtegroepen[],3,FALSE)*VLOOKUP($L325,Vloersoorten[],3,FALSE)*VLOOKUP($Y325,Frequenties[],3,FALSE)*VLOOKUP(#REF!,Locaties[],3,FALSE),0)</f>
        <v>0</v>
      </c>
      <c r="AB325" s="33"/>
      <c r="AC325" s="33"/>
      <c r="AD325" s="33">
        <f>Ruimtestaat[[#This Row],[uren / jaar weekend]]*Tariefsopbouw!$D$40</f>
        <v>0</v>
      </c>
      <c r="AE325" s="88">
        <f>Ruimtestaat[[#This Row],[Prest. (m2 /jaar) weekend]]+Ruimtestaat[[#This Row],[Prest. (m2 /jaar) werkdagen]]</f>
        <v>25.92</v>
      </c>
      <c r="AF325" s="88">
        <f>Ruimtestaat[[#This Row],[uren / jaar weekend]]+Ruimtestaat[[#This Row],[uren / jaar werkdagen]]</f>
        <v>0.25920000000000004</v>
      </c>
      <c r="AG325" s="89">
        <f>Ruimtestaat[[#This Row],[kosten / jaar weekend]]+Ruimtestaat[[#This Row],[kosten / jaar werkdagen]]</f>
        <v>6.4800000000000013</v>
      </c>
    </row>
    <row r="326" spans="1:33" ht="15" customHeight="1">
      <c r="A326" s="195">
        <v>3</v>
      </c>
      <c r="B326" s="195" t="str">
        <f>VLOOKUP(Ruimtestaat[[#This Row],[Code]],Locaties[#All],2,FALSE)</f>
        <v>Lichtenvoorde gebouw 1</v>
      </c>
      <c r="C326" s="241" t="str">
        <f>VLOOKUP(Ruimtestaat[[#This Row],[Code]],Locaties[#All],4,FALSE)</f>
        <v>Dr Ariensstraat 1</v>
      </c>
      <c r="D326" s="241" t="str">
        <f>VLOOKUP(Ruimtestaat[[#This Row],[Code]],Locaties[#All],5,FALSE)</f>
        <v>7131 XM </v>
      </c>
      <c r="E326" s="241" t="str">
        <f>VLOOKUP(Ruimtestaat[[#This Row],[Code]],Locaties[#All],6,FALSE)</f>
        <v>Lichtenvoorde</v>
      </c>
      <c r="F326" s="195"/>
      <c r="G326" s="211" t="s">
        <v>768</v>
      </c>
      <c r="H326" s="195" t="s">
        <v>760</v>
      </c>
      <c r="I326" s="242" t="s">
        <v>382</v>
      </c>
      <c r="J326" s="195">
        <v>6</v>
      </c>
      <c r="K326" s="260" t="str">
        <f>VLOOKUP(Ruimtestaat[[#This Row],[Ruimte code]],Ruimtegroepen[#All],2,FALSE)</f>
        <v>Gangen/hallen</v>
      </c>
      <c r="L326" s="241" t="s">
        <v>110</v>
      </c>
      <c r="M326" s="195" t="s">
        <v>133</v>
      </c>
      <c r="N326" s="197">
        <v>6.8</v>
      </c>
      <c r="O326" s="209"/>
      <c r="P326" s="241" t="str">
        <f>VLOOKUP(Ruimtestaat[[#This Row],[Ruimte code]],Ruimtegroepen[#All],4,FALSE)</f>
        <v>V  (Verkeersruimte)</v>
      </c>
      <c r="Q326" s="210"/>
      <c r="R326" s="211">
        <v>40</v>
      </c>
      <c r="S326" s="211" t="s">
        <v>2</v>
      </c>
      <c r="T326" s="211">
        <f>IF(R326&gt;0,IF(RIGHT(Ruimtestaat[[#This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26" s="211">
        <f>IF(T326&gt;0,VLOOKUP($J326,Ruimtegroepen[],3,FALSE)*VLOOKUP($L326,Vloersoorten[],3,FALSE)*VLOOKUP($S326,Frequenties[],3,FALSE)*VLOOKUP($A326,Locaties[],3,FALSE),0)</f>
        <v>100</v>
      </c>
      <c r="V326" s="211">
        <f>Ruimtestaat[[#This Row],[Uitvoeringen werkdagen]]*Ruimtestaat[[#This Row],[Oppervlak (netto)]]</f>
        <v>1360</v>
      </c>
      <c r="W326" s="257">
        <f>IF(U326&gt;0,Ruimtestaat[[#This Row],[Prest. (m2 /jaar) werkdagen]]/Ruimtestaat[[#This Row],[Norm (m2/uur) werkdagen]],0)</f>
        <v>13.6</v>
      </c>
      <c r="X326" s="258">
        <f>Ruimtestaat[[#This Row],[uren / jaar werkdagen]]*Tariefsopbouw!$D$38</f>
        <v>340</v>
      </c>
      <c r="Y326" s="33"/>
      <c r="Z326" s="33">
        <f>IF(Ruimtestaat[[#This Row],[Frequentie weekend]]&gt;0,VALUE(LEFT(Y326,1))*R326,0)</f>
        <v>0</v>
      </c>
      <c r="AA326" s="33">
        <f>IF($Z326&gt;0,VLOOKUP($J326,Ruimtegroepen[],3,FALSE)*VLOOKUP($L326,Vloersoorten[],3,FALSE)*VLOOKUP($Y326,Frequenties[],3,FALSE)*VLOOKUP(#REF!,Locaties[],3,FALSE),0)</f>
        <v>0</v>
      </c>
      <c r="AB326" s="33"/>
      <c r="AC326" s="33"/>
      <c r="AD326" s="33">
        <f>Ruimtestaat[[#This Row],[uren / jaar weekend]]*Tariefsopbouw!$D$40</f>
        <v>0</v>
      </c>
      <c r="AE326" s="88">
        <f>Ruimtestaat[[#This Row],[Prest. (m2 /jaar) weekend]]+Ruimtestaat[[#This Row],[Prest. (m2 /jaar) werkdagen]]</f>
        <v>1360</v>
      </c>
      <c r="AF326" s="88">
        <f>Ruimtestaat[[#This Row],[uren / jaar weekend]]+Ruimtestaat[[#This Row],[uren / jaar werkdagen]]</f>
        <v>13.6</v>
      </c>
      <c r="AG326" s="89">
        <f>Ruimtestaat[[#This Row],[kosten / jaar weekend]]+Ruimtestaat[[#This Row],[kosten / jaar werkdagen]]</f>
        <v>340</v>
      </c>
    </row>
    <row r="327" spans="1:33" ht="15" customHeight="1">
      <c r="A327" s="195">
        <v>3</v>
      </c>
      <c r="B327" s="195" t="str">
        <f>VLOOKUP(Ruimtestaat[[#This Row],[Code]],Locaties[#All],2,FALSE)</f>
        <v>Lichtenvoorde gebouw 1</v>
      </c>
      <c r="C327" s="241" t="str">
        <f>VLOOKUP(Ruimtestaat[[#This Row],[Code]],Locaties[#All],4,FALSE)</f>
        <v>Dr Ariensstraat 1</v>
      </c>
      <c r="D327" s="241" t="str">
        <f>VLOOKUP(Ruimtestaat[[#This Row],[Code]],Locaties[#All],5,FALSE)</f>
        <v>7131 XM </v>
      </c>
      <c r="E327" s="241" t="str">
        <f>VLOOKUP(Ruimtestaat[[#This Row],[Code]],Locaties[#All],6,FALSE)</f>
        <v>Lichtenvoorde</v>
      </c>
      <c r="F327" s="195"/>
      <c r="G327" s="211" t="s">
        <v>768</v>
      </c>
      <c r="H327" s="195" t="s">
        <v>761</v>
      </c>
      <c r="I327" s="242" t="s">
        <v>639</v>
      </c>
      <c r="J327" s="195">
        <v>6</v>
      </c>
      <c r="K327" s="260" t="str">
        <f>VLOOKUP(Ruimtestaat[[#This Row],[Ruimte code]],Ruimtegroepen[#All],2,FALSE)</f>
        <v>Gangen/hallen</v>
      </c>
      <c r="L327" s="211" t="s">
        <v>110</v>
      </c>
      <c r="M327" s="195" t="s">
        <v>133</v>
      </c>
      <c r="N327" s="197">
        <v>6.3</v>
      </c>
      <c r="O327" s="209"/>
      <c r="P327" s="241" t="str">
        <f>VLOOKUP(Ruimtestaat[[#This Row],[Ruimte code]],Ruimtegroepen[#All],4,FALSE)</f>
        <v>V  (Verkeersruimte)</v>
      </c>
      <c r="Q327" s="210"/>
      <c r="R327" s="211">
        <v>40</v>
      </c>
      <c r="S327" s="211" t="s">
        <v>2</v>
      </c>
      <c r="T327" s="211">
        <f>IF(R327&gt;0,IF(RIGHT(Ruimtestaat[[#This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27" s="211">
        <f>IF(T327&gt;0,VLOOKUP($J327,Ruimtegroepen[],3,FALSE)*VLOOKUP($L327,Vloersoorten[],3,FALSE)*VLOOKUP($S327,Frequenties[],3,FALSE)*VLOOKUP($A327,Locaties[],3,FALSE),0)</f>
        <v>100</v>
      </c>
      <c r="V327" s="211">
        <f>Ruimtestaat[[#This Row],[Uitvoeringen werkdagen]]*Ruimtestaat[[#This Row],[Oppervlak (netto)]]</f>
        <v>1260</v>
      </c>
      <c r="W327" s="257">
        <f>IF(U327&gt;0,Ruimtestaat[[#This Row],[Prest. (m2 /jaar) werkdagen]]/Ruimtestaat[[#This Row],[Norm (m2/uur) werkdagen]],0)</f>
        <v>12.6</v>
      </c>
      <c r="X327" s="258">
        <f>Ruimtestaat[[#This Row],[uren / jaar werkdagen]]*Tariefsopbouw!$D$38</f>
        <v>315</v>
      </c>
      <c r="Y327" s="33"/>
      <c r="Z327" s="33">
        <f>IF(Ruimtestaat[[#This Row],[Frequentie weekend]]&gt;0,VALUE(LEFT(Y327,1))*R327,0)</f>
        <v>0</v>
      </c>
      <c r="AA327" s="33">
        <f>IF($Z327&gt;0,VLOOKUP($J327,Ruimtegroepen[],3,FALSE)*VLOOKUP($L327,Vloersoorten[],3,FALSE)*VLOOKUP($Y327,Frequenties[],3,FALSE)*VLOOKUP(#REF!,Locaties[],3,FALSE),0)</f>
        <v>0</v>
      </c>
      <c r="AB327" s="33"/>
      <c r="AC327" s="33"/>
      <c r="AD327" s="33">
        <f>Ruimtestaat[[#This Row],[uren / jaar weekend]]*Tariefsopbouw!$D$40</f>
        <v>0</v>
      </c>
      <c r="AE327" s="88">
        <f>Ruimtestaat[[#This Row],[Prest. (m2 /jaar) weekend]]+Ruimtestaat[[#This Row],[Prest. (m2 /jaar) werkdagen]]</f>
        <v>1260</v>
      </c>
      <c r="AF327" s="88">
        <f>Ruimtestaat[[#This Row],[uren / jaar weekend]]+Ruimtestaat[[#This Row],[uren / jaar werkdagen]]</f>
        <v>12.6</v>
      </c>
      <c r="AG327" s="89">
        <f>Ruimtestaat[[#This Row],[kosten / jaar weekend]]+Ruimtestaat[[#This Row],[kosten / jaar werkdagen]]</f>
        <v>315</v>
      </c>
    </row>
    <row r="328" spans="1:33" ht="15" customHeight="1">
      <c r="A328" s="195">
        <v>3</v>
      </c>
      <c r="B328" s="195" t="str">
        <f>VLOOKUP(Ruimtestaat[[#This Row],[Code]],Locaties[#All],2,FALSE)</f>
        <v>Lichtenvoorde gebouw 1</v>
      </c>
      <c r="C328" s="241" t="str">
        <f>VLOOKUP(Ruimtestaat[[#This Row],[Code]],Locaties[#All],4,FALSE)</f>
        <v>Dr Ariensstraat 1</v>
      </c>
      <c r="D328" s="241" t="str">
        <f>VLOOKUP(Ruimtestaat[[#This Row],[Code]],Locaties[#All],5,FALSE)</f>
        <v>7131 XM </v>
      </c>
      <c r="E328" s="241" t="str">
        <f>VLOOKUP(Ruimtestaat[[#This Row],[Code]],Locaties[#All],6,FALSE)</f>
        <v>Lichtenvoorde</v>
      </c>
      <c r="F328" s="195"/>
      <c r="G328" s="211" t="s">
        <v>768</v>
      </c>
      <c r="H328" s="195" t="s">
        <v>762</v>
      </c>
      <c r="I328" s="242" t="s">
        <v>765</v>
      </c>
      <c r="J328" s="211">
        <v>11</v>
      </c>
      <c r="K328" s="260" t="str">
        <f>VLOOKUP(Ruimtestaat[[#This Row],[Ruimte code]],Ruimtegroepen[#All],2,FALSE)</f>
        <v>Praktijklokaal</v>
      </c>
      <c r="L328" s="241" t="s">
        <v>110</v>
      </c>
      <c r="M328" s="195" t="s">
        <v>133</v>
      </c>
      <c r="N328" s="197">
        <v>93.32</v>
      </c>
      <c r="O328" s="209"/>
      <c r="P328" s="241" t="str">
        <f>VLOOKUP(Ruimtestaat[[#This Row],[Ruimte code]],Ruimtegroepen[#All],4,FALSE)</f>
        <v>L  (Lesruimte)</v>
      </c>
      <c r="Q328" s="210"/>
      <c r="R328" s="211">
        <v>40</v>
      </c>
      <c r="S328" s="211" t="s">
        <v>2</v>
      </c>
      <c r="T328" s="211">
        <f>IF(R328&gt;0,IF(RIGHT(Ruimtestaat[[#This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28" s="211">
        <f>IF(T328&gt;0,VLOOKUP($J328,Ruimtegroepen[],3,FALSE)*VLOOKUP($L328,Vloersoorten[],3,FALSE)*VLOOKUP($S328,Frequenties[],3,FALSE)*VLOOKUP($A328,Locaties[],3,FALSE),0)</f>
        <v>100</v>
      </c>
      <c r="V328" s="211">
        <f>Ruimtestaat[[#This Row],[Uitvoeringen werkdagen]]*Ruimtestaat[[#This Row],[Oppervlak (netto)]]</f>
        <v>18664</v>
      </c>
      <c r="W328" s="257">
        <f>IF(U328&gt;0,Ruimtestaat[[#This Row],[Prest. (m2 /jaar) werkdagen]]/Ruimtestaat[[#This Row],[Norm (m2/uur) werkdagen]],0)</f>
        <v>186.64</v>
      </c>
      <c r="X328" s="258">
        <f>Ruimtestaat[[#This Row],[uren / jaar werkdagen]]*Tariefsopbouw!$D$38</f>
        <v>4666</v>
      </c>
      <c r="Y328" s="33"/>
      <c r="Z328" s="33">
        <f>IF(Ruimtestaat[[#This Row],[Frequentie weekend]]&gt;0,VALUE(LEFT(Y328,1))*R328,0)</f>
        <v>0</v>
      </c>
      <c r="AA328" s="33">
        <f>IF($Z328&gt;0,VLOOKUP($J328,Ruimtegroepen[],3,FALSE)*VLOOKUP($L328,Vloersoorten[],3,FALSE)*VLOOKUP($Y328,Frequenties[],3,FALSE)*VLOOKUP(#REF!,Locaties[],3,FALSE),0)</f>
        <v>0</v>
      </c>
      <c r="AB328" s="33"/>
      <c r="AC328" s="33"/>
      <c r="AD328" s="33">
        <f>Ruimtestaat[[#This Row],[uren / jaar weekend]]*Tariefsopbouw!$D$40</f>
        <v>0</v>
      </c>
      <c r="AE328" s="88">
        <f>Ruimtestaat[[#This Row],[Prest. (m2 /jaar) weekend]]+Ruimtestaat[[#This Row],[Prest. (m2 /jaar) werkdagen]]</f>
        <v>18664</v>
      </c>
      <c r="AF328" s="88">
        <f>Ruimtestaat[[#This Row],[uren / jaar weekend]]+Ruimtestaat[[#This Row],[uren / jaar werkdagen]]</f>
        <v>186.64</v>
      </c>
      <c r="AG328" s="89">
        <f>Ruimtestaat[[#This Row],[kosten / jaar weekend]]+Ruimtestaat[[#This Row],[kosten / jaar werkdagen]]</f>
        <v>4666</v>
      </c>
    </row>
    <row r="329" spans="1:33" ht="15" customHeight="1">
      <c r="A329" s="195">
        <v>3</v>
      </c>
      <c r="B329" s="195" t="str">
        <f>VLOOKUP(Ruimtestaat[[#This Row],[Code]],Locaties[#All],2,FALSE)</f>
        <v>Lichtenvoorde gebouw 1</v>
      </c>
      <c r="C329" s="241" t="str">
        <f>VLOOKUP(Ruimtestaat[[#This Row],[Code]],Locaties[#All],4,FALSE)</f>
        <v>Dr Ariensstraat 1</v>
      </c>
      <c r="D329" s="241" t="str">
        <f>VLOOKUP(Ruimtestaat[[#This Row],[Code]],Locaties[#All],5,FALSE)</f>
        <v>7131 XM </v>
      </c>
      <c r="E329" s="241" t="str">
        <f>VLOOKUP(Ruimtestaat[[#This Row],[Code]],Locaties[#All],6,FALSE)</f>
        <v>Lichtenvoorde</v>
      </c>
      <c r="F329" s="195"/>
      <c r="G329" s="211" t="s">
        <v>768</v>
      </c>
      <c r="H329" s="195" t="s">
        <v>763</v>
      </c>
      <c r="I329" s="242" t="s">
        <v>765</v>
      </c>
      <c r="J329" s="195">
        <v>11</v>
      </c>
      <c r="K329" s="260" t="str">
        <f>VLOOKUP(Ruimtestaat[[#This Row],[Ruimte code]],Ruimtegroepen[#All],2,FALSE)</f>
        <v>Praktijklokaal</v>
      </c>
      <c r="L329" s="241" t="s">
        <v>110</v>
      </c>
      <c r="M329" s="195" t="s">
        <v>133</v>
      </c>
      <c r="N329" s="197">
        <v>66.400000000000006</v>
      </c>
      <c r="O329" s="209"/>
      <c r="P329" s="241" t="str">
        <f>VLOOKUP(Ruimtestaat[[#This Row],[Ruimte code]],Ruimtegroepen[#All],4,FALSE)</f>
        <v>L  (Lesruimte)</v>
      </c>
      <c r="Q329" s="210"/>
      <c r="R329" s="211">
        <v>40</v>
      </c>
      <c r="S329" s="211" t="s">
        <v>2</v>
      </c>
      <c r="T329" s="211">
        <f>IF(R329&gt;0,IF(RIGHT(Ruimtestaat[[#This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29" s="211">
        <f>IF(T329&gt;0,VLOOKUP($J329,Ruimtegroepen[],3,FALSE)*VLOOKUP($L329,Vloersoorten[],3,FALSE)*VLOOKUP($S329,Frequenties[],3,FALSE)*VLOOKUP($A329,Locaties[],3,FALSE),0)</f>
        <v>100</v>
      </c>
      <c r="V329" s="211">
        <f>Ruimtestaat[[#This Row],[Uitvoeringen werkdagen]]*Ruimtestaat[[#This Row],[Oppervlak (netto)]]</f>
        <v>13280.000000000002</v>
      </c>
      <c r="W329" s="257">
        <f>IF(U329&gt;0,Ruimtestaat[[#This Row],[Prest. (m2 /jaar) werkdagen]]/Ruimtestaat[[#This Row],[Norm (m2/uur) werkdagen]],0)</f>
        <v>132.80000000000001</v>
      </c>
      <c r="X329" s="258">
        <f>Ruimtestaat[[#This Row],[uren / jaar werkdagen]]*Tariefsopbouw!$D$38</f>
        <v>3320.0000000000005</v>
      </c>
      <c r="Y329" s="33"/>
      <c r="Z329" s="33">
        <f>IF(Ruimtestaat[[#This Row],[Frequentie weekend]]&gt;0,VALUE(LEFT(Y329,1))*R329,0)</f>
        <v>0</v>
      </c>
      <c r="AA329" s="33">
        <f>IF($Z329&gt;0,VLOOKUP($J329,Ruimtegroepen[],3,FALSE)*VLOOKUP($L329,Vloersoorten[],3,FALSE)*VLOOKUP($Y329,Frequenties[],3,FALSE)*VLOOKUP(#REF!,Locaties[],3,FALSE),0)</f>
        <v>0</v>
      </c>
      <c r="AB329" s="33"/>
      <c r="AC329" s="33"/>
      <c r="AD329" s="33">
        <f>Ruimtestaat[[#This Row],[uren / jaar weekend]]*Tariefsopbouw!$D$40</f>
        <v>0</v>
      </c>
      <c r="AE329" s="88">
        <f>Ruimtestaat[[#This Row],[Prest. (m2 /jaar) weekend]]+Ruimtestaat[[#This Row],[Prest. (m2 /jaar) werkdagen]]</f>
        <v>13280.000000000002</v>
      </c>
      <c r="AF329" s="88">
        <f>Ruimtestaat[[#This Row],[uren / jaar weekend]]+Ruimtestaat[[#This Row],[uren / jaar werkdagen]]</f>
        <v>132.80000000000001</v>
      </c>
      <c r="AG329" s="89">
        <f>Ruimtestaat[[#This Row],[kosten / jaar weekend]]+Ruimtestaat[[#This Row],[kosten / jaar werkdagen]]</f>
        <v>3320.0000000000005</v>
      </c>
    </row>
    <row r="330" spans="1:33" ht="15" customHeight="1">
      <c r="A330" s="195">
        <v>3</v>
      </c>
      <c r="B330" s="195" t="str">
        <f>VLOOKUP(Ruimtestaat[[#This Row],[Code]],Locaties[#All],2,FALSE)</f>
        <v>Lichtenvoorde gebouw 1</v>
      </c>
      <c r="C330" s="241" t="str">
        <f>VLOOKUP(Ruimtestaat[[#This Row],[Code]],Locaties[#All],4,FALSE)</f>
        <v>Dr Ariensstraat 1</v>
      </c>
      <c r="D330" s="241" t="str">
        <f>VLOOKUP(Ruimtestaat[[#This Row],[Code]],Locaties[#All],5,FALSE)</f>
        <v>7131 XM </v>
      </c>
      <c r="E330" s="241" t="str">
        <f>VLOOKUP(Ruimtestaat[[#This Row],[Code]],Locaties[#All],6,FALSE)</f>
        <v>Lichtenvoorde</v>
      </c>
      <c r="F330" s="195"/>
      <c r="G330" s="211" t="s">
        <v>768</v>
      </c>
      <c r="H330" s="195" t="s">
        <v>764</v>
      </c>
      <c r="I330" s="242" t="s">
        <v>639</v>
      </c>
      <c r="J330" s="195">
        <v>6</v>
      </c>
      <c r="K330" s="260" t="str">
        <f>VLOOKUP(Ruimtestaat[[#This Row],[Ruimte code]],Ruimtegroepen[#All],2,FALSE)</f>
        <v>Gangen/hallen</v>
      </c>
      <c r="L330" s="195" t="s">
        <v>110</v>
      </c>
      <c r="M330" s="195" t="s">
        <v>133</v>
      </c>
      <c r="N330" s="197">
        <v>6.29</v>
      </c>
      <c r="O330" s="209"/>
      <c r="P330" s="241" t="str">
        <f>VLOOKUP(Ruimtestaat[[#This Row],[Ruimte code]],Ruimtegroepen[#All],4,FALSE)</f>
        <v>V  (Verkeersruimte)</v>
      </c>
      <c r="Q330" s="210"/>
      <c r="R330" s="211">
        <v>40</v>
      </c>
      <c r="S330" s="211" t="s">
        <v>2</v>
      </c>
      <c r="T330" s="211">
        <f>IF(R330&gt;0,IF(RIGHT(Ruimtestaat[[#This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30" s="211">
        <f>IF(T330&gt;0,VLOOKUP($J330,Ruimtegroepen[],3,FALSE)*VLOOKUP($L330,Vloersoorten[],3,FALSE)*VLOOKUP($S330,Frequenties[],3,FALSE)*VLOOKUP($A330,Locaties[],3,FALSE),0)</f>
        <v>100</v>
      </c>
      <c r="V330" s="211">
        <f>Ruimtestaat[[#This Row],[Uitvoeringen werkdagen]]*Ruimtestaat[[#This Row],[Oppervlak (netto)]]</f>
        <v>1258</v>
      </c>
      <c r="W330" s="257">
        <f>IF(U330&gt;0,Ruimtestaat[[#This Row],[Prest. (m2 /jaar) werkdagen]]/Ruimtestaat[[#This Row],[Norm (m2/uur) werkdagen]],0)</f>
        <v>12.58</v>
      </c>
      <c r="X330" s="258">
        <f>Ruimtestaat[[#This Row],[uren / jaar werkdagen]]*Tariefsopbouw!$D$38</f>
        <v>314.5</v>
      </c>
      <c r="Y330" s="33"/>
      <c r="Z330" s="33">
        <f>IF(Ruimtestaat[[#This Row],[Frequentie weekend]]&gt;0,VALUE(LEFT(Y330,1))*R330,0)</f>
        <v>0</v>
      </c>
      <c r="AA330" s="33">
        <f>IF($Z330&gt;0,VLOOKUP($J330,Ruimtegroepen[],3,FALSE)*VLOOKUP($L330,Vloersoorten[],3,FALSE)*VLOOKUP($Y330,Frequenties[],3,FALSE)*VLOOKUP(#REF!,Locaties[],3,FALSE),0)</f>
        <v>0</v>
      </c>
      <c r="AB330" s="33"/>
      <c r="AC330" s="33"/>
      <c r="AD330" s="33">
        <f>Ruimtestaat[[#This Row],[uren / jaar weekend]]*Tariefsopbouw!$D$40</f>
        <v>0</v>
      </c>
      <c r="AE330" s="88">
        <f>Ruimtestaat[[#This Row],[Prest. (m2 /jaar) weekend]]+Ruimtestaat[[#This Row],[Prest. (m2 /jaar) werkdagen]]</f>
        <v>1258</v>
      </c>
      <c r="AF330" s="88">
        <f>Ruimtestaat[[#This Row],[uren / jaar weekend]]+Ruimtestaat[[#This Row],[uren / jaar werkdagen]]</f>
        <v>12.58</v>
      </c>
      <c r="AG330" s="89">
        <f>Ruimtestaat[[#This Row],[kosten / jaar weekend]]+Ruimtestaat[[#This Row],[kosten / jaar werkdagen]]</f>
        <v>314.5</v>
      </c>
    </row>
    <row r="331" spans="1:33" ht="15" customHeight="1">
      <c r="A331" s="195">
        <v>3</v>
      </c>
      <c r="B331" s="195" t="str">
        <f>VLOOKUP(Ruimtestaat[[#This Row],[Code]],Locaties[#All],2,FALSE)</f>
        <v>Lichtenvoorde gebouw 1</v>
      </c>
      <c r="C331" s="241" t="str">
        <f>VLOOKUP(Ruimtestaat[[#This Row],[Code]],Locaties[#All],4,FALSE)</f>
        <v>Dr Ariensstraat 1</v>
      </c>
      <c r="D331" s="241" t="str">
        <f>VLOOKUP(Ruimtestaat[[#This Row],[Code]],Locaties[#All],5,FALSE)</f>
        <v>7131 XM </v>
      </c>
      <c r="E331" s="241" t="str">
        <f>VLOOKUP(Ruimtestaat[[#This Row],[Code]],Locaties[#All],6,FALSE)</f>
        <v>Lichtenvoorde</v>
      </c>
      <c r="F331" s="195"/>
      <c r="G331" s="211" t="s">
        <v>772</v>
      </c>
      <c r="H331" s="195" t="s">
        <v>611</v>
      </c>
      <c r="I331" s="242" t="s">
        <v>601</v>
      </c>
      <c r="J331" s="195">
        <v>21</v>
      </c>
      <c r="K331" s="260" t="str">
        <f>VLOOKUP(Ruimtestaat[[#This Row],[Ruimte code]],Ruimtegroepen[#All],2,FALSE)</f>
        <v>Niet in onderhoud</v>
      </c>
      <c r="L331" s="211" t="s">
        <v>111</v>
      </c>
      <c r="M331" s="195" t="s">
        <v>829</v>
      </c>
      <c r="N331" s="197"/>
      <c r="O331" s="209">
        <v>33.380000000000003</v>
      </c>
      <c r="P331" s="241" t="str">
        <f>VLOOKUP(Ruimtestaat[[#This Row],[Ruimte code]],Ruimtegroepen[#All],4,FALSE)</f>
        <v>Niet in onderhoud</v>
      </c>
      <c r="Q331" s="210"/>
      <c r="R331" s="211"/>
      <c r="S331" s="211"/>
      <c r="T331" s="211">
        <f>IF(R331&gt;0,IF(RIGHT(Ruimtestaat[[#This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331" s="211">
        <f>IF(T331&gt;0,VLOOKUP($J331,Ruimtegroepen[],3,FALSE)*VLOOKUP($L331,Vloersoorten[],3,FALSE)*VLOOKUP($S331,Frequenties[],3,FALSE)*VLOOKUP($A331,Locaties[],3,FALSE),0)</f>
        <v>0</v>
      </c>
      <c r="V331" s="211">
        <f>Ruimtestaat[[#This Row],[Uitvoeringen werkdagen]]*Ruimtestaat[[#This Row],[Oppervlak (netto)]]</f>
        <v>0</v>
      </c>
      <c r="W331" s="257">
        <f>IF(U331&gt;0,Ruimtestaat[[#This Row],[Prest. (m2 /jaar) werkdagen]]/Ruimtestaat[[#This Row],[Norm (m2/uur) werkdagen]],0)</f>
        <v>0</v>
      </c>
      <c r="X331" s="258">
        <f>Ruimtestaat[[#This Row],[uren / jaar werkdagen]]*Tariefsopbouw!$D$38</f>
        <v>0</v>
      </c>
      <c r="Y331" s="33"/>
      <c r="Z331" s="33">
        <f>IF(Ruimtestaat[[#This Row],[Frequentie weekend]]&gt;0,VALUE(LEFT(Y331,1))*R331,0)</f>
        <v>0</v>
      </c>
      <c r="AA331" s="33">
        <f>IF($Z331&gt;0,VLOOKUP($J331,Ruimtegroepen[],3,FALSE)*VLOOKUP($L331,Vloersoorten[],3,FALSE)*VLOOKUP($Y331,Frequenties[],3,FALSE)*VLOOKUP(#REF!,Locaties[],3,FALSE),0)</f>
        <v>0</v>
      </c>
      <c r="AB331" s="33"/>
      <c r="AC331" s="33"/>
      <c r="AD331" s="33">
        <f>Ruimtestaat[[#This Row],[uren / jaar weekend]]*Tariefsopbouw!$D$40</f>
        <v>0</v>
      </c>
      <c r="AE331" s="88">
        <f>Ruimtestaat[[#This Row],[Prest. (m2 /jaar) weekend]]+Ruimtestaat[[#This Row],[Prest. (m2 /jaar) werkdagen]]</f>
        <v>0</v>
      </c>
      <c r="AF331" s="88">
        <f>Ruimtestaat[[#This Row],[uren / jaar weekend]]+Ruimtestaat[[#This Row],[uren / jaar werkdagen]]</f>
        <v>0</v>
      </c>
      <c r="AG331" s="89">
        <f>Ruimtestaat[[#This Row],[kosten / jaar weekend]]+Ruimtestaat[[#This Row],[kosten / jaar werkdagen]]</f>
        <v>0</v>
      </c>
    </row>
    <row r="332" spans="1:33" ht="15" customHeight="1">
      <c r="A332" s="195">
        <v>3</v>
      </c>
      <c r="B332" s="195" t="str">
        <f>VLOOKUP(Ruimtestaat[[#This Row],[Code]],Locaties[#All],2,FALSE)</f>
        <v>Lichtenvoorde gebouw 1</v>
      </c>
      <c r="C332" s="241" t="str">
        <f>VLOOKUP(Ruimtestaat[[#This Row],[Code]],Locaties[#All],4,FALSE)</f>
        <v>Dr Ariensstraat 1</v>
      </c>
      <c r="D332" s="241" t="str">
        <f>VLOOKUP(Ruimtestaat[[#This Row],[Code]],Locaties[#All],5,FALSE)</f>
        <v>7131 XM </v>
      </c>
      <c r="E332" s="241" t="str">
        <f>VLOOKUP(Ruimtestaat[[#This Row],[Code]],Locaties[#All],6,FALSE)</f>
        <v>Lichtenvoorde</v>
      </c>
      <c r="F332" s="195"/>
      <c r="G332" s="211" t="s">
        <v>772</v>
      </c>
      <c r="H332" s="195" t="s">
        <v>612</v>
      </c>
      <c r="I332" s="242" t="s">
        <v>639</v>
      </c>
      <c r="J332" s="195">
        <v>10</v>
      </c>
      <c r="K332" s="260" t="str">
        <f>VLOOKUP(Ruimtestaat[[#This Row],[Ruimte code]],Ruimtegroepen[#All],2,FALSE)</f>
        <v>Trappenhuizen/lift</v>
      </c>
      <c r="L332" s="211" t="s">
        <v>110</v>
      </c>
      <c r="M332" s="195" t="s">
        <v>133</v>
      </c>
      <c r="N332" s="197">
        <v>9.5299999999999994</v>
      </c>
      <c r="O332" s="209"/>
      <c r="P332" s="241" t="str">
        <f>VLOOKUP(Ruimtestaat[[#This Row],[Ruimte code]],Ruimtegroepen[#All],4,FALSE)</f>
        <v>V  (Verkeersruimte)</v>
      </c>
      <c r="Q332" s="210"/>
      <c r="R332" s="211">
        <v>40</v>
      </c>
      <c r="S332" s="211" t="s">
        <v>2</v>
      </c>
      <c r="T332" s="211">
        <f>IF(R332&gt;0,IF(RIGHT(Ruimtestaat[[#This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32" s="211">
        <f>IF(T332&gt;0,VLOOKUP($J332,Ruimtegroepen[],3,FALSE)*VLOOKUP($L332,Vloersoorten[],3,FALSE)*VLOOKUP($S332,Frequenties[],3,FALSE)*VLOOKUP($A332,Locaties[],3,FALSE),0)</f>
        <v>100</v>
      </c>
      <c r="V332" s="211">
        <f>Ruimtestaat[[#This Row],[Uitvoeringen werkdagen]]*Ruimtestaat[[#This Row],[Oppervlak (netto)]]</f>
        <v>1905.9999999999998</v>
      </c>
      <c r="W332" s="257">
        <f>IF(U332&gt;0,Ruimtestaat[[#This Row],[Prest. (m2 /jaar) werkdagen]]/Ruimtestaat[[#This Row],[Norm (m2/uur) werkdagen]],0)</f>
        <v>19.059999999999999</v>
      </c>
      <c r="X332" s="258">
        <f>Ruimtestaat[[#This Row],[uren / jaar werkdagen]]*Tariefsopbouw!$D$38</f>
        <v>476.49999999999994</v>
      </c>
      <c r="Y332" s="33"/>
      <c r="Z332" s="33">
        <f>IF(Ruimtestaat[[#This Row],[Frequentie weekend]]&gt;0,VALUE(LEFT(Y332,1))*R332,0)</f>
        <v>0</v>
      </c>
      <c r="AA332" s="33">
        <f>IF($Z332&gt;0,VLOOKUP($J332,Ruimtegroepen[],3,FALSE)*VLOOKUP($L332,Vloersoorten[],3,FALSE)*VLOOKUP($Y332,Frequenties[],3,FALSE)*VLOOKUP(#REF!,Locaties[],3,FALSE),0)</f>
        <v>0</v>
      </c>
      <c r="AB332" s="33"/>
      <c r="AC332" s="33"/>
      <c r="AD332" s="33">
        <f>Ruimtestaat[[#This Row],[uren / jaar weekend]]*Tariefsopbouw!$D$40</f>
        <v>0</v>
      </c>
      <c r="AE332" s="88">
        <f>Ruimtestaat[[#This Row],[Prest. (m2 /jaar) weekend]]+Ruimtestaat[[#This Row],[Prest. (m2 /jaar) werkdagen]]</f>
        <v>1905.9999999999998</v>
      </c>
      <c r="AF332" s="88">
        <f>Ruimtestaat[[#This Row],[uren / jaar weekend]]+Ruimtestaat[[#This Row],[uren / jaar werkdagen]]</f>
        <v>19.059999999999999</v>
      </c>
      <c r="AG332" s="89">
        <f>Ruimtestaat[[#This Row],[kosten / jaar weekend]]+Ruimtestaat[[#This Row],[kosten / jaar werkdagen]]</f>
        <v>476.49999999999994</v>
      </c>
    </row>
    <row r="333" spans="1:33" ht="15" customHeight="1">
      <c r="A333" s="195">
        <v>3</v>
      </c>
      <c r="B333" s="195" t="str">
        <f>VLOOKUP(Ruimtestaat[[#This Row],[Code]],Locaties[#All],2,FALSE)</f>
        <v>Lichtenvoorde gebouw 1</v>
      </c>
      <c r="C333" s="241" t="str">
        <f>VLOOKUP(Ruimtestaat[[#This Row],[Code]],Locaties[#All],4,FALSE)</f>
        <v>Dr Ariensstraat 1</v>
      </c>
      <c r="D333" s="241" t="str">
        <f>VLOOKUP(Ruimtestaat[[#This Row],[Code]],Locaties[#All],5,FALSE)</f>
        <v>7131 XM </v>
      </c>
      <c r="E333" s="241" t="str">
        <f>VLOOKUP(Ruimtestaat[[#This Row],[Code]],Locaties[#All],6,FALSE)</f>
        <v>Lichtenvoorde</v>
      </c>
      <c r="F333" s="195"/>
      <c r="G333" s="211" t="s">
        <v>772</v>
      </c>
      <c r="H333" s="195" t="s">
        <v>769</v>
      </c>
      <c r="I333" s="242" t="s">
        <v>843</v>
      </c>
      <c r="J333" s="195">
        <v>11</v>
      </c>
      <c r="K333" s="260" t="str">
        <f>VLOOKUP(Ruimtestaat[[#This Row],[Ruimte code]],Ruimtegroepen[#All],2,FALSE)</f>
        <v>Praktijklokaal</v>
      </c>
      <c r="L333" s="211" t="s">
        <v>109</v>
      </c>
      <c r="M333" s="195" t="s">
        <v>38</v>
      </c>
      <c r="N333" s="197">
        <v>157.69999999999999</v>
      </c>
      <c r="O333" s="209"/>
      <c r="P333" s="241" t="str">
        <f>VLOOKUP(Ruimtestaat[[#This Row],[Ruimte code]],Ruimtegroepen[#All],4,FALSE)</f>
        <v>L  (Lesruimte)</v>
      </c>
      <c r="Q333" s="210"/>
      <c r="R333" s="211">
        <v>40</v>
      </c>
      <c r="S333" s="211" t="s">
        <v>2</v>
      </c>
      <c r="T333" s="211">
        <f>IF(R333&gt;0,IF(RIGHT(Ruimtestaat[[#This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33" s="211">
        <f>IF(T333&gt;0,VLOOKUP($J333,Ruimtegroepen[],3,FALSE)*VLOOKUP($L333,Vloersoorten[],3,FALSE)*VLOOKUP($S333,Frequenties[],3,FALSE)*VLOOKUP($A333,Locaties[],3,FALSE),0)</f>
        <v>100</v>
      </c>
      <c r="V333" s="211">
        <f>Ruimtestaat[[#This Row],[Uitvoeringen werkdagen]]*Ruimtestaat[[#This Row],[Oppervlak (netto)]]</f>
        <v>31539.999999999996</v>
      </c>
      <c r="W333" s="257">
        <f>IF(U333&gt;0,Ruimtestaat[[#This Row],[Prest. (m2 /jaar) werkdagen]]/Ruimtestaat[[#This Row],[Norm (m2/uur) werkdagen]],0)</f>
        <v>315.39999999999998</v>
      </c>
      <c r="X333" s="258">
        <f>Ruimtestaat[[#This Row],[uren / jaar werkdagen]]*Tariefsopbouw!$D$38</f>
        <v>7884.9999999999991</v>
      </c>
      <c r="Y333" s="33"/>
      <c r="Z333" s="33">
        <f>IF(Ruimtestaat[[#This Row],[Frequentie weekend]]&gt;0,VALUE(LEFT(Y333,1))*R333,0)</f>
        <v>0</v>
      </c>
      <c r="AA333" s="33">
        <f>IF($Z333&gt;0,VLOOKUP($J333,Ruimtegroepen[],3,FALSE)*VLOOKUP($L333,Vloersoorten[],3,FALSE)*VLOOKUP($Y333,Frequenties[],3,FALSE)*VLOOKUP(#REF!,Locaties[],3,FALSE),0)</f>
        <v>0</v>
      </c>
      <c r="AB333" s="33"/>
      <c r="AC333" s="33"/>
      <c r="AD333" s="33">
        <f>Ruimtestaat[[#This Row],[uren / jaar weekend]]*Tariefsopbouw!$D$40</f>
        <v>0</v>
      </c>
      <c r="AE333" s="88">
        <f>Ruimtestaat[[#This Row],[Prest. (m2 /jaar) weekend]]+Ruimtestaat[[#This Row],[Prest. (m2 /jaar) werkdagen]]</f>
        <v>31539.999999999996</v>
      </c>
      <c r="AF333" s="88">
        <f>Ruimtestaat[[#This Row],[uren / jaar weekend]]+Ruimtestaat[[#This Row],[uren / jaar werkdagen]]</f>
        <v>315.39999999999998</v>
      </c>
      <c r="AG333" s="89">
        <f>Ruimtestaat[[#This Row],[kosten / jaar weekend]]+Ruimtestaat[[#This Row],[kosten / jaar werkdagen]]</f>
        <v>7884.9999999999991</v>
      </c>
    </row>
    <row r="334" spans="1:33" ht="15" customHeight="1">
      <c r="A334" s="195">
        <v>3</v>
      </c>
      <c r="B334" s="195" t="str">
        <f>VLOOKUP(Ruimtestaat[[#This Row],[Code]],Locaties[#All],2,FALSE)</f>
        <v>Lichtenvoorde gebouw 1</v>
      </c>
      <c r="C334" s="241" t="str">
        <f>VLOOKUP(Ruimtestaat[[#This Row],[Code]],Locaties[#All],4,FALSE)</f>
        <v>Dr Ariensstraat 1</v>
      </c>
      <c r="D334" s="241" t="str">
        <f>VLOOKUP(Ruimtestaat[[#This Row],[Code]],Locaties[#All],5,FALSE)</f>
        <v>7131 XM </v>
      </c>
      <c r="E334" s="241" t="str">
        <f>VLOOKUP(Ruimtestaat[[#This Row],[Code]],Locaties[#All],6,FALSE)</f>
        <v>Lichtenvoorde</v>
      </c>
      <c r="F334" s="195"/>
      <c r="G334" s="211" t="s">
        <v>772</v>
      </c>
      <c r="H334" s="195" t="s">
        <v>770</v>
      </c>
      <c r="I334" s="242" t="s">
        <v>395</v>
      </c>
      <c r="J334" s="195">
        <v>16</v>
      </c>
      <c r="K334" s="260" t="str">
        <f>VLOOKUP(Ruimtestaat[[#This Row],[Ruimte code]],Ruimtegroepen[#All],2,FALSE)</f>
        <v>Lokaal</v>
      </c>
      <c r="L334" s="195" t="s">
        <v>109</v>
      </c>
      <c r="M334" s="195" t="s">
        <v>38</v>
      </c>
      <c r="N334" s="197">
        <v>41.45</v>
      </c>
      <c r="O334" s="209"/>
      <c r="P334" s="241" t="str">
        <f>VLOOKUP(Ruimtestaat[[#This Row],[Ruimte code]],Ruimtegroepen[#All],4,FALSE)</f>
        <v>L  (Lesruimte)</v>
      </c>
      <c r="Q334" s="210"/>
      <c r="R334" s="211">
        <v>40</v>
      </c>
      <c r="S334" s="211" t="s">
        <v>2</v>
      </c>
      <c r="T334" s="211">
        <f>IF(R334&gt;0,IF(RIGHT(Ruimtestaat[[#This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34" s="211">
        <f>IF(T334&gt;0,VLOOKUP($J334,Ruimtegroepen[],3,FALSE)*VLOOKUP($L334,Vloersoorten[],3,FALSE)*VLOOKUP($S334,Frequenties[],3,FALSE)*VLOOKUP($A334,Locaties[],3,FALSE),0)</f>
        <v>100</v>
      </c>
      <c r="V334" s="211">
        <f>Ruimtestaat[[#This Row],[Uitvoeringen werkdagen]]*Ruimtestaat[[#This Row],[Oppervlak (netto)]]</f>
        <v>8290</v>
      </c>
      <c r="W334" s="257">
        <f>IF(U334&gt;0,Ruimtestaat[[#This Row],[Prest. (m2 /jaar) werkdagen]]/Ruimtestaat[[#This Row],[Norm (m2/uur) werkdagen]],0)</f>
        <v>82.9</v>
      </c>
      <c r="X334" s="258">
        <f>Ruimtestaat[[#This Row],[uren / jaar werkdagen]]*Tariefsopbouw!$D$38</f>
        <v>2072.5</v>
      </c>
      <c r="Y334" s="33"/>
      <c r="Z334" s="33">
        <f>IF(Ruimtestaat[[#This Row],[Frequentie weekend]]&gt;0,VALUE(LEFT(Y334,1))*R334,0)</f>
        <v>0</v>
      </c>
      <c r="AA334" s="33">
        <f>IF($Z334&gt;0,VLOOKUP($J334,Ruimtegroepen[],3,FALSE)*VLOOKUP($L334,Vloersoorten[],3,FALSE)*VLOOKUP($Y334,Frequenties[],3,FALSE)*VLOOKUP(#REF!,Locaties[],3,FALSE),0)</f>
        <v>0</v>
      </c>
      <c r="AB334" s="33"/>
      <c r="AC334" s="33"/>
      <c r="AD334" s="33">
        <f>Ruimtestaat[[#This Row],[uren / jaar weekend]]*Tariefsopbouw!$D$40</f>
        <v>0</v>
      </c>
      <c r="AE334" s="88">
        <f>Ruimtestaat[[#This Row],[Prest. (m2 /jaar) weekend]]+Ruimtestaat[[#This Row],[Prest. (m2 /jaar) werkdagen]]</f>
        <v>8290</v>
      </c>
      <c r="AF334" s="88">
        <f>Ruimtestaat[[#This Row],[uren / jaar weekend]]+Ruimtestaat[[#This Row],[uren / jaar werkdagen]]</f>
        <v>82.9</v>
      </c>
      <c r="AG334" s="89">
        <f>Ruimtestaat[[#This Row],[kosten / jaar weekend]]+Ruimtestaat[[#This Row],[kosten / jaar werkdagen]]</f>
        <v>2072.5</v>
      </c>
    </row>
    <row r="335" spans="1:33" ht="15" customHeight="1">
      <c r="A335" s="195">
        <v>3</v>
      </c>
      <c r="B335" s="195" t="str">
        <f>VLOOKUP(Ruimtestaat[[#This Row],[Code]],Locaties[#All],2,FALSE)</f>
        <v>Lichtenvoorde gebouw 1</v>
      </c>
      <c r="C335" s="241" t="str">
        <f>VLOOKUP(Ruimtestaat[[#This Row],[Code]],Locaties[#All],4,FALSE)</f>
        <v>Dr Ariensstraat 1</v>
      </c>
      <c r="D335" s="241" t="str">
        <f>VLOOKUP(Ruimtestaat[[#This Row],[Code]],Locaties[#All],5,FALSE)</f>
        <v>7131 XM </v>
      </c>
      <c r="E335" s="241" t="str">
        <f>VLOOKUP(Ruimtestaat[[#This Row],[Code]],Locaties[#All],6,FALSE)</f>
        <v>Lichtenvoorde</v>
      </c>
      <c r="F335" s="195"/>
      <c r="G335" s="211" t="s">
        <v>772</v>
      </c>
      <c r="H335" s="195" t="s">
        <v>613</v>
      </c>
      <c r="I335" s="242" t="s">
        <v>441</v>
      </c>
      <c r="J335" s="195">
        <v>1</v>
      </c>
      <c r="K335" s="260" t="str">
        <f>VLOOKUP(Ruimtestaat[[#This Row],[Ruimte code]],Ruimtegroepen[#All],2,FALSE)</f>
        <v>Magazijnen/bergingen</v>
      </c>
      <c r="L335" s="211" t="s">
        <v>111</v>
      </c>
      <c r="M335" s="195" t="s">
        <v>829</v>
      </c>
      <c r="N335" s="197">
        <v>31.62</v>
      </c>
      <c r="O335" s="209"/>
      <c r="P335" s="241" t="str">
        <f>VLOOKUP(Ruimtestaat[[#This Row],[Ruimte code]],Ruimtegroepen[#All],4,FALSE)</f>
        <v>V  (Verkeersruimte)</v>
      </c>
      <c r="Q335" s="210"/>
      <c r="R335" s="211">
        <v>40</v>
      </c>
      <c r="S335" s="211" t="s">
        <v>16</v>
      </c>
      <c r="T335" s="211">
        <f>IF(R335&gt;0,IF(RIGHT(Ruimtestaat[[#This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U335" s="211">
        <f>IF(T335&gt;0,VLOOKUP($J335,Ruimtegroepen[],3,FALSE)*VLOOKUP($L335,Vloersoorten[],3,FALSE)*VLOOKUP($S335,Frequenties[],3,FALSE)*VLOOKUP($A335,Locaties[],3,FALSE),0)</f>
        <v>100</v>
      </c>
      <c r="V335" s="211">
        <f>Ruimtestaat[[#This Row],[Uitvoeringen werkdagen]]*Ruimtestaat[[#This Row],[Oppervlak (netto)]]</f>
        <v>379.44</v>
      </c>
      <c r="W335" s="257">
        <f>IF(U335&gt;0,Ruimtestaat[[#This Row],[Prest. (m2 /jaar) werkdagen]]/Ruimtestaat[[#This Row],[Norm (m2/uur) werkdagen]],0)</f>
        <v>3.7944</v>
      </c>
      <c r="X335" s="258">
        <f>Ruimtestaat[[#This Row],[uren / jaar werkdagen]]*Tariefsopbouw!$D$38</f>
        <v>94.86</v>
      </c>
      <c r="Y335" s="33"/>
      <c r="Z335" s="33">
        <f>IF(Ruimtestaat[[#This Row],[Frequentie weekend]]&gt;0,VALUE(LEFT(Y335,1))*R335,0)</f>
        <v>0</v>
      </c>
      <c r="AA335" s="33">
        <f>IF($Z335&gt;0,VLOOKUP($J335,Ruimtegroepen[],3,FALSE)*VLOOKUP($L335,Vloersoorten[],3,FALSE)*VLOOKUP($Y335,Frequenties[],3,FALSE)*VLOOKUP(#REF!,Locaties[],3,FALSE),0)</f>
        <v>0</v>
      </c>
      <c r="AB335" s="33"/>
      <c r="AC335" s="33"/>
      <c r="AD335" s="33">
        <f>Ruimtestaat[[#This Row],[uren / jaar weekend]]*Tariefsopbouw!$D$40</f>
        <v>0</v>
      </c>
      <c r="AE335" s="88">
        <f>Ruimtestaat[[#This Row],[Prest. (m2 /jaar) weekend]]+Ruimtestaat[[#This Row],[Prest. (m2 /jaar) werkdagen]]</f>
        <v>379.44</v>
      </c>
      <c r="AF335" s="88">
        <f>Ruimtestaat[[#This Row],[uren / jaar weekend]]+Ruimtestaat[[#This Row],[uren / jaar werkdagen]]</f>
        <v>3.7944</v>
      </c>
      <c r="AG335" s="89">
        <f>Ruimtestaat[[#This Row],[kosten / jaar weekend]]+Ruimtestaat[[#This Row],[kosten / jaar werkdagen]]</f>
        <v>94.86</v>
      </c>
    </row>
    <row r="336" spans="1:33" ht="15" customHeight="1">
      <c r="A336" s="195">
        <v>3</v>
      </c>
      <c r="B336" s="195" t="str">
        <f>VLOOKUP(Ruimtestaat[[#This Row],[Code]],Locaties[#All],2,FALSE)</f>
        <v>Lichtenvoorde gebouw 1</v>
      </c>
      <c r="C336" s="241" t="str">
        <f>VLOOKUP(Ruimtestaat[[#This Row],[Code]],Locaties[#All],4,FALSE)</f>
        <v>Dr Ariensstraat 1</v>
      </c>
      <c r="D336" s="241" t="str">
        <f>VLOOKUP(Ruimtestaat[[#This Row],[Code]],Locaties[#All],5,FALSE)</f>
        <v>7131 XM </v>
      </c>
      <c r="E336" s="241" t="str">
        <f>VLOOKUP(Ruimtestaat[[#This Row],[Code]],Locaties[#All],6,FALSE)</f>
        <v>Lichtenvoorde</v>
      </c>
      <c r="F336" s="195"/>
      <c r="G336" s="211" t="s">
        <v>772</v>
      </c>
      <c r="H336" s="195" t="s">
        <v>614</v>
      </c>
      <c r="I336" s="242" t="s">
        <v>601</v>
      </c>
      <c r="J336" s="241">
        <v>21</v>
      </c>
      <c r="K336" s="260" t="str">
        <f>VLOOKUP(Ruimtestaat[[#This Row],[Ruimte code]],Ruimtegroepen[#All],2,FALSE)</f>
        <v>Niet in onderhoud</v>
      </c>
      <c r="L336" s="211" t="s">
        <v>111</v>
      </c>
      <c r="M336" s="195" t="s">
        <v>829</v>
      </c>
      <c r="N336" s="197"/>
      <c r="O336" s="209">
        <v>26.31</v>
      </c>
      <c r="P336" s="241" t="str">
        <f>VLOOKUP(Ruimtestaat[[#This Row],[Ruimte code]],Ruimtegroepen[#All],4,FALSE)</f>
        <v>Niet in onderhoud</v>
      </c>
      <c r="Q336" s="210"/>
      <c r="R336" s="211"/>
      <c r="S336" s="211"/>
      <c r="T336" s="211">
        <f>IF(R336&gt;0,IF(RIGHT(Ruimtestaat[[#This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336" s="211">
        <f>IF(T336&gt;0,VLOOKUP($J336,Ruimtegroepen[],3,FALSE)*VLOOKUP($L336,Vloersoorten[],3,FALSE)*VLOOKUP($S336,Frequenties[],3,FALSE)*VLOOKUP($A336,Locaties[],3,FALSE),0)</f>
        <v>0</v>
      </c>
      <c r="V336" s="211">
        <f>Ruimtestaat[[#This Row],[Uitvoeringen werkdagen]]*Ruimtestaat[[#This Row],[Oppervlak (netto)]]</f>
        <v>0</v>
      </c>
      <c r="W336" s="257">
        <f>IF(U336&gt;0,Ruimtestaat[[#This Row],[Prest. (m2 /jaar) werkdagen]]/Ruimtestaat[[#This Row],[Norm (m2/uur) werkdagen]],0)</f>
        <v>0</v>
      </c>
      <c r="X336" s="258">
        <f>Ruimtestaat[[#This Row],[uren / jaar werkdagen]]*Tariefsopbouw!$D$38</f>
        <v>0</v>
      </c>
      <c r="Y336" s="33"/>
      <c r="Z336" s="33">
        <f>IF(Ruimtestaat[[#This Row],[Frequentie weekend]]&gt;0,VALUE(LEFT(Y336,1))*R336,0)</f>
        <v>0</v>
      </c>
      <c r="AA336" s="33">
        <f>IF($Z336&gt;0,VLOOKUP($J336,Ruimtegroepen[],3,FALSE)*VLOOKUP($L336,Vloersoorten[],3,FALSE)*VLOOKUP($Y336,Frequenties[],3,FALSE)*VLOOKUP(#REF!,Locaties[],3,FALSE),0)</f>
        <v>0</v>
      </c>
      <c r="AB336" s="33"/>
      <c r="AC336" s="33"/>
      <c r="AD336" s="33">
        <f>Ruimtestaat[[#This Row],[uren / jaar weekend]]*Tariefsopbouw!$D$40</f>
        <v>0</v>
      </c>
      <c r="AE336" s="88">
        <f>Ruimtestaat[[#This Row],[Prest. (m2 /jaar) weekend]]+Ruimtestaat[[#This Row],[Prest. (m2 /jaar) werkdagen]]</f>
        <v>0</v>
      </c>
      <c r="AF336" s="88">
        <f>Ruimtestaat[[#This Row],[uren / jaar weekend]]+Ruimtestaat[[#This Row],[uren / jaar werkdagen]]</f>
        <v>0</v>
      </c>
      <c r="AG336" s="89">
        <f>Ruimtestaat[[#This Row],[kosten / jaar weekend]]+Ruimtestaat[[#This Row],[kosten / jaar werkdagen]]</f>
        <v>0</v>
      </c>
    </row>
    <row r="337" spans="1:33" ht="15" customHeight="1">
      <c r="A337" s="195">
        <v>3</v>
      </c>
      <c r="B337" s="195" t="str">
        <f>VLOOKUP(Ruimtestaat[[#This Row],[Code]],Locaties[#All],2,FALSE)</f>
        <v>Lichtenvoorde gebouw 1</v>
      </c>
      <c r="C337" s="241" t="str">
        <f>VLOOKUP(Ruimtestaat[[#This Row],[Code]],Locaties[#All],4,FALSE)</f>
        <v>Dr Ariensstraat 1</v>
      </c>
      <c r="D337" s="241" t="str">
        <f>VLOOKUP(Ruimtestaat[[#This Row],[Code]],Locaties[#All],5,FALSE)</f>
        <v>7131 XM </v>
      </c>
      <c r="E337" s="241" t="str">
        <f>VLOOKUP(Ruimtestaat[[#This Row],[Code]],Locaties[#All],6,FALSE)</f>
        <v>Lichtenvoorde</v>
      </c>
      <c r="F337" s="195"/>
      <c r="G337" s="211" t="s">
        <v>772</v>
      </c>
      <c r="H337" s="195" t="s">
        <v>615</v>
      </c>
      <c r="I337" s="242" t="s">
        <v>601</v>
      </c>
      <c r="J337" s="195">
        <v>21</v>
      </c>
      <c r="K337" s="260" t="str">
        <f>VLOOKUP(Ruimtestaat[[#This Row],[Ruimte code]],Ruimtegroepen[#All],2,FALSE)</f>
        <v>Niet in onderhoud</v>
      </c>
      <c r="L337" s="211" t="s">
        <v>111</v>
      </c>
      <c r="M337" s="195" t="s">
        <v>829</v>
      </c>
      <c r="N337" s="197"/>
      <c r="O337" s="209">
        <v>40.86</v>
      </c>
      <c r="P337" s="241" t="str">
        <f>VLOOKUP(Ruimtestaat[[#This Row],[Ruimte code]],Ruimtegroepen[#All],4,FALSE)</f>
        <v>Niet in onderhoud</v>
      </c>
      <c r="Q337" s="210"/>
      <c r="R337" s="211"/>
      <c r="S337" s="211"/>
      <c r="T337" s="211">
        <f>IF(R337&gt;0,IF(RIGHT(Ruimtestaat[[#This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337" s="211">
        <f>IF(T337&gt;0,VLOOKUP($J337,Ruimtegroepen[],3,FALSE)*VLOOKUP($L337,Vloersoorten[],3,FALSE)*VLOOKUP($S337,Frequenties[],3,FALSE)*VLOOKUP($A337,Locaties[],3,FALSE),0)</f>
        <v>0</v>
      </c>
      <c r="V337" s="211">
        <f>Ruimtestaat[[#This Row],[Uitvoeringen werkdagen]]*Ruimtestaat[[#This Row],[Oppervlak (netto)]]</f>
        <v>0</v>
      </c>
      <c r="W337" s="257">
        <f>IF(U337&gt;0,Ruimtestaat[[#This Row],[Prest. (m2 /jaar) werkdagen]]/Ruimtestaat[[#This Row],[Norm (m2/uur) werkdagen]],0)</f>
        <v>0</v>
      </c>
      <c r="X337" s="258">
        <f>Ruimtestaat[[#This Row],[uren / jaar werkdagen]]*Tariefsopbouw!$D$38</f>
        <v>0</v>
      </c>
      <c r="Y337" s="33"/>
      <c r="Z337" s="33">
        <f>IF(Ruimtestaat[[#This Row],[Frequentie weekend]]&gt;0,VALUE(LEFT(Y337,1))*R337,0)</f>
        <v>0</v>
      </c>
      <c r="AA337" s="33">
        <f>IF($Z337&gt;0,VLOOKUP($J337,Ruimtegroepen[],3,FALSE)*VLOOKUP($L337,Vloersoorten[],3,FALSE)*VLOOKUP($Y337,Frequenties[],3,FALSE)*VLOOKUP(#REF!,Locaties[],3,FALSE),0)</f>
        <v>0</v>
      </c>
      <c r="AB337" s="33"/>
      <c r="AC337" s="33"/>
      <c r="AD337" s="33">
        <f>Ruimtestaat[[#This Row],[uren / jaar weekend]]*Tariefsopbouw!$D$40</f>
        <v>0</v>
      </c>
      <c r="AE337" s="88">
        <f>Ruimtestaat[[#This Row],[Prest. (m2 /jaar) weekend]]+Ruimtestaat[[#This Row],[Prest. (m2 /jaar) werkdagen]]</f>
        <v>0</v>
      </c>
      <c r="AF337" s="88">
        <f>Ruimtestaat[[#This Row],[uren / jaar weekend]]+Ruimtestaat[[#This Row],[uren / jaar werkdagen]]</f>
        <v>0</v>
      </c>
      <c r="AG337" s="89">
        <f>Ruimtestaat[[#This Row],[kosten / jaar weekend]]+Ruimtestaat[[#This Row],[kosten / jaar werkdagen]]</f>
        <v>0</v>
      </c>
    </row>
    <row r="338" spans="1:33" ht="15" customHeight="1">
      <c r="A338" s="195">
        <v>3</v>
      </c>
      <c r="B338" s="195" t="str">
        <f>VLOOKUP(Ruimtestaat[[#This Row],[Code]],Locaties[#All],2,FALSE)</f>
        <v>Lichtenvoorde gebouw 1</v>
      </c>
      <c r="C338" s="241" t="str">
        <f>VLOOKUP(Ruimtestaat[[#This Row],[Code]],Locaties[#All],4,FALSE)</f>
        <v>Dr Ariensstraat 1</v>
      </c>
      <c r="D338" s="241" t="str">
        <f>VLOOKUP(Ruimtestaat[[#This Row],[Code]],Locaties[#All],5,FALSE)</f>
        <v>7131 XM </v>
      </c>
      <c r="E338" s="241" t="str">
        <f>VLOOKUP(Ruimtestaat[[#This Row],[Code]],Locaties[#All],6,FALSE)</f>
        <v>Lichtenvoorde</v>
      </c>
      <c r="F338" s="195"/>
      <c r="G338" s="211" t="s">
        <v>772</v>
      </c>
      <c r="H338" s="195" t="s">
        <v>771</v>
      </c>
      <c r="I338" s="242" t="s">
        <v>441</v>
      </c>
      <c r="J338" s="195">
        <v>1</v>
      </c>
      <c r="K338" s="260" t="str">
        <f>VLOOKUP(Ruimtestaat[[#This Row],[Ruimte code]],Ruimtegroepen[#All],2,FALSE)</f>
        <v>Magazijnen/bergingen</v>
      </c>
      <c r="L338" s="241" t="s">
        <v>109</v>
      </c>
      <c r="M338" s="195" t="s">
        <v>38</v>
      </c>
      <c r="N338" s="197">
        <v>52.31</v>
      </c>
      <c r="O338" s="209"/>
      <c r="P338" s="241" t="str">
        <f>VLOOKUP(Ruimtestaat[[#This Row],[Ruimte code]],Ruimtegroepen[#All],4,FALSE)</f>
        <v>V  (Verkeersruimte)</v>
      </c>
      <c r="Q338" s="210"/>
      <c r="R338" s="211">
        <v>40</v>
      </c>
      <c r="S338" s="211" t="s">
        <v>16</v>
      </c>
      <c r="T338" s="211">
        <f>IF(R338&gt;0,IF(RIGHT(Ruimtestaat[[#This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U338" s="211">
        <f>IF(T338&gt;0,VLOOKUP($J338,Ruimtegroepen[],3,FALSE)*VLOOKUP($L338,Vloersoorten[],3,FALSE)*VLOOKUP($S338,Frequenties[],3,FALSE)*VLOOKUP($A338,Locaties[],3,FALSE),0)</f>
        <v>100</v>
      </c>
      <c r="V338" s="211">
        <f>Ruimtestaat[[#This Row],[Uitvoeringen werkdagen]]*Ruimtestaat[[#This Row],[Oppervlak (netto)]]</f>
        <v>627.72</v>
      </c>
      <c r="W338" s="257">
        <f>IF(U338&gt;0,Ruimtestaat[[#This Row],[Prest. (m2 /jaar) werkdagen]]/Ruimtestaat[[#This Row],[Norm (m2/uur) werkdagen]],0)</f>
        <v>6.2772000000000006</v>
      </c>
      <c r="X338" s="258">
        <f>Ruimtestaat[[#This Row],[uren / jaar werkdagen]]*Tariefsopbouw!$D$38</f>
        <v>156.93</v>
      </c>
      <c r="Y338" s="33"/>
      <c r="Z338" s="33">
        <f>IF(Ruimtestaat[[#This Row],[Frequentie weekend]]&gt;0,VALUE(LEFT(Y338,1))*R338,0)</f>
        <v>0</v>
      </c>
      <c r="AA338" s="33">
        <f>IF($Z338&gt;0,VLOOKUP($J338,Ruimtegroepen[],3,FALSE)*VLOOKUP($L338,Vloersoorten[],3,FALSE)*VLOOKUP($Y338,Frequenties[],3,FALSE)*VLOOKUP(#REF!,Locaties[],3,FALSE),0)</f>
        <v>0</v>
      </c>
      <c r="AB338" s="33"/>
      <c r="AC338" s="33"/>
      <c r="AD338" s="33">
        <f>Ruimtestaat[[#This Row],[uren / jaar weekend]]*Tariefsopbouw!$D$40</f>
        <v>0</v>
      </c>
      <c r="AE338" s="88">
        <f>Ruimtestaat[[#This Row],[Prest. (m2 /jaar) weekend]]+Ruimtestaat[[#This Row],[Prest. (m2 /jaar) werkdagen]]</f>
        <v>627.72</v>
      </c>
      <c r="AF338" s="88">
        <f>Ruimtestaat[[#This Row],[uren / jaar weekend]]+Ruimtestaat[[#This Row],[uren / jaar werkdagen]]</f>
        <v>6.2772000000000006</v>
      </c>
      <c r="AG338" s="89">
        <f>Ruimtestaat[[#This Row],[kosten / jaar weekend]]+Ruimtestaat[[#This Row],[kosten / jaar werkdagen]]</f>
        <v>156.93</v>
      </c>
    </row>
    <row r="339" spans="1:33" ht="15" customHeight="1">
      <c r="A339" s="195">
        <v>3</v>
      </c>
      <c r="B339" s="195" t="str">
        <f>VLOOKUP(Ruimtestaat[[#This Row],[Code]],Locaties[#All],2,FALSE)</f>
        <v>Lichtenvoorde gebouw 1</v>
      </c>
      <c r="C339" s="241" t="str">
        <f>VLOOKUP(Ruimtestaat[[#This Row],[Code]],Locaties[#All],4,FALSE)</f>
        <v>Dr Ariensstraat 1</v>
      </c>
      <c r="D339" s="241" t="str">
        <f>VLOOKUP(Ruimtestaat[[#This Row],[Code]],Locaties[#All],5,FALSE)</f>
        <v>7131 XM </v>
      </c>
      <c r="E339" s="241" t="str">
        <f>VLOOKUP(Ruimtestaat[[#This Row],[Code]],Locaties[#All],6,FALSE)</f>
        <v>Lichtenvoorde</v>
      </c>
      <c r="F339" s="195"/>
      <c r="G339" s="211" t="s">
        <v>772</v>
      </c>
      <c r="H339" s="195" t="s">
        <v>616</v>
      </c>
      <c r="I339" s="242" t="s">
        <v>449</v>
      </c>
      <c r="J339" s="195">
        <v>2</v>
      </c>
      <c r="K339" s="260" t="str">
        <f>VLOOKUP(Ruimtestaat[[#This Row],[Ruimte code]],Ruimtegroepen[#All],2,FALSE)</f>
        <v>Kantoren</v>
      </c>
      <c r="L339" s="195" t="s">
        <v>109</v>
      </c>
      <c r="M339" s="195" t="s">
        <v>38</v>
      </c>
      <c r="N339" s="197">
        <v>27.26</v>
      </c>
      <c r="O339" s="209"/>
      <c r="P339" s="241" t="str">
        <f>VLOOKUP(Ruimtestaat[[#This Row],[Ruimte code]],Ruimtegroepen[#All],4,FALSE)</f>
        <v>B  (Bureauruimte)</v>
      </c>
      <c r="Q339" s="210"/>
      <c r="R339" s="211">
        <v>40</v>
      </c>
      <c r="S339" s="211" t="s">
        <v>2</v>
      </c>
      <c r="T339" s="211">
        <f>IF(R339&gt;0,IF(RIGHT(Ruimtestaat[[#This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39" s="211">
        <f>IF(T339&gt;0,VLOOKUP($J339,Ruimtegroepen[],3,FALSE)*VLOOKUP($L339,Vloersoorten[],3,FALSE)*VLOOKUP($S339,Frequenties[],3,FALSE)*VLOOKUP($A339,Locaties[],3,FALSE),0)</f>
        <v>100</v>
      </c>
      <c r="V339" s="211">
        <f>Ruimtestaat[[#This Row],[Uitvoeringen werkdagen]]*Ruimtestaat[[#This Row],[Oppervlak (netto)]]</f>
        <v>5452</v>
      </c>
      <c r="W339" s="257">
        <f>IF(U339&gt;0,Ruimtestaat[[#This Row],[Prest. (m2 /jaar) werkdagen]]/Ruimtestaat[[#This Row],[Norm (m2/uur) werkdagen]],0)</f>
        <v>54.52</v>
      </c>
      <c r="X339" s="258">
        <f>Ruimtestaat[[#This Row],[uren / jaar werkdagen]]*Tariefsopbouw!$D$38</f>
        <v>1363</v>
      </c>
      <c r="Y339" s="33"/>
      <c r="Z339" s="33">
        <f>IF(Ruimtestaat[[#This Row],[Frequentie weekend]]&gt;0,VALUE(LEFT(Y339,1))*R339,0)</f>
        <v>0</v>
      </c>
      <c r="AA339" s="33">
        <f>IF($Z339&gt;0,VLOOKUP($J339,Ruimtegroepen[],3,FALSE)*VLOOKUP($L339,Vloersoorten[],3,FALSE)*VLOOKUP($Y339,Frequenties[],3,FALSE)*VLOOKUP(#REF!,Locaties[],3,FALSE),0)</f>
        <v>0</v>
      </c>
      <c r="AB339" s="33"/>
      <c r="AC339" s="33"/>
      <c r="AD339" s="33">
        <f>Ruimtestaat[[#This Row],[uren / jaar weekend]]*Tariefsopbouw!$D$40</f>
        <v>0</v>
      </c>
      <c r="AE339" s="88">
        <f>Ruimtestaat[[#This Row],[Prest. (m2 /jaar) weekend]]+Ruimtestaat[[#This Row],[Prest. (m2 /jaar) werkdagen]]</f>
        <v>5452</v>
      </c>
      <c r="AF339" s="88">
        <f>Ruimtestaat[[#This Row],[uren / jaar weekend]]+Ruimtestaat[[#This Row],[uren / jaar werkdagen]]</f>
        <v>54.52</v>
      </c>
      <c r="AG339" s="89">
        <f>Ruimtestaat[[#This Row],[kosten / jaar weekend]]+Ruimtestaat[[#This Row],[kosten / jaar werkdagen]]</f>
        <v>1363</v>
      </c>
    </row>
    <row r="340" spans="1:33" ht="15" customHeight="1">
      <c r="A340" s="195">
        <v>3</v>
      </c>
      <c r="B340" s="195" t="str">
        <f>VLOOKUP(Ruimtestaat[[#This Row],[Code]],Locaties[#All],2,FALSE)</f>
        <v>Lichtenvoorde gebouw 1</v>
      </c>
      <c r="C340" s="241" t="str">
        <f>VLOOKUP(Ruimtestaat[[#This Row],[Code]],Locaties[#All],4,FALSE)</f>
        <v>Dr Ariensstraat 1</v>
      </c>
      <c r="D340" s="241" t="str">
        <f>VLOOKUP(Ruimtestaat[[#This Row],[Code]],Locaties[#All],5,FALSE)</f>
        <v>7131 XM </v>
      </c>
      <c r="E340" s="241" t="str">
        <f>VLOOKUP(Ruimtestaat[[#This Row],[Code]],Locaties[#All],6,FALSE)</f>
        <v>Lichtenvoorde</v>
      </c>
      <c r="F340" s="195"/>
      <c r="G340" s="195" t="s">
        <v>772</v>
      </c>
      <c r="H340" s="195" t="s">
        <v>617</v>
      </c>
      <c r="I340" s="242" t="s">
        <v>382</v>
      </c>
      <c r="J340" s="195">
        <v>6</v>
      </c>
      <c r="K340" s="260" t="str">
        <f>VLOOKUP(Ruimtestaat[[#This Row],[Ruimte code]],Ruimtegroepen[#All],2,FALSE)</f>
        <v>Gangen/hallen</v>
      </c>
      <c r="L340" s="211" t="s">
        <v>111</v>
      </c>
      <c r="M340" s="195" t="s">
        <v>693</v>
      </c>
      <c r="N340" s="197">
        <v>26.23</v>
      </c>
      <c r="O340" s="209"/>
      <c r="P340" s="241" t="str">
        <f>VLOOKUP(Ruimtestaat[[#This Row],[Ruimte code]],Ruimtegroepen[#All],4,FALSE)</f>
        <v>V  (Verkeersruimte)</v>
      </c>
      <c r="Q340" s="210"/>
      <c r="R340" s="211">
        <v>40</v>
      </c>
      <c r="S340" s="211" t="s">
        <v>2</v>
      </c>
      <c r="T340" s="211">
        <f>IF(R340&gt;0,IF(RIGHT(Ruimtestaat[[#This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40" s="211">
        <f>IF(T340&gt;0,VLOOKUP($J340,Ruimtegroepen[],3,FALSE)*VLOOKUP($L340,Vloersoorten[],3,FALSE)*VLOOKUP($S340,Frequenties[],3,FALSE)*VLOOKUP($A340,Locaties[],3,FALSE),0)</f>
        <v>100</v>
      </c>
      <c r="V340" s="211">
        <f>Ruimtestaat[[#This Row],[Uitvoeringen werkdagen]]*Ruimtestaat[[#This Row],[Oppervlak (netto)]]</f>
        <v>5246</v>
      </c>
      <c r="W340" s="257">
        <f>IF(U340&gt;0,Ruimtestaat[[#This Row],[Prest. (m2 /jaar) werkdagen]]/Ruimtestaat[[#This Row],[Norm (m2/uur) werkdagen]],0)</f>
        <v>52.46</v>
      </c>
      <c r="X340" s="258">
        <f>Ruimtestaat[[#This Row],[uren / jaar werkdagen]]*Tariefsopbouw!$D$38</f>
        <v>1311.5</v>
      </c>
      <c r="Y340" s="33"/>
      <c r="Z340" s="33">
        <f>IF(Ruimtestaat[[#This Row],[Frequentie weekend]]&gt;0,VALUE(LEFT(Y340,1))*R340,0)</f>
        <v>0</v>
      </c>
      <c r="AA340" s="33">
        <f>IF($Z340&gt;0,VLOOKUP($J340,Ruimtegroepen[],3,FALSE)*VLOOKUP($L340,Vloersoorten[],3,FALSE)*VLOOKUP($Y340,Frequenties[],3,FALSE)*VLOOKUP(#REF!,Locaties[],3,FALSE),0)</f>
        <v>0</v>
      </c>
      <c r="AB340" s="33"/>
      <c r="AC340" s="33"/>
      <c r="AD340" s="33">
        <f>Ruimtestaat[[#This Row],[uren / jaar weekend]]*Tariefsopbouw!$D$40</f>
        <v>0</v>
      </c>
      <c r="AE340" s="88">
        <f>Ruimtestaat[[#This Row],[Prest. (m2 /jaar) weekend]]+Ruimtestaat[[#This Row],[Prest. (m2 /jaar) werkdagen]]</f>
        <v>5246</v>
      </c>
      <c r="AF340" s="88">
        <f>Ruimtestaat[[#This Row],[uren / jaar weekend]]+Ruimtestaat[[#This Row],[uren / jaar werkdagen]]</f>
        <v>52.46</v>
      </c>
      <c r="AG340" s="89">
        <f>Ruimtestaat[[#This Row],[kosten / jaar weekend]]+Ruimtestaat[[#This Row],[kosten / jaar werkdagen]]</f>
        <v>1311.5</v>
      </c>
    </row>
    <row r="341" spans="1:33" ht="15" customHeight="1">
      <c r="A341" s="195">
        <v>3</v>
      </c>
      <c r="B341" s="195" t="str">
        <f>VLOOKUP(Ruimtestaat[[#This Row],[Code]],Locaties[#All],2,FALSE)</f>
        <v>Lichtenvoorde gebouw 1</v>
      </c>
      <c r="C341" s="241" t="str">
        <f>VLOOKUP(Ruimtestaat[[#This Row],[Code]],Locaties[#All],4,FALSE)</f>
        <v>Dr Ariensstraat 1</v>
      </c>
      <c r="D341" s="241" t="str">
        <f>VLOOKUP(Ruimtestaat[[#This Row],[Code]],Locaties[#All],5,FALSE)</f>
        <v>7131 XM </v>
      </c>
      <c r="E341" s="241" t="str">
        <f>VLOOKUP(Ruimtestaat[[#This Row],[Code]],Locaties[#All],6,FALSE)</f>
        <v>Lichtenvoorde</v>
      </c>
      <c r="F341" s="195"/>
      <c r="G341" s="195" t="s">
        <v>772</v>
      </c>
      <c r="H341" s="195" t="s">
        <v>618</v>
      </c>
      <c r="I341" s="242" t="s">
        <v>382</v>
      </c>
      <c r="J341" s="195">
        <v>10</v>
      </c>
      <c r="K341" s="260" t="str">
        <f>VLOOKUP(Ruimtestaat[[#This Row],[Ruimte code]],Ruimtegroepen[#All],2,FALSE)</f>
        <v>Trappenhuizen/lift</v>
      </c>
      <c r="L341" s="211" t="s">
        <v>111</v>
      </c>
      <c r="M341" s="195" t="s">
        <v>693</v>
      </c>
      <c r="N341" s="197">
        <v>6.51</v>
      </c>
      <c r="O341" s="209"/>
      <c r="P341" s="241" t="str">
        <f>VLOOKUP(Ruimtestaat[[#This Row],[Ruimte code]],Ruimtegroepen[#All],4,FALSE)</f>
        <v>V  (Verkeersruimte)</v>
      </c>
      <c r="Q341" s="210"/>
      <c r="R341" s="211">
        <v>40</v>
      </c>
      <c r="S341" s="211" t="s">
        <v>2</v>
      </c>
      <c r="T341" s="211">
        <f>IF(R341&gt;0,IF(RIGHT(Ruimtestaat[[#This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41" s="211">
        <f>IF(T341&gt;0,VLOOKUP($J341,Ruimtegroepen[],3,FALSE)*VLOOKUP($L341,Vloersoorten[],3,FALSE)*VLOOKUP($S341,Frequenties[],3,FALSE)*VLOOKUP($A341,Locaties[],3,FALSE),0)</f>
        <v>100</v>
      </c>
      <c r="V341" s="211">
        <f>Ruimtestaat[[#This Row],[Uitvoeringen werkdagen]]*Ruimtestaat[[#This Row],[Oppervlak (netto)]]</f>
        <v>1302</v>
      </c>
      <c r="W341" s="257">
        <f>IF(U341&gt;0,Ruimtestaat[[#This Row],[Prest. (m2 /jaar) werkdagen]]/Ruimtestaat[[#This Row],[Norm (m2/uur) werkdagen]],0)</f>
        <v>13.02</v>
      </c>
      <c r="X341" s="258">
        <f>Ruimtestaat[[#This Row],[uren / jaar werkdagen]]*Tariefsopbouw!$D$38</f>
        <v>325.5</v>
      </c>
      <c r="Y341" s="33"/>
      <c r="Z341" s="33">
        <f>IF(Ruimtestaat[[#This Row],[Frequentie weekend]]&gt;0,VALUE(LEFT(Y341,1))*R341,0)</f>
        <v>0</v>
      </c>
      <c r="AA341" s="33">
        <f>IF($Z341&gt;0,VLOOKUP($J341,Ruimtegroepen[],3,FALSE)*VLOOKUP($L341,Vloersoorten[],3,FALSE)*VLOOKUP($Y341,Frequenties[],3,FALSE)*VLOOKUP(#REF!,Locaties[],3,FALSE),0)</f>
        <v>0</v>
      </c>
      <c r="AB341" s="33"/>
      <c r="AC341" s="33"/>
      <c r="AD341" s="33">
        <f>Ruimtestaat[[#This Row],[uren / jaar weekend]]*Tariefsopbouw!$D$40</f>
        <v>0</v>
      </c>
      <c r="AE341" s="88">
        <f>Ruimtestaat[[#This Row],[Prest. (m2 /jaar) weekend]]+Ruimtestaat[[#This Row],[Prest. (m2 /jaar) werkdagen]]</f>
        <v>1302</v>
      </c>
      <c r="AF341" s="88">
        <f>Ruimtestaat[[#This Row],[uren / jaar weekend]]+Ruimtestaat[[#This Row],[uren / jaar werkdagen]]</f>
        <v>13.02</v>
      </c>
      <c r="AG341" s="89">
        <f>Ruimtestaat[[#This Row],[kosten / jaar weekend]]+Ruimtestaat[[#This Row],[kosten / jaar werkdagen]]</f>
        <v>325.5</v>
      </c>
    </row>
    <row r="342" spans="1:33" ht="15" customHeight="1">
      <c r="A342" s="195">
        <v>3</v>
      </c>
      <c r="B342" s="195" t="str">
        <f>VLOOKUP(Ruimtestaat[[#This Row],[Code]],Locaties[#All],2,FALSE)</f>
        <v>Lichtenvoorde gebouw 1</v>
      </c>
      <c r="C342" s="241" t="str">
        <f>VLOOKUP(Ruimtestaat[[#This Row],[Code]],Locaties[#All],4,FALSE)</f>
        <v>Dr Ariensstraat 1</v>
      </c>
      <c r="D342" s="241" t="str">
        <f>VLOOKUP(Ruimtestaat[[#This Row],[Code]],Locaties[#All],5,FALSE)</f>
        <v>7131 XM </v>
      </c>
      <c r="E342" s="241" t="str">
        <f>VLOOKUP(Ruimtestaat[[#This Row],[Code]],Locaties[#All],6,FALSE)</f>
        <v>Lichtenvoorde</v>
      </c>
      <c r="F342" s="195"/>
      <c r="G342" s="195" t="s">
        <v>772</v>
      </c>
      <c r="H342" s="195" t="s">
        <v>619</v>
      </c>
      <c r="I342" s="242" t="s">
        <v>22</v>
      </c>
      <c r="J342" s="195">
        <v>5</v>
      </c>
      <c r="K342" s="260" t="str">
        <f>VLOOKUP(Ruimtestaat[[#This Row],[Ruimte code]],Ruimtegroepen[#All],2,FALSE)</f>
        <v>Sanitair</v>
      </c>
      <c r="L342" s="241" t="s">
        <v>111</v>
      </c>
      <c r="M342" s="195" t="s">
        <v>693</v>
      </c>
      <c r="N342" s="197">
        <v>14.79</v>
      </c>
      <c r="O342" s="209"/>
      <c r="P342" s="241" t="str">
        <f>VLOOKUP(Ruimtestaat[[#This Row],[Ruimte code]],Ruimtegroepen[#All],4,FALSE)</f>
        <v>S  (Sanitair)</v>
      </c>
      <c r="Q342" s="210"/>
      <c r="R342" s="211">
        <v>40</v>
      </c>
      <c r="S342" s="211" t="s">
        <v>2</v>
      </c>
      <c r="T342" s="211">
        <f>IF(R342&gt;0,IF(RIGHT(Ruimtestaat[[#This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42" s="211">
        <f>IF(T342&gt;0,VLOOKUP($J342,Ruimtegroepen[],3,FALSE)*VLOOKUP($L342,Vloersoorten[],3,FALSE)*VLOOKUP($S342,Frequenties[],3,FALSE)*VLOOKUP($A342,Locaties[],3,FALSE),0)</f>
        <v>100</v>
      </c>
      <c r="V342" s="211">
        <f>Ruimtestaat[[#This Row],[Uitvoeringen werkdagen]]*Ruimtestaat[[#This Row],[Oppervlak (netto)]]</f>
        <v>2958</v>
      </c>
      <c r="W342" s="257">
        <f>IF(U342&gt;0,Ruimtestaat[[#This Row],[Prest. (m2 /jaar) werkdagen]]/Ruimtestaat[[#This Row],[Norm (m2/uur) werkdagen]],0)</f>
        <v>29.58</v>
      </c>
      <c r="X342" s="258">
        <f>Ruimtestaat[[#This Row],[uren / jaar werkdagen]]*Tariefsopbouw!$D$38</f>
        <v>739.5</v>
      </c>
      <c r="Y342" s="33"/>
      <c r="Z342" s="33">
        <f>IF(Ruimtestaat[[#This Row],[Frequentie weekend]]&gt;0,VALUE(LEFT(Y342,1))*R342,0)</f>
        <v>0</v>
      </c>
      <c r="AA342" s="33">
        <f>IF($Z342&gt;0,VLOOKUP($J342,Ruimtegroepen[],3,FALSE)*VLOOKUP($L342,Vloersoorten[],3,FALSE)*VLOOKUP($Y342,Frequenties[],3,FALSE)*VLOOKUP(#REF!,Locaties[],3,FALSE),0)</f>
        <v>0</v>
      </c>
      <c r="AB342" s="33"/>
      <c r="AC342" s="33"/>
      <c r="AD342" s="33">
        <f>Ruimtestaat[[#This Row],[uren / jaar weekend]]*Tariefsopbouw!$D$40</f>
        <v>0</v>
      </c>
      <c r="AE342" s="88">
        <f>Ruimtestaat[[#This Row],[Prest. (m2 /jaar) weekend]]+Ruimtestaat[[#This Row],[Prest. (m2 /jaar) werkdagen]]</f>
        <v>2958</v>
      </c>
      <c r="AF342" s="88">
        <f>Ruimtestaat[[#This Row],[uren / jaar weekend]]+Ruimtestaat[[#This Row],[uren / jaar werkdagen]]</f>
        <v>29.58</v>
      </c>
      <c r="AG342" s="89">
        <f>Ruimtestaat[[#This Row],[kosten / jaar weekend]]+Ruimtestaat[[#This Row],[kosten / jaar werkdagen]]</f>
        <v>739.5</v>
      </c>
    </row>
    <row r="343" spans="1:33" ht="15" customHeight="1">
      <c r="A343" s="195">
        <v>3</v>
      </c>
      <c r="B343" s="195" t="str">
        <f>VLOOKUP(Ruimtestaat[[#This Row],[Code]],Locaties[#All],2,FALSE)</f>
        <v>Lichtenvoorde gebouw 1</v>
      </c>
      <c r="C343" s="241" t="str">
        <f>VLOOKUP(Ruimtestaat[[#This Row],[Code]],Locaties[#All],4,FALSE)</f>
        <v>Dr Ariensstraat 1</v>
      </c>
      <c r="D343" s="241" t="str">
        <f>VLOOKUP(Ruimtestaat[[#This Row],[Code]],Locaties[#All],5,FALSE)</f>
        <v>7131 XM </v>
      </c>
      <c r="E343" s="241" t="str">
        <f>VLOOKUP(Ruimtestaat[[#This Row],[Code]],Locaties[#All],6,FALSE)</f>
        <v>Lichtenvoorde</v>
      </c>
      <c r="F343" s="195"/>
      <c r="G343" s="195" t="s">
        <v>772</v>
      </c>
      <c r="H343" s="195" t="s">
        <v>620</v>
      </c>
      <c r="I343" s="242" t="s">
        <v>382</v>
      </c>
      <c r="J343" s="195">
        <v>6</v>
      </c>
      <c r="K343" s="260" t="str">
        <f>VLOOKUP(Ruimtestaat[[#This Row],[Ruimte code]],Ruimtegroepen[#All],2,FALSE)</f>
        <v>Gangen/hallen</v>
      </c>
      <c r="L343" s="241" t="s">
        <v>112</v>
      </c>
      <c r="M343" s="195" t="s">
        <v>130</v>
      </c>
      <c r="N343" s="197">
        <v>19.829999999999998</v>
      </c>
      <c r="O343" s="209"/>
      <c r="P343" s="241" t="str">
        <f>VLOOKUP(Ruimtestaat[[#This Row],[Ruimte code]],Ruimtegroepen[#All],4,FALSE)</f>
        <v>V  (Verkeersruimte)</v>
      </c>
      <c r="Q343" s="210"/>
      <c r="R343" s="211">
        <v>40</v>
      </c>
      <c r="S343" s="211" t="s">
        <v>2</v>
      </c>
      <c r="T343" s="211">
        <f>IF(R343&gt;0,IF(RIGHT(Ruimtestaat[[#This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43" s="211">
        <f>IF(T343&gt;0,VLOOKUP($J343,Ruimtegroepen[],3,FALSE)*VLOOKUP($L343,Vloersoorten[],3,FALSE)*VLOOKUP($S343,Frequenties[],3,FALSE)*VLOOKUP($A343,Locaties[],3,FALSE),0)</f>
        <v>100</v>
      </c>
      <c r="V343" s="211">
        <f>Ruimtestaat[[#This Row],[Uitvoeringen werkdagen]]*Ruimtestaat[[#This Row],[Oppervlak (netto)]]</f>
        <v>3965.9999999999995</v>
      </c>
      <c r="W343" s="257">
        <f>IF(U343&gt;0,Ruimtestaat[[#This Row],[Prest. (m2 /jaar) werkdagen]]/Ruimtestaat[[#This Row],[Norm (m2/uur) werkdagen]],0)</f>
        <v>39.659999999999997</v>
      </c>
      <c r="X343" s="258">
        <f>Ruimtestaat[[#This Row],[uren / jaar werkdagen]]*Tariefsopbouw!$D$38</f>
        <v>991.49999999999989</v>
      </c>
      <c r="Y343" s="33"/>
      <c r="Z343" s="33">
        <f>IF(Ruimtestaat[[#This Row],[Frequentie weekend]]&gt;0,VALUE(LEFT(Y343,1))*R343,0)</f>
        <v>0</v>
      </c>
      <c r="AA343" s="33">
        <f>IF($Z343&gt;0,VLOOKUP($J343,Ruimtegroepen[],3,FALSE)*VLOOKUP($L343,Vloersoorten[],3,FALSE)*VLOOKUP($Y343,Frequenties[],3,FALSE)*VLOOKUP(#REF!,Locaties[],3,FALSE),0)</f>
        <v>0</v>
      </c>
      <c r="AB343" s="33"/>
      <c r="AC343" s="33"/>
      <c r="AD343" s="33">
        <f>Ruimtestaat[[#This Row],[uren / jaar weekend]]*Tariefsopbouw!$D$40</f>
        <v>0</v>
      </c>
      <c r="AE343" s="88">
        <f>Ruimtestaat[[#This Row],[Prest. (m2 /jaar) weekend]]+Ruimtestaat[[#This Row],[Prest. (m2 /jaar) werkdagen]]</f>
        <v>3965.9999999999995</v>
      </c>
      <c r="AF343" s="88">
        <f>Ruimtestaat[[#This Row],[uren / jaar weekend]]+Ruimtestaat[[#This Row],[uren / jaar werkdagen]]</f>
        <v>39.659999999999997</v>
      </c>
      <c r="AG343" s="89">
        <f>Ruimtestaat[[#This Row],[kosten / jaar weekend]]+Ruimtestaat[[#This Row],[kosten / jaar werkdagen]]</f>
        <v>991.49999999999989</v>
      </c>
    </row>
    <row r="344" spans="1:33" ht="15" customHeight="1">
      <c r="A344" s="195">
        <v>3</v>
      </c>
      <c r="B344" s="195" t="str">
        <f>VLOOKUP(Ruimtestaat[[#This Row],[Code]],Locaties[#All],2,FALSE)</f>
        <v>Lichtenvoorde gebouw 1</v>
      </c>
      <c r="C344" s="241" t="str">
        <f>VLOOKUP(Ruimtestaat[[#This Row],[Code]],Locaties[#All],4,FALSE)</f>
        <v>Dr Ariensstraat 1</v>
      </c>
      <c r="D344" s="241" t="str">
        <f>VLOOKUP(Ruimtestaat[[#This Row],[Code]],Locaties[#All],5,FALSE)</f>
        <v>7131 XM </v>
      </c>
      <c r="E344" s="241" t="str">
        <f>VLOOKUP(Ruimtestaat[[#This Row],[Code]],Locaties[#All],6,FALSE)</f>
        <v>Lichtenvoorde</v>
      </c>
      <c r="F344" s="195"/>
      <c r="G344" s="195" t="s">
        <v>772</v>
      </c>
      <c r="H344" s="195" t="s">
        <v>621</v>
      </c>
      <c r="I344" s="242" t="s">
        <v>22</v>
      </c>
      <c r="J344" s="195">
        <v>5</v>
      </c>
      <c r="K344" s="260" t="str">
        <f>VLOOKUP(Ruimtestaat[[#This Row],[Ruimte code]],Ruimtegroepen[#All],2,FALSE)</f>
        <v>Sanitair</v>
      </c>
      <c r="L344" s="241" t="s">
        <v>111</v>
      </c>
      <c r="M344" s="195" t="s">
        <v>693</v>
      </c>
      <c r="N344" s="197">
        <v>15.85</v>
      </c>
      <c r="O344" s="209"/>
      <c r="P344" s="241" t="str">
        <f>VLOOKUP(Ruimtestaat[[#This Row],[Ruimte code]],Ruimtegroepen[#All],4,FALSE)</f>
        <v>S  (Sanitair)</v>
      </c>
      <c r="Q344" s="210"/>
      <c r="R344" s="211">
        <v>40</v>
      </c>
      <c r="S344" s="211" t="s">
        <v>2</v>
      </c>
      <c r="T344" s="211">
        <f>IF(R344&gt;0,IF(RIGHT(Ruimtestaat[[#This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44" s="211">
        <f>IF(T344&gt;0,VLOOKUP($J344,Ruimtegroepen[],3,FALSE)*VLOOKUP($L344,Vloersoorten[],3,FALSE)*VLOOKUP($S344,Frequenties[],3,FALSE)*VLOOKUP($A344,Locaties[],3,FALSE),0)</f>
        <v>100</v>
      </c>
      <c r="V344" s="211">
        <f>Ruimtestaat[[#This Row],[Uitvoeringen werkdagen]]*Ruimtestaat[[#This Row],[Oppervlak (netto)]]</f>
        <v>3170</v>
      </c>
      <c r="W344" s="257">
        <f>IF(U344&gt;0,Ruimtestaat[[#This Row],[Prest. (m2 /jaar) werkdagen]]/Ruimtestaat[[#This Row],[Norm (m2/uur) werkdagen]],0)</f>
        <v>31.7</v>
      </c>
      <c r="X344" s="258">
        <f>Ruimtestaat[[#This Row],[uren / jaar werkdagen]]*Tariefsopbouw!$D$38</f>
        <v>792.5</v>
      </c>
      <c r="Y344" s="33"/>
      <c r="Z344" s="33">
        <f>IF(Ruimtestaat[[#This Row],[Frequentie weekend]]&gt;0,VALUE(LEFT(Y344,1))*R344,0)</f>
        <v>0</v>
      </c>
      <c r="AA344" s="33">
        <f>IF($Z344&gt;0,VLOOKUP($J344,Ruimtegroepen[],3,FALSE)*VLOOKUP($L344,Vloersoorten[],3,FALSE)*VLOOKUP($Y344,Frequenties[],3,FALSE)*VLOOKUP(#REF!,Locaties[],3,FALSE),0)</f>
        <v>0</v>
      </c>
      <c r="AB344" s="33"/>
      <c r="AC344" s="33"/>
      <c r="AD344" s="33">
        <f>Ruimtestaat[[#This Row],[uren / jaar weekend]]*Tariefsopbouw!$D$40</f>
        <v>0</v>
      </c>
      <c r="AE344" s="88">
        <f>Ruimtestaat[[#This Row],[Prest. (m2 /jaar) weekend]]+Ruimtestaat[[#This Row],[Prest. (m2 /jaar) werkdagen]]</f>
        <v>3170</v>
      </c>
      <c r="AF344" s="88">
        <f>Ruimtestaat[[#This Row],[uren / jaar weekend]]+Ruimtestaat[[#This Row],[uren / jaar werkdagen]]</f>
        <v>31.7</v>
      </c>
      <c r="AG344" s="89">
        <f>Ruimtestaat[[#This Row],[kosten / jaar weekend]]+Ruimtestaat[[#This Row],[kosten / jaar werkdagen]]</f>
        <v>792.5</v>
      </c>
    </row>
    <row r="345" spans="1:33" ht="15" customHeight="1">
      <c r="A345" s="195">
        <v>3</v>
      </c>
      <c r="B345" s="195" t="str">
        <f>VLOOKUP(Ruimtestaat[[#This Row],[Code]],Locaties[#All],2,FALSE)</f>
        <v>Lichtenvoorde gebouw 1</v>
      </c>
      <c r="C345" s="241" t="str">
        <f>VLOOKUP(Ruimtestaat[[#This Row],[Code]],Locaties[#All],4,FALSE)</f>
        <v>Dr Ariensstraat 1</v>
      </c>
      <c r="D345" s="241" t="str">
        <f>VLOOKUP(Ruimtestaat[[#This Row],[Code]],Locaties[#All],5,FALSE)</f>
        <v>7131 XM </v>
      </c>
      <c r="E345" s="241" t="str">
        <f>VLOOKUP(Ruimtestaat[[#This Row],[Code]],Locaties[#All],6,FALSE)</f>
        <v>Lichtenvoorde</v>
      </c>
      <c r="F345" s="195"/>
      <c r="G345" s="195" t="s">
        <v>772</v>
      </c>
      <c r="H345" s="195" t="s">
        <v>844</v>
      </c>
      <c r="I345" s="242" t="s">
        <v>601</v>
      </c>
      <c r="J345" s="195">
        <v>21</v>
      </c>
      <c r="K345" s="260" t="str">
        <f>VLOOKUP(Ruimtestaat[[#This Row],[Ruimte code]],Ruimtegroepen[#All],2,FALSE)</f>
        <v>Niet in onderhoud</v>
      </c>
      <c r="L345" s="241"/>
      <c r="M345" s="195"/>
      <c r="N345" s="197"/>
      <c r="O345" s="209">
        <v>5.49</v>
      </c>
      <c r="P345" s="241" t="str">
        <f>VLOOKUP(Ruimtestaat[[#This Row],[Ruimte code]],Ruimtegroepen[#All],4,FALSE)</f>
        <v>Niet in onderhoud</v>
      </c>
      <c r="Q345" s="210"/>
      <c r="R345" s="211"/>
      <c r="S345" s="211"/>
      <c r="T345" s="211">
        <f>IF(R345&gt;0,IF(RIGHT(Ruimtestaat[[#This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345" s="211">
        <f>IF(T345&gt;0,VLOOKUP($J345,Ruimtegroepen[],3,FALSE)*VLOOKUP($L345,Vloersoorten[],3,FALSE)*VLOOKUP($S345,Frequenties[],3,FALSE)*VLOOKUP($A345,Locaties[],3,FALSE),0)</f>
        <v>0</v>
      </c>
      <c r="V345" s="211">
        <f>Ruimtestaat[[#This Row],[Uitvoeringen werkdagen]]*Ruimtestaat[[#This Row],[Oppervlak (netto)]]</f>
        <v>0</v>
      </c>
      <c r="W345" s="257">
        <f>IF(U345&gt;0,Ruimtestaat[[#This Row],[Prest. (m2 /jaar) werkdagen]]/Ruimtestaat[[#This Row],[Norm (m2/uur) werkdagen]],0)</f>
        <v>0</v>
      </c>
      <c r="X345" s="258">
        <f>Ruimtestaat[[#This Row],[uren / jaar werkdagen]]*Tariefsopbouw!$D$38</f>
        <v>0</v>
      </c>
      <c r="Y345" s="33"/>
      <c r="Z345" s="33">
        <f>IF(Ruimtestaat[[#This Row],[Frequentie weekend]]&gt;0,VALUE(LEFT(Y345,1))*R345,0)</f>
        <v>0</v>
      </c>
      <c r="AA345" s="33">
        <f>IF($Z345&gt;0,VLOOKUP($J345,Ruimtegroepen[],3,FALSE)*VLOOKUP($L345,Vloersoorten[],3,FALSE)*VLOOKUP($Y345,Frequenties[],3,FALSE)*VLOOKUP(#REF!,Locaties[],3,FALSE),0)</f>
        <v>0</v>
      </c>
      <c r="AB345" s="33"/>
      <c r="AC345" s="33"/>
      <c r="AD345" s="33">
        <f>Ruimtestaat[[#This Row],[uren / jaar weekend]]*Tariefsopbouw!$D$40</f>
        <v>0</v>
      </c>
      <c r="AE345" s="88">
        <f>Ruimtestaat[[#This Row],[Prest. (m2 /jaar) weekend]]+Ruimtestaat[[#This Row],[Prest. (m2 /jaar) werkdagen]]</f>
        <v>0</v>
      </c>
      <c r="AF345" s="88">
        <f>Ruimtestaat[[#This Row],[uren / jaar weekend]]+Ruimtestaat[[#This Row],[uren / jaar werkdagen]]</f>
        <v>0</v>
      </c>
      <c r="AG345" s="89">
        <f>Ruimtestaat[[#This Row],[kosten / jaar weekend]]+Ruimtestaat[[#This Row],[kosten / jaar werkdagen]]</f>
        <v>0</v>
      </c>
    </row>
    <row r="346" spans="1:33" ht="15" customHeight="1">
      <c r="A346" s="195">
        <v>3</v>
      </c>
      <c r="B346" s="195" t="str">
        <f>VLOOKUP(Ruimtestaat[[#This Row],[Code]],Locaties[#All],2,FALSE)</f>
        <v>Lichtenvoorde gebouw 1</v>
      </c>
      <c r="C346" s="241" t="str">
        <f>VLOOKUP(Ruimtestaat[[#This Row],[Code]],Locaties[#All],4,FALSE)</f>
        <v>Dr Ariensstraat 1</v>
      </c>
      <c r="D346" s="241" t="str">
        <f>VLOOKUP(Ruimtestaat[[#This Row],[Code]],Locaties[#All],5,FALSE)</f>
        <v>7131 XM </v>
      </c>
      <c r="E346" s="241" t="str">
        <f>VLOOKUP(Ruimtestaat[[#This Row],[Code]],Locaties[#All],6,FALSE)</f>
        <v>Lichtenvoorde</v>
      </c>
      <c r="F346" s="195"/>
      <c r="G346" s="195" t="s">
        <v>772</v>
      </c>
      <c r="H346" s="195" t="s">
        <v>622</v>
      </c>
      <c r="I346" s="242" t="s">
        <v>382</v>
      </c>
      <c r="J346" s="195">
        <v>10</v>
      </c>
      <c r="K346" s="260" t="str">
        <f>VLOOKUP(Ruimtestaat[[#This Row],[Ruimte code]],Ruimtegroepen[#All],2,FALSE)</f>
        <v>Trappenhuizen/lift</v>
      </c>
      <c r="L346" s="211" t="s">
        <v>111</v>
      </c>
      <c r="M346" s="195" t="s">
        <v>829</v>
      </c>
      <c r="N346" s="197">
        <v>6.07</v>
      </c>
      <c r="O346" s="209"/>
      <c r="P346" s="241" t="str">
        <f>VLOOKUP(Ruimtestaat[[#This Row],[Ruimte code]],Ruimtegroepen[#All],4,FALSE)</f>
        <v>V  (Verkeersruimte)</v>
      </c>
      <c r="Q346" s="210"/>
      <c r="R346" s="211">
        <v>40</v>
      </c>
      <c r="S346" s="211" t="s">
        <v>2</v>
      </c>
      <c r="T346" s="211">
        <f>IF(R346&gt;0,IF(RIGHT(Ruimtestaat[[#This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46" s="211">
        <f>IF(T346&gt;0,VLOOKUP($J346,Ruimtegroepen[],3,FALSE)*VLOOKUP($L346,Vloersoorten[],3,FALSE)*VLOOKUP($S346,Frequenties[],3,FALSE)*VLOOKUP($A346,Locaties[],3,FALSE),0)</f>
        <v>100</v>
      </c>
      <c r="V346" s="211">
        <f>Ruimtestaat[[#This Row],[Uitvoeringen werkdagen]]*Ruimtestaat[[#This Row],[Oppervlak (netto)]]</f>
        <v>1214</v>
      </c>
      <c r="W346" s="257">
        <f>IF(U346&gt;0,Ruimtestaat[[#This Row],[Prest. (m2 /jaar) werkdagen]]/Ruimtestaat[[#This Row],[Norm (m2/uur) werkdagen]],0)</f>
        <v>12.14</v>
      </c>
      <c r="X346" s="258">
        <f>Ruimtestaat[[#This Row],[uren / jaar werkdagen]]*Tariefsopbouw!$D$38</f>
        <v>303.5</v>
      </c>
      <c r="Y346" s="33"/>
      <c r="Z346" s="33">
        <f>IF(Ruimtestaat[[#This Row],[Frequentie weekend]]&gt;0,VALUE(LEFT(Y346,1))*R346,0)</f>
        <v>0</v>
      </c>
      <c r="AA346" s="33">
        <f>IF($Z346&gt;0,VLOOKUP($J346,Ruimtegroepen[],3,FALSE)*VLOOKUP($L346,Vloersoorten[],3,FALSE)*VLOOKUP($Y346,Frequenties[],3,FALSE)*VLOOKUP(#REF!,Locaties[],3,FALSE),0)</f>
        <v>0</v>
      </c>
      <c r="AB346" s="33"/>
      <c r="AC346" s="33"/>
      <c r="AD346" s="33">
        <f>Ruimtestaat[[#This Row],[uren / jaar weekend]]*Tariefsopbouw!$D$40</f>
        <v>0</v>
      </c>
      <c r="AE346" s="88">
        <f>Ruimtestaat[[#This Row],[Prest. (m2 /jaar) weekend]]+Ruimtestaat[[#This Row],[Prest. (m2 /jaar) werkdagen]]</f>
        <v>1214</v>
      </c>
      <c r="AF346" s="88">
        <f>Ruimtestaat[[#This Row],[uren / jaar weekend]]+Ruimtestaat[[#This Row],[uren / jaar werkdagen]]</f>
        <v>12.14</v>
      </c>
      <c r="AG346" s="89">
        <f>Ruimtestaat[[#This Row],[kosten / jaar weekend]]+Ruimtestaat[[#This Row],[kosten / jaar werkdagen]]</f>
        <v>303.5</v>
      </c>
    </row>
    <row r="347" spans="1:33" ht="15" customHeight="1">
      <c r="A347" s="195">
        <v>3</v>
      </c>
      <c r="B347" s="195" t="str">
        <f>VLOOKUP(Ruimtestaat[[#This Row],[Code]],Locaties[#All],2,FALSE)</f>
        <v>Lichtenvoorde gebouw 1</v>
      </c>
      <c r="C347" s="241" t="str">
        <f>VLOOKUP(Ruimtestaat[[#This Row],[Code]],Locaties[#All],4,FALSE)</f>
        <v>Dr Ariensstraat 1</v>
      </c>
      <c r="D347" s="241" t="str">
        <f>VLOOKUP(Ruimtestaat[[#This Row],[Code]],Locaties[#All],5,FALSE)</f>
        <v>7131 XM </v>
      </c>
      <c r="E347" s="241" t="str">
        <f>VLOOKUP(Ruimtestaat[[#This Row],[Code]],Locaties[#All],6,FALSE)</f>
        <v>Lichtenvoorde</v>
      </c>
      <c r="F347" s="195"/>
      <c r="G347" s="195" t="s">
        <v>773</v>
      </c>
      <c r="H347" s="195" t="s">
        <v>623</v>
      </c>
      <c r="I347" s="242" t="s">
        <v>382</v>
      </c>
      <c r="J347" s="195">
        <v>6</v>
      </c>
      <c r="K347" s="260" t="str">
        <f>VLOOKUP(Ruimtestaat[[#This Row],[Ruimte code]],Ruimtegroepen[#All],2,FALSE)</f>
        <v>Gangen/hallen</v>
      </c>
      <c r="L347" s="241" t="s">
        <v>110</v>
      </c>
      <c r="M347" s="195" t="s">
        <v>133</v>
      </c>
      <c r="N347" s="197">
        <v>19.71</v>
      </c>
      <c r="O347" s="209"/>
      <c r="P347" s="241" t="str">
        <f>VLOOKUP(Ruimtestaat[[#This Row],[Ruimte code]],Ruimtegroepen[#All],4,FALSE)</f>
        <v>V  (Verkeersruimte)</v>
      </c>
      <c r="Q347" s="210"/>
      <c r="R347" s="211">
        <v>40</v>
      </c>
      <c r="S347" s="211" t="s">
        <v>2</v>
      </c>
      <c r="T347" s="211">
        <f>IF(R347&gt;0,IF(RIGHT(Ruimtestaat[[#This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47" s="211">
        <f>IF(T347&gt;0,VLOOKUP($J347,Ruimtegroepen[],3,FALSE)*VLOOKUP($L347,Vloersoorten[],3,FALSE)*VLOOKUP($S347,Frequenties[],3,FALSE)*VLOOKUP($A347,Locaties[],3,FALSE),0)</f>
        <v>100</v>
      </c>
      <c r="V347" s="211">
        <f>Ruimtestaat[[#This Row],[Uitvoeringen werkdagen]]*Ruimtestaat[[#This Row],[Oppervlak (netto)]]</f>
        <v>3942</v>
      </c>
      <c r="W347" s="257">
        <f>IF(U347&gt;0,Ruimtestaat[[#This Row],[Prest. (m2 /jaar) werkdagen]]/Ruimtestaat[[#This Row],[Norm (m2/uur) werkdagen]],0)</f>
        <v>39.42</v>
      </c>
      <c r="X347" s="258">
        <f>Ruimtestaat[[#This Row],[uren / jaar werkdagen]]*Tariefsopbouw!$D$38</f>
        <v>985.5</v>
      </c>
      <c r="Y347" s="33"/>
      <c r="Z347" s="33">
        <f>IF(Ruimtestaat[[#This Row],[Frequentie weekend]]&gt;0,VALUE(LEFT(Y347,1))*R347,0)</f>
        <v>0</v>
      </c>
      <c r="AA347" s="33">
        <f>IF($Z347&gt;0,VLOOKUP($J347,Ruimtegroepen[],3,FALSE)*VLOOKUP($L347,Vloersoorten[],3,FALSE)*VLOOKUP($Y347,Frequenties[],3,FALSE)*VLOOKUP(#REF!,Locaties[],3,FALSE),0)</f>
        <v>0</v>
      </c>
      <c r="AB347" s="33"/>
      <c r="AC347" s="33"/>
      <c r="AD347" s="33">
        <f>Ruimtestaat[[#This Row],[uren / jaar weekend]]*Tariefsopbouw!$D$40</f>
        <v>0</v>
      </c>
      <c r="AE347" s="88">
        <f>Ruimtestaat[[#This Row],[Prest. (m2 /jaar) weekend]]+Ruimtestaat[[#This Row],[Prest. (m2 /jaar) werkdagen]]</f>
        <v>3942</v>
      </c>
      <c r="AF347" s="88">
        <f>Ruimtestaat[[#This Row],[uren / jaar weekend]]+Ruimtestaat[[#This Row],[uren / jaar werkdagen]]</f>
        <v>39.42</v>
      </c>
      <c r="AG347" s="89">
        <f>Ruimtestaat[[#This Row],[kosten / jaar weekend]]+Ruimtestaat[[#This Row],[kosten / jaar werkdagen]]</f>
        <v>985.5</v>
      </c>
    </row>
    <row r="348" spans="1:33" ht="15" customHeight="1">
      <c r="A348" s="195">
        <v>3</v>
      </c>
      <c r="B348" s="195" t="str">
        <f>VLOOKUP(Ruimtestaat[[#This Row],[Code]],Locaties[#All],2,FALSE)</f>
        <v>Lichtenvoorde gebouw 1</v>
      </c>
      <c r="C348" s="241" t="str">
        <f>VLOOKUP(Ruimtestaat[[#This Row],[Code]],Locaties[#All],4,FALSE)</f>
        <v>Dr Ariensstraat 1</v>
      </c>
      <c r="D348" s="241" t="str">
        <f>VLOOKUP(Ruimtestaat[[#This Row],[Code]],Locaties[#All],5,FALSE)</f>
        <v>7131 XM </v>
      </c>
      <c r="E348" s="241" t="str">
        <f>VLOOKUP(Ruimtestaat[[#This Row],[Code]],Locaties[#All],6,FALSE)</f>
        <v>Lichtenvoorde</v>
      </c>
      <c r="F348" s="195"/>
      <c r="G348" s="195" t="s">
        <v>773</v>
      </c>
      <c r="H348" s="195" t="s">
        <v>624</v>
      </c>
      <c r="I348" s="242" t="s">
        <v>382</v>
      </c>
      <c r="J348" s="195">
        <v>10</v>
      </c>
      <c r="K348" s="260" t="str">
        <f>VLOOKUP(Ruimtestaat[[#This Row],[Ruimte code]],Ruimtegroepen[#All],2,FALSE)</f>
        <v>Trappenhuizen/lift</v>
      </c>
      <c r="L348" s="241" t="s">
        <v>110</v>
      </c>
      <c r="M348" s="195" t="s">
        <v>133</v>
      </c>
      <c r="N348" s="197">
        <v>7.13</v>
      </c>
      <c r="O348" s="209"/>
      <c r="P348" s="241" t="str">
        <f>VLOOKUP(Ruimtestaat[[#This Row],[Ruimte code]],Ruimtegroepen[#All],4,FALSE)</f>
        <v>V  (Verkeersruimte)</v>
      </c>
      <c r="Q348" s="210"/>
      <c r="R348" s="211">
        <v>40</v>
      </c>
      <c r="S348" s="211" t="s">
        <v>2</v>
      </c>
      <c r="T348" s="211">
        <f>IF(R348&gt;0,IF(RIGHT(Ruimtestaat[[#This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48" s="211">
        <f>IF(T348&gt;0,VLOOKUP($J348,Ruimtegroepen[],3,FALSE)*VLOOKUP($L348,Vloersoorten[],3,FALSE)*VLOOKUP($S348,Frequenties[],3,FALSE)*VLOOKUP($A348,Locaties[],3,FALSE),0)</f>
        <v>100</v>
      </c>
      <c r="V348" s="211">
        <f>Ruimtestaat[[#This Row],[Uitvoeringen werkdagen]]*Ruimtestaat[[#This Row],[Oppervlak (netto)]]</f>
        <v>1426</v>
      </c>
      <c r="W348" s="257">
        <f>IF(U348&gt;0,Ruimtestaat[[#This Row],[Prest. (m2 /jaar) werkdagen]]/Ruimtestaat[[#This Row],[Norm (m2/uur) werkdagen]],0)</f>
        <v>14.26</v>
      </c>
      <c r="X348" s="258">
        <f>Ruimtestaat[[#This Row],[uren / jaar werkdagen]]*Tariefsopbouw!$D$38</f>
        <v>356.5</v>
      </c>
      <c r="Y348" s="33"/>
      <c r="Z348" s="33">
        <f>IF(Ruimtestaat[[#This Row],[Frequentie weekend]]&gt;0,VALUE(LEFT(Y348,1))*R348,0)</f>
        <v>0</v>
      </c>
      <c r="AA348" s="33">
        <f>IF($Z348&gt;0,VLOOKUP($J348,Ruimtegroepen[],3,FALSE)*VLOOKUP($L348,Vloersoorten[],3,FALSE)*VLOOKUP($Y348,Frequenties[],3,FALSE)*VLOOKUP(#REF!,Locaties[],3,FALSE),0)</f>
        <v>0</v>
      </c>
      <c r="AB348" s="33"/>
      <c r="AC348" s="33"/>
      <c r="AD348" s="33">
        <f>Ruimtestaat[[#This Row],[uren / jaar weekend]]*Tariefsopbouw!$D$40</f>
        <v>0</v>
      </c>
      <c r="AE348" s="88">
        <f>Ruimtestaat[[#This Row],[Prest. (m2 /jaar) weekend]]+Ruimtestaat[[#This Row],[Prest. (m2 /jaar) werkdagen]]</f>
        <v>1426</v>
      </c>
      <c r="AF348" s="88">
        <f>Ruimtestaat[[#This Row],[uren / jaar weekend]]+Ruimtestaat[[#This Row],[uren / jaar werkdagen]]</f>
        <v>14.26</v>
      </c>
      <c r="AG348" s="89">
        <f>Ruimtestaat[[#This Row],[kosten / jaar weekend]]+Ruimtestaat[[#This Row],[kosten / jaar werkdagen]]</f>
        <v>356.5</v>
      </c>
    </row>
    <row r="349" spans="1:33" ht="15" customHeight="1">
      <c r="A349" s="195">
        <v>3</v>
      </c>
      <c r="B349" s="195" t="str">
        <f>VLOOKUP(Ruimtestaat[[#This Row],[Code]],Locaties[#All],2,FALSE)</f>
        <v>Lichtenvoorde gebouw 1</v>
      </c>
      <c r="C349" s="241" t="str">
        <f>VLOOKUP(Ruimtestaat[[#This Row],[Code]],Locaties[#All],4,FALSE)</f>
        <v>Dr Ariensstraat 1</v>
      </c>
      <c r="D349" s="241" t="str">
        <f>VLOOKUP(Ruimtestaat[[#This Row],[Code]],Locaties[#All],5,FALSE)</f>
        <v>7131 XM </v>
      </c>
      <c r="E349" s="241" t="str">
        <f>VLOOKUP(Ruimtestaat[[#This Row],[Code]],Locaties[#All],6,FALSE)</f>
        <v>Lichtenvoorde</v>
      </c>
      <c r="F349" s="195"/>
      <c r="G349" s="195" t="s">
        <v>773</v>
      </c>
      <c r="H349" s="195" t="s">
        <v>625</v>
      </c>
      <c r="I349" s="242" t="s">
        <v>834</v>
      </c>
      <c r="J349" s="195">
        <v>21</v>
      </c>
      <c r="K349" s="260" t="str">
        <f>VLOOKUP(Ruimtestaat[[#This Row],[Ruimte code]],Ruimtegroepen[#All],2,FALSE)</f>
        <v>Niet in onderhoud</v>
      </c>
      <c r="L349" s="241"/>
      <c r="M349" s="195"/>
      <c r="N349" s="197"/>
      <c r="O349" s="209">
        <v>3.76</v>
      </c>
      <c r="P349" s="241" t="str">
        <f>VLOOKUP(Ruimtestaat[[#This Row],[Ruimte code]],Ruimtegroepen[#All],4,FALSE)</f>
        <v>Niet in onderhoud</v>
      </c>
      <c r="Q349" s="210"/>
      <c r="R349" s="211"/>
      <c r="S349" s="211"/>
      <c r="T349" s="211">
        <f>IF(R349&gt;0,IF(RIGHT(Ruimtestaat[[#This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349" s="211">
        <f>IF(T349&gt;0,VLOOKUP($J349,Ruimtegroepen[],3,FALSE)*VLOOKUP($L349,Vloersoorten[],3,FALSE)*VLOOKUP($S349,Frequenties[],3,FALSE)*VLOOKUP($A349,Locaties[],3,FALSE),0)</f>
        <v>0</v>
      </c>
      <c r="V349" s="211">
        <f>Ruimtestaat[[#This Row],[Uitvoeringen werkdagen]]*Ruimtestaat[[#This Row],[Oppervlak (netto)]]</f>
        <v>0</v>
      </c>
      <c r="W349" s="257">
        <f>IF(U349&gt;0,Ruimtestaat[[#This Row],[Prest. (m2 /jaar) werkdagen]]/Ruimtestaat[[#This Row],[Norm (m2/uur) werkdagen]],0)</f>
        <v>0</v>
      </c>
      <c r="X349" s="258">
        <f>Ruimtestaat[[#This Row],[uren / jaar werkdagen]]*Tariefsopbouw!$D$38</f>
        <v>0</v>
      </c>
      <c r="Y349" s="33"/>
      <c r="Z349" s="33">
        <f>IF(Ruimtestaat[[#This Row],[Frequentie weekend]]&gt;0,VALUE(LEFT(Y349,1))*R349,0)</f>
        <v>0</v>
      </c>
      <c r="AA349" s="33">
        <f>IF($Z349&gt;0,VLOOKUP($J349,Ruimtegroepen[],3,FALSE)*VLOOKUP($L349,Vloersoorten[],3,FALSE)*VLOOKUP($Y349,Frequenties[],3,FALSE)*VLOOKUP(#REF!,Locaties[],3,FALSE),0)</f>
        <v>0</v>
      </c>
      <c r="AB349" s="33"/>
      <c r="AC349" s="33"/>
      <c r="AD349" s="33">
        <f>Ruimtestaat[[#This Row],[uren / jaar weekend]]*Tariefsopbouw!$D$40</f>
        <v>0</v>
      </c>
      <c r="AE349" s="88">
        <f>Ruimtestaat[[#This Row],[Prest. (m2 /jaar) weekend]]+Ruimtestaat[[#This Row],[Prest. (m2 /jaar) werkdagen]]</f>
        <v>0</v>
      </c>
      <c r="AF349" s="88">
        <f>Ruimtestaat[[#This Row],[uren / jaar weekend]]+Ruimtestaat[[#This Row],[uren / jaar werkdagen]]</f>
        <v>0</v>
      </c>
      <c r="AG349" s="89">
        <f>Ruimtestaat[[#This Row],[kosten / jaar weekend]]+Ruimtestaat[[#This Row],[kosten / jaar werkdagen]]</f>
        <v>0</v>
      </c>
    </row>
    <row r="350" spans="1:33" ht="15" customHeight="1">
      <c r="A350" s="195">
        <v>3</v>
      </c>
      <c r="B350" s="195" t="str">
        <f>VLOOKUP(Ruimtestaat[[#This Row],[Code]],Locaties[#All],2,FALSE)</f>
        <v>Lichtenvoorde gebouw 1</v>
      </c>
      <c r="C350" s="241" t="str">
        <f>VLOOKUP(Ruimtestaat[[#This Row],[Code]],Locaties[#All],4,FALSE)</f>
        <v>Dr Ariensstraat 1</v>
      </c>
      <c r="D350" s="241" t="str">
        <f>VLOOKUP(Ruimtestaat[[#This Row],[Code]],Locaties[#All],5,FALSE)</f>
        <v>7131 XM </v>
      </c>
      <c r="E350" s="241" t="str">
        <f>VLOOKUP(Ruimtestaat[[#This Row],[Code]],Locaties[#All],6,FALSE)</f>
        <v>Lichtenvoorde</v>
      </c>
      <c r="F350" s="195"/>
      <c r="G350" s="195" t="s">
        <v>773</v>
      </c>
      <c r="H350" s="195" t="s">
        <v>626</v>
      </c>
      <c r="I350" s="242" t="s">
        <v>452</v>
      </c>
      <c r="J350" s="261">
        <v>21</v>
      </c>
      <c r="K350" s="260" t="str">
        <f>VLOOKUP(Ruimtestaat[[#This Row],[Ruimte code]],Ruimtegroepen[#All],2,FALSE)</f>
        <v>Niet in onderhoud</v>
      </c>
      <c r="L350" s="241"/>
      <c r="M350" s="195"/>
      <c r="N350" s="197"/>
      <c r="O350" s="209">
        <v>1.83</v>
      </c>
      <c r="P350" s="241" t="str">
        <f>VLOOKUP(Ruimtestaat[[#This Row],[Ruimte code]],Ruimtegroepen[#All],4,FALSE)</f>
        <v>Niet in onderhoud</v>
      </c>
      <c r="Q350" s="210"/>
      <c r="R350" s="211"/>
      <c r="S350" s="211"/>
      <c r="T350" s="211">
        <f>IF(R350&gt;0,IF(RIGHT(Ruimtestaat[[#This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350" s="211">
        <f>IF(T350&gt;0,VLOOKUP($J350,Ruimtegroepen[],3,FALSE)*VLOOKUP($L350,Vloersoorten[],3,FALSE)*VLOOKUP($S350,Frequenties[],3,FALSE)*VLOOKUP($A350,Locaties[],3,FALSE),0)</f>
        <v>0</v>
      </c>
      <c r="V350" s="211">
        <f>Ruimtestaat[[#This Row],[Uitvoeringen werkdagen]]*Ruimtestaat[[#This Row],[Oppervlak (netto)]]</f>
        <v>0</v>
      </c>
      <c r="W350" s="257">
        <f>IF(U350&gt;0,Ruimtestaat[[#This Row],[Prest. (m2 /jaar) werkdagen]]/Ruimtestaat[[#This Row],[Norm (m2/uur) werkdagen]],0)</f>
        <v>0</v>
      </c>
      <c r="X350" s="258">
        <f>Ruimtestaat[[#This Row],[uren / jaar werkdagen]]*Tariefsopbouw!$D$38</f>
        <v>0</v>
      </c>
      <c r="Y350" s="33"/>
      <c r="Z350" s="33">
        <f>IF(Ruimtestaat[[#This Row],[Frequentie weekend]]&gt;0,VALUE(LEFT(Y350,1))*R350,0)</f>
        <v>0</v>
      </c>
      <c r="AA350" s="33">
        <f>IF($Z350&gt;0,VLOOKUP($J350,Ruimtegroepen[],3,FALSE)*VLOOKUP($L350,Vloersoorten[],3,FALSE)*VLOOKUP($Y350,Frequenties[],3,FALSE)*VLOOKUP(#REF!,Locaties[],3,FALSE),0)</f>
        <v>0</v>
      </c>
      <c r="AB350" s="33"/>
      <c r="AC350" s="33"/>
      <c r="AD350" s="33">
        <f>Ruimtestaat[[#This Row],[uren / jaar weekend]]*Tariefsopbouw!$D$40</f>
        <v>0</v>
      </c>
      <c r="AE350" s="88">
        <f>Ruimtestaat[[#This Row],[Prest. (m2 /jaar) weekend]]+Ruimtestaat[[#This Row],[Prest. (m2 /jaar) werkdagen]]</f>
        <v>0</v>
      </c>
      <c r="AF350" s="88">
        <f>Ruimtestaat[[#This Row],[uren / jaar weekend]]+Ruimtestaat[[#This Row],[uren / jaar werkdagen]]</f>
        <v>0</v>
      </c>
      <c r="AG350" s="89">
        <f>Ruimtestaat[[#This Row],[kosten / jaar weekend]]+Ruimtestaat[[#This Row],[kosten / jaar werkdagen]]</f>
        <v>0</v>
      </c>
    </row>
    <row r="351" spans="1:33" ht="15" customHeight="1">
      <c r="A351" s="195">
        <v>3</v>
      </c>
      <c r="B351" s="195" t="str">
        <f>VLOOKUP(Ruimtestaat[[#This Row],[Code]],Locaties[#All],2,FALSE)</f>
        <v>Lichtenvoorde gebouw 1</v>
      </c>
      <c r="C351" s="241" t="str">
        <f>VLOOKUP(Ruimtestaat[[#This Row],[Code]],Locaties[#All],4,FALSE)</f>
        <v>Dr Ariensstraat 1</v>
      </c>
      <c r="D351" s="241" t="str">
        <f>VLOOKUP(Ruimtestaat[[#This Row],[Code]],Locaties[#All],5,FALSE)</f>
        <v>7131 XM </v>
      </c>
      <c r="E351" s="241" t="str">
        <f>VLOOKUP(Ruimtestaat[[#This Row],[Code]],Locaties[#All],6,FALSE)</f>
        <v>Lichtenvoorde</v>
      </c>
      <c r="F351" s="195"/>
      <c r="G351" s="195" t="s">
        <v>773</v>
      </c>
      <c r="H351" s="195" t="s">
        <v>627</v>
      </c>
      <c r="I351" s="242" t="s">
        <v>382</v>
      </c>
      <c r="J351" s="195">
        <v>10</v>
      </c>
      <c r="K351" s="260" t="str">
        <f>VLOOKUP(Ruimtestaat[[#This Row],[Ruimte code]],Ruimtegroepen[#All],2,FALSE)</f>
        <v>Trappenhuizen/lift</v>
      </c>
      <c r="L351" s="241" t="s">
        <v>110</v>
      </c>
      <c r="M351" s="195" t="s">
        <v>133</v>
      </c>
      <c r="N351" s="197">
        <v>11.77</v>
      </c>
      <c r="O351" s="209"/>
      <c r="P351" s="241" t="str">
        <f>VLOOKUP(Ruimtestaat[[#This Row],[Ruimte code]],Ruimtegroepen[#All],4,FALSE)</f>
        <v>V  (Verkeersruimte)</v>
      </c>
      <c r="Q351" s="210"/>
      <c r="R351" s="211">
        <v>40</v>
      </c>
      <c r="S351" s="211" t="s">
        <v>2</v>
      </c>
      <c r="T351" s="211">
        <f>IF(R351&gt;0,IF(RIGHT(Ruimtestaat[[#This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51" s="211">
        <f>IF(T351&gt;0,VLOOKUP($J351,Ruimtegroepen[],3,FALSE)*VLOOKUP($L351,Vloersoorten[],3,FALSE)*VLOOKUP($S351,Frequenties[],3,FALSE)*VLOOKUP($A351,Locaties[],3,FALSE),0)</f>
        <v>100</v>
      </c>
      <c r="V351" s="211">
        <f>Ruimtestaat[[#This Row],[Uitvoeringen werkdagen]]*Ruimtestaat[[#This Row],[Oppervlak (netto)]]</f>
        <v>2354</v>
      </c>
      <c r="W351" s="257">
        <f>IF(U351&gt;0,Ruimtestaat[[#This Row],[Prest. (m2 /jaar) werkdagen]]/Ruimtestaat[[#This Row],[Norm (m2/uur) werkdagen]],0)</f>
        <v>23.54</v>
      </c>
      <c r="X351" s="258">
        <f>Ruimtestaat[[#This Row],[uren / jaar werkdagen]]*Tariefsopbouw!$D$38</f>
        <v>588.5</v>
      </c>
      <c r="Y351" s="33"/>
      <c r="Z351" s="33">
        <f>IF(Ruimtestaat[[#This Row],[Frequentie weekend]]&gt;0,VALUE(LEFT(Y351,1))*R351,0)</f>
        <v>0</v>
      </c>
      <c r="AA351" s="33">
        <f>IF($Z351&gt;0,VLOOKUP($J351,Ruimtegroepen[],3,FALSE)*VLOOKUP($L351,Vloersoorten[],3,FALSE)*VLOOKUP($Y351,Frequenties[],3,FALSE)*VLOOKUP(#REF!,Locaties[],3,FALSE),0)</f>
        <v>0</v>
      </c>
      <c r="AB351" s="33"/>
      <c r="AC351" s="33"/>
      <c r="AD351" s="33">
        <f>Ruimtestaat[[#This Row],[uren / jaar weekend]]*Tariefsopbouw!$D$40</f>
        <v>0</v>
      </c>
      <c r="AE351" s="88">
        <f>Ruimtestaat[[#This Row],[Prest. (m2 /jaar) weekend]]+Ruimtestaat[[#This Row],[Prest. (m2 /jaar) werkdagen]]</f>
        <v>2354</v>
      </c>
      <c r="AF351" s="88">
        <f>Ruimtestaat[[#This Row],[uren / jaar weekend]]+Ruimtestaat[[#This Row],[uren / jaar werkdagen]]</f>
        <v>23.54</v>
      </c>
      <c r="AG351" s="89">
        <f>Ruimtestaat[[#This Row],[kosten / jaar weekend]]+Ruimtestaat[[#This Row],[kosten / jaar werkdagen]]</f>
        <v>588.5</v>
      </c>
    </row>
    <row r="352" spans="1:33" ht="15" customHeight="1">
      <c r="A352" s="195">
        <v>3</v>
      </c>
      <c r="B352" s="195" t="str">
        <f>VLOOKUP(Ruimtestaat[[#This Row],[Code]],Locaties[#All],2,FALSE)</f>
        <v>Lichtenvoorde gebouw 1</v>
      </c>
      <c r="C352" s="241" t="str">
        <f>VLOOKUP(Ruimtestaat[[#This Row],[Code]],Locaties[#All],4,FALSE)</f>
        <v>Dr Ariensstraat 1</v>
      </c>
      <c r="D352" s="241" t="str">
        <f>VLOOKUP(Ruimtestaat[[#This Row],[Code]],Locaties[#All],5,FALSE)</f>
        <v>7131 XM </v>
      </c>
      <c r="E352" s="241" t="str">
        <f>VLOOKUP(Ruimtestaat[[#This Row],[Code]],Locaties[#All],6,FALSE)</f>
        <v>Lichtenvoorde</v>
      </c>
      <c r="F352" s="195"/>
      <c r="G352" s="195" t="s">
        <v>633</v>
      </c>
      <c r="H352" s="195" t="s">
        <v>634</v>
      </c>
      <c r="I352" s="242" t="s">
        <v>601</v>
      </c>
      <c r="J352" s="195">
        <v>21</v>
      </c>
      <c r="K352" s="260" t="str">
        <f>VLOOKUP(Ruimtestaat[[#This Row],[Ruimte code]],Ruimtegroepen[#All],2,FALSE)</f>
        <v>Niet in onderhoud</v>
      </c>
      <c r="L352" s="241"/>
      <c r="M352" s="195"/>
      <c r="N352" s="197"/>
      <c r="O352" s="209">
        <v>12.14</v>
      </c>
      <c r="P352" s="241" t="str">
        <f>VLOOKUP(Ruimtestaat[[#This Row],[Ruimte code]],Ruimtegroepen[#All],4,FALSE)</f>
        <v>Niet in onderhoud</v>
      </c>
      <c r="Q352" s="210"/>
      <c r="R352" s="211"/>
      <c r="S352" s="211"/>
      <c r="T352" s="211">
        <f>IF(R352&gt;0,IF(RIGHT(Ruimtestaat[[#This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352" s="211">
        <f>IF(T352&gt;0,VLOOKUP($J352,Ruimtegroepen[],3,FALSE)*VLOOKUP($L352,Vloersoorten[],3,FALSE)*VLOOKUP($S352,Frequenties[],3,FALSE)*VLOOKUP($A352,Locaties[],3,FALSE),0)</f>
        <v>0</v>
      </c>
      <c r="V352" s="211">
        <f>Ruimtestaat[[#This Row],[Uitvoeringen werkdagen]]*Ruimtestaat[[#This Row],[Oppervlak (netto)]]</f>
        <v>0</v>
      </c>
      <c r="W352" s="257">
        <f>IF(U352&gt;0,Ruimtestaat[[#This Row],[Prest. (m2 /jaar) werkdagen]]/Ruimtestaat[[#This Row],[Norm (m2/uur) werkdagen]],0)</f>
        <v>0</v>
      </c>
      <c r="X352" s="258">
        <f>Ruimtestaat[[#This Row],[uren / jaar werkdagen]]*Tariefsopbouw!$D$38</f>
        <v>0</v>
      </c>
      <c r="Y352" s="33"/>
      <c r="Z352" s="33">
        <f>IF(Ruimtestaat[[#This Row],[Frequentie weekend]]&gt;0,VALUE(LEFT(Y352,1))*R352,0)</f>
        <v>0</v>
      </c>
      <c r="AA352" s="33">
        <f>IF($Z352&gt;0,VLOOKUP($J352,Ruimtegroepen[],3,FALSE)*VLOOKUP($L352,Vloersoorten[],3,FALSE)*VLOOKUP($Y352,Frequenties[],3,FALSE)*VLOOKUP(#REF!,Locaties[],3,FALSE),0)</f>
        <v>0</v>
      </c>
      <c r="AB352" s="33"/>
      <c r="AC352" s="33"/>
      <c r="AD352" s="33">
        <f>Ruimtestaat[[#This Row],[uren / jaar weekend]]*Tariefsopbouw!$D$40</f>
        <v>0</v>
      </c>
      <c r="AE352" s="88">
        <f>Ruimtestaat[[#This Row],[Prest. (m2 /jaar) weekend]]+Ruimtestaat[[#This Row],[Prest. (m2 /jaar) werkdagen]]</f>
        <v>0</v>
      </c>
      <c r="AF352" s="88">
        <f>Ruimtestaat[[#This Row],[uren / jaar weekend]]+Ruimtestaat[[#This Row],[uren / jaar werkdagen]]</f>
        <v>0</v>
      </c>
      <c r="AG352" s="89">
        <f>Ruimtestaat[[#This Row],[kosten / jaar weekend]]+Ruimtestaat[[#This Row],[kosten / jaar werkdagen]]</f>
        <v>0</v>
      </c>
    </row>
    <row r="353" spans="1:33" ht="15" customHeight="1">
      <c r="A353" s="195">
        <v>3</v>
      </c>
      <c r="B353" s="195" t="str">
        <f>VLOOKUP(Ruimtestaat[[#This Row],[Code]],Locaties[#All],2,FALSE)</f>
        <v>Lichtenvoorde gebouw 1</v>
      </c>
      <c r="C353" s="241" t="str">
        <f>VLOOKUP(Ruimtestaat[[#This Row],[Code]],Locaties[#All],4,FALSE)</f>
        <v>Dr Ariensstraat 1</v>
      </c>
      <c r="D353" s="241" t="str">
        <f>VLOOKUP(Ruimtestaat[[#This Row],[Code]],Locaties[#All],5,FALSE)</f>
        <v>7131 XM </v>
      </c>
      <c r="E353" s="241" t="str">
        <f>VLOOKUP(Ruimtestaat[[#This Row],[Code]],Locaties[#All],6,FALSE)</f>
        <v>Lichtenvoorde</v>
      </c>
      <c r="F353" s="195"/>
      <c r="G353" s="195" t="s">
        <v>633</v>
      </c>
      <c r="H353" s="195" t="s">
        <v>635</v>
      </c>
      <c r="I353" s="242" t="s">
        <v>382</v>
      </c>
      <c r="J353" s="195">
        <v>21</v>
      </c>
      <c r="K353" s="260" t="str">
        <f>VLOOKUP(Ruimtestaat[[#This Row],[Ruimte code]],Ruimtegroepen[#All],2,FALSE)</f>
        <v>Niet in onderhoud</v>
      </c>
      <c r="L353" s="241"/>
      <c r="M353" s="195"/>
      <c r="N353" s="197"/>
      <c r="O353" s="197">
        <v>25.84</v>
      </c>
      <c r="P353" s="241" t="str">
        <f>VLOOKUP(Ruimtestaat[[#This Row],[Ruimte code]],Ruimtegroepen[#All],4,FALSE)</f>
        <v>Niet in onderhoud</v>
      </c>
      <c r="Q353" s="210"/>
      <c r="R353" s="211"/>
      <c r="S353" s="211"/>
      <c r="T353" s="211">
        <f>IF(R353&gt;0,IF(RIGHT(Ruimtestaat[[#This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353" s="211">
        <f>IF(T353&gt;0,VLOOKUP($J353,Ruimtegroepen[],3,FALSE)*VLOOKUP($L353,Vloersoorten[],3,FALSE)*VLOOKUP($S353,Frequenties[],3,FALSE)*VLOOKUP($A353,Locaties[],3,FALSE),0)</f>
        <v>0</v>
      </c>
      <c r="V353" s="211">
        <f>Ruimtestaat[[#This Row],[Uitvoeringen werkdagen]]*Ruimtestaat[[#This Row],[Oppervlak (netto)]]</f>
        <v>0</v>
      </c>
      <c r="W353" s="257">
        <f>IF(U353&gt;0,Ruimtestaat[[#This Row],[Prest. (m2 /jaar) werkdagen]]/Ruimtestaat[[#This Row],[Norm (m2/uur) werkdagen]],0)</f>
        <v>0</v>
      </c>
      <c r="X353" s="258">
        <f>Ruimtestaat[[#This Row],[uren / jaar werkdagen]]*Tariefsopbouw!$D$38</f>
        <v>0</v>
      </c>
      <c r="Y353" s="33"/>
      <c r="Z353" s="33">
        <f>IF(Ruimtestaat[[#This Row],[Frequentie weekend]]&gt;0,VALUE(LEFT(Y353,1))*R353,0)</f>
        <v>0</v>
      </c>
      <c r="AA353" s="33">
        <f>IF($Z353&gt;0,VLOOKUP($J353,Ruimtegroepen[],3,FALSE)*VLOOKUP($L353,Vloersoorten[],3,FALSE)*VLOOKUP($Y353,Frequenties[],3,FALSE)*VLOOKUP(#REF!,Locaties[],3,FALSE),0)</f>
        <v>0</v>
      </c>
      <c r="AB353" s="33"/>
      <c r="AC353" s="33"/>
      <c r="AD353" s="33">
        <f>Ruimtestaat[[#This Row],[uren / jaar weekend]]*Tariefsopbouw!$D$40</f>
        <v>0</v>
      </c>
      <c r="AE353" s="88">
        <f>Ruimtestaat[[#This Row],[Prest. (m2 /jaar) weekend]]+Ruimtestaat[[#This Row],[Prest. (m2 /jaar) werkdagen]]</f>
        <v>0</v>
      </c>
      <c r="AF353" s="88">
        <f>Ruimtestaat[[#This Row],[uren / jaar weekend]]+Ruimtestaat[[#This Row],[uren / jaar werkdagen]]</f>
        <v>0</v>
      </c>
      <c r="AG353" s="89">
        <f>Ruimtestaat[[#This Row],[kosten / jaar weekend]]+Ruimtestaat[[#This Row],[kosten / jaar werkdagen]]</f>
        <v>0</v>
      </c>
    </row>
    <row r="354" spans="1:33" ht="15" customHeight="1">
      <c r="A354" s="195">
        <v>3</v>
      </c>
      <c r="B354" s="195" t="str">
        <f>VLOOKUP(Ruimtestaat[[#This Row],[Code]],Locaties[#All],2,FALSE)</f>
        <v>Lichtenvoorde gebouw 1</v>
      </c>
      <c r="C354" s="241" t="str">
        <f>VLOOKUP(Ruimtestaat[[#This Row],[Code]],Locaties[#All],4,FALSE)</f>
        <v>Dr Ariensstraat 1</v>
      </c>
      <c r="D354" s="241" t="str">
        <f>VLOOKUP(Ruimtestaat[[#This Row],[Code]],Locaties[#All],5,FALSE)</f>
        <v>7131 XM </v>
      </c>
      <c r="E354" s="241" t="str">
        <f>VLOOKUP(Ruimtestaat[[#This Row],[Code]],Locaties[#All],6,FALSE)</f>
        <v>Lichtenvoorde</v>
      </c>
      <c r="F354" s="195"/>
      <c r="G354" s="195" t="s">
        <v>633</v>
      </c>
      <c r="H354" s="195" t="s">
        <v>636</v>
      </c>
      <c r="I354" s="242" t="s">
        <v>441</v>
      </c>
      <c r="J354" s="195">
        <v>21</v>
      </c>
      <c r="K354" s="260" t="str">
        <f>VLOOKUP(Ruimtestaat[[#This Row],[Ruimte code]],Ruimtegroepen[#All],2,FALSE)</f>
        <v>Niet in onderhoud</v>
      </c>
      <c r="L354" s="241"/>
      <c r="M354" s="195"/>
      <c r="N354" s="197"/>
      <c r="O354" s="209">
        <v>4.54</v>
      </c>
      <c r="P354" s="241"/>
      <c r="Q354" s="210"/>
      <c r="R354" s="211"/>
      <c r="S354" s="211"/>
      <c r="T354" s="211">
        <f>IF(R354&gt;0,IF(RIGHT(Ruimtestaat[[#This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354" s="211">
        <f>IF(T354&gt;0,VLOOKUP($J354,Ruimtegroepen[],3,FALSE)*VLOOKUP($L354,Vloersoorten[],3,FALSE)*VLOOKUP($S354,Frequenties[],3,FALSE)*VLOOKUP($A354,Locaties[],3,FALSE),0)</f>
        <v>0</v>
      </c>
      <c r="V354" s="211">
        <f>Ruimtestaat[[#This Row],[Uitvoeringen werkdagen]]*Ruimtestaat[[#This Row],[Oppervlak (netto)]]</f>
        <v>0</v>
      </c>
      <c r="W354" s="257">
        <f>IF(U354&gt;0,Ruimtestaat[[#This Row],[Prest. (m2 /jaar) werkdagen]]/Ruimtestaat[[#This Row],[Norm (m2/uur) werkdagen]],0)</f>
        <v>0</v>
      </c>
      <c r="X354" s="258">
        <f>Ruimtestaat[[#This Row],[uren / jaar werkdagen]]*Tariefsopbouw!$D$38</f>
        <v>0</v>
      </c>
      <c r="Y354" s="33"/>
      <c r="Z354" s="33">
        <f>IF(Ruimtestaat[[#This Row],[Frequentie weekend]]&gt;0,VALUE(LEFT(Y354,1))*R354,0)</f>
        <v>0</v>
      </c>
      <c r="AA354" s="33">
        <f>IF($Z354&gt;0,VLOOKUP($J354,Ruimtegroepen[],3,FALSE)*VLOOKUP($L354,Vloersoorten[],3,FALSE)*VLOOKUP($Y354,Frequenties[],3,FALSE)*VLOOKUP(#REF!,Locaties[],3,FALSE),0)</f>
        <v>0</v>
      </c>
      <c r="AB354" s="33"/>
      <c r="AC354" s="33"/>
      <c r="AD354" s="33">
        <f>Ruimtestaat[[#This Row],[uren / jaar weekend]]*Tariefsopbouw!$D$40</f>
        <v>0</v>
      </c>
      <c r="AE354" s="88">
        <f>Ruimtestaat[[#This Row],[Prest. (m2 /jaar) weekend]]+Ruimtestaat[[#This Row],[Prest. (m2 /jaar) werkdagen]]</f>
        <v>0</v>
      </c>
      <c r="AF354" s="88">
        <f>Ruimtestaat[[#This Row],[uren / jaar weekend]]+Ruimtestaat[[#This Row],[uren / jaar werkdagen]]</f>
        <v>0</v>
      </c>
      <c r="AG354" s="89">
        <f>Ruimtestaat[[#This Row],[kosten / jaar weekend]]+Ruimtestaat[[#This Row],[kosten / jaar werkdagen]]</f>
        <v>0</v>
      </c>
    </row>
    <row r="355" spans="1:33" ht="15" customHeight="1">
      <c r="A355" s="195">
        <v>3</v>
      </c>
      <c r="B355" s="195" t="str">
        <f>VLOOKUP(Ruimtestaat[[#This Row],[Code]],Locaties[#All],2,FALSE)</f>
        <v>Lichtenvoorde gebouw 1</v>
      </c>
      <c r="C355" s="241" t="str">
        <f>VLOOKUP(Ruimtestaat[[#This Row],[Code]],Locaties[#All],4,FALSE)</f>
        <v>Dr Ariensstraat 1</v>
      </c>
      <c r="D355" s="241" t="str">
        <f>VLOOKUP(Ruimtestaat[[#This Row],[Code]],Locaties[#All],5,FALSE)</f>
        <v>7131 XM </v>
      </c>
      <c r="E355" s="241" t="str">
        <f>VLOOKUP(Ruimtestaat[[#This Row],[Code]],Locaties[#All],6,FALSE)</f>
        <v>Lichtenvoorde</v>
      </c>
      <c r="F355" s="195"/>
      <c r="G355" s="195" t="s">
        <v>633</v>
      </c>
      <c r="H355" s="195" t="s">
        <v>637</v>
      </c>
      <c r="I355" s="242" t="s">
        <v>638</v>
      </c>
      <c r="J355" s="195">
        <v>21</v>
      </c>
      <c r="K355" s="260" t="str">
        <f>VLOOKUP(Ruimtestaat[[#This Row],[Ruimte code]],Ruimtegroepen[#All],2,FALSE)</f>
        <v>Niet in onderhoud</v>
      </c>
      <c r="L355" s="241"/>
      <c r="M355" s="195"/>
      <c r="N355" s="197"/>
      <c r="O355" s="209">
        <v>38.700000000000003</v>
      </c>
      <c r="P355" s="241"/>
      <c r="Q355" s="210"/>
      <c r="R355" s="211"/>
      <c r="S355" s="211"/>
      <c r="T355" s="211">
        <f>IF(R355&gt;0,IF(RIGHT(Ruimtestaat[[#This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355" s="211">
        <f>IF(T355&gt;0,VLOOKUP($J355,Ruimtegroepen[],3,FALSE)*VLOOKUP($L355,Vloersoorten[],3,FALSE)*VLOOKUP($S355,Frequenties[],3,FALSE)*VLOOKUP($A355,Locaties[],3,FALSE),0)</f>
        <v>0</v>
      </c>
      <c r="V355" s="211">
        <f>Ruimtestaat[[#This Row],[Uitvoeringen werkdagen]]*Ruimtestaat[[#This Row],[Oppervlak (netto)]]</f>
        <v>0</v>
      </c>
      <c r="W355" s="257">
        <f>IF(U355&gt;0,Ruimtestaat[[#This Row],[Prest. (m2 /jaar) werkdagen]]/Ruimtestaat[[#This Row],[Norm (m2/uur) werkdagen]],0)</f>
        <v>0</v>
      </c>
      <c r="X355" s="258">
        <f>Ruimtestaat[[#This Row],[uren / jaar werkdagen]]*Tariefsopbouw!$D$38</f>
        <v>0</v>
      </c>
      <c r="Y355" s="33"/>
      <c r="Z355" s="33">
        <f>IF(Ruimtestaat[[#This Row],[Frequentie weekend]]&gt;0,VALUE(LEFT(Y355,1))*R355,0)</f>
        <v>0</v>
      </c>
      <c r="AA355" s="33">
        <f>IF($Z355&gt;0,VLOOKUP($J355,Ruimtegroepen[],3,FALSE)*VLOOKUP($L355,Vloersoorten[],3,FALSE)*VLOOKUP($Y355,Frequenties[],3,FALSE)*VLOOKUP(#REF!,Locaties[],3,FALSE),0)</f>
        <v>0</v>
      </c>
      <c r="AB355" s="33"/>
      <c r="AC355" s="33"/>
      <c r="AD355" s="33">
        <f>Ruimtestaat[[#This Row],[uren / jaar weekend]]*Tariefsopbouw!$D$40</f>
        <v>0</v>
      </c>
      <c r="AE355" s="88">
        <f>Ruimtestaat[[#This Row],[Prest. (m2 /jaar) weekend]]+Ruimtestaat[[#This Row],[Prest. (m2 /jaar) werkdagen]]</f>
        <v>0</v>
      </c>
      <c r="AF355" s="88">
        <f>Ruimtestaat[[#This Row],[uren / jaar weekend]]+Ruimtestaat[[#This Row],[uren / jaar werkdagen]]</f>
        <v>0</v>
      </c>
      <c r="AG355" s="89">
        <f>Ruimtestaat[[#This Row],[kosten / jaar weekend]]+Ruimtestaat[[#This Row],[kosten / jaar werkdagen]]</f>
        <v>0</v>
      </c>
    </row>
    <row r="356" spans="1:33" ht="15" customHeight="1">
      <c r="A356" s="195">
        <v>4</v>
      </c>
      <c r="B356" s="195" t="str">
        <f>VLOOKUP(Ruimtestaat[[#This Row],[Code]],Locaties[#All],2,FALSE)</f>
        <v>Lichtenvoorde gebouw 3</v>
      </c>
      <c r="C356" s="241" t="str">
        <f>VLOOKUP(Ruimtestaat[[#This Row],[Code]],Locaties[#All],4,FALSE)</f>
        <v>Dr Ariensstraat 3</v>
      </c>
      <c r="D356" s="241" t="str">
        <f>VLOOKUP(Ruimtestaat[[#This Row],[Code]],Locaties[#All],5,FALSE)</f>
        <v>7131 XM </v>
      </c>
      <c r="E356" s="241" t="str">
        <f>VLOOKUP(Ruimtestaat[[#This Row],[Code]],Locaties[#All],6,FALSE)</f>
        <v>Lichtenvoorde</v>
      </c>
      <c r="F356" s="195" t="s">
        <v>780</v>
      </c>
      <c r="G356" s="195" t="s">
        <v>776</v>
      </c>
      <c r="H356" s="195">
        <v>301</v>
      </c>
      <c r="I356" s="242" t="s">
        <v>382</v>
      </c>
      <c r="J356" s="195">
        <v>6</v>
      </c>
      <c r="K356" s="260" t="str">
        <f>VLOOKUP(Ruimtestaat[[#This Row],[Ruimte code]],Ruimtegroepen[#All],2,FALSE)</f>
        <v>Gangen/hallen</v>
      </c>
      <c r="L356" s="241" t="s">
        <v>111</v>
      </c>
      <c r="M356" s="195" t="s">
        <v>693</v>
      </c>
      <c r="N356" s="197">
        <v>38.54</v>
      </c>
      <c r="O356" s="209"/>
      <c r="P356" s="241"/>
      <c r="Q356" s="210"/>
      <c r="R356" s="211">
        <v>40</v>
      </c>
      <c r="S356" s="211" t="s">
        <v>2</v>
      </c>
      <c r="T356" s="211">
        <f>IF(R356&gt;0,IF(RIGHT(Ruimtestaat[[#This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56" s="211">
        <f>IF(T356&gt;0,VLOOKUP($J356,Ruimtegroepen[],3,FALSE)*VLOOKUP($L356,Vloersoorten[],3,FALSE)*VLOOKUP($S356,Frequenties[],3,FALSE)*VLOOKUP($A356,Locaties[],3,FALSE),0)</f>
        <v>100</v>
      </c>
      <c r="V356" s="211">
        <f>Ruimtestaat[[#This Row],[Uitvoeringen werkdagen]]*Ruimtestaat[[#This Row],[Oppervlak (netto)]]</f>
        <v>7708</v>
      </c>
      <c r="W356" s="257">
        <f>IF(U356&gt;0,Ruimtestaat[[#This Row],[Prest. (m2 /jaar) werkdagen]]/Ruimtestaat[[#This Row],[Norm (m2/uur) werkdagen]],0)</f>
        <v>77.08</v>
      </c>
      <c r="X356" s="258">
        <f>Ruimtestaat[[#This Row],[uren / jaar werkdagen]]*Tariefsopbouw!$D$38</f>
        <v>1927</v>
      </c>
      <c r="Y356" s="33"/>
      <c r="Z356" s="33">
        <f>IF(Ruimtestaat[[#This Row],[Frequentie weekend]]&gt;0,VALUE(LEFT(Y356,1))*R356,0)</f>
        <v>0</v>
      </c>
      <c r="AA356" s="33">
        <f>IF($Z356&gt;0,VLOOKUP($J356,Ruimtegroepen[],3,FALSE)*VLOOKUP($L356,Vloersoorten[],3,FALSE)*VLOOKUP($Y356,Frequenties[],3,FALSE)*VLOOKUP(#REF!,Locaties[],3,FALSE),0)</f>
        <v>0</v>
      </c>
      <c r="AB356" s="33"/>
      <c r="AC356" s="33"/>
      <c r="AD356" s="33">
        <f>Ruimtestaat[[#This Row],[uren / jaar weekend]]*Tariefsopbouw!$D$40</f>
        <v>0</v>
      </c>
      <c r="AE356" s="88">
        <f>Ruimtestaat[[#This Row],[Prest. (m2 /jaar) weekend]]+Ruimtestaat[[#This Row],[Prest. (m2 /jaar) werkdagen]]</f>
        <v>7708</v>
      </c>
      <c r="AF356" s="88">
        <f>Ruimtestaat[[#This Row],[uren / jaar weekend]]+Ruimtestaat[[#This Row],[uren / jaar werkdagen]]</f>
        <v>77.08</v>
      </c>
      <c r="AG356" s="89">
        <f>Ruimtestaat[[#This Row],[kosten / jaar weekend]]+Ruimtestaat[[#This Row],[kosten / jaar werkdagen]]</f>
        <v>1927</v>
      </c>
    </row>
    <row r="357" spans="1:33" ht="15" customHeight="1">
      <c r="A357" s="195">
        <v>4</v>
      </c>
      <c r="B357" s="195" t="str">
        <f>VLOOKUP(Ruimtestaat[[#This Row],[Code]],Locaties[#All],2,FALSE)</f>
        <v>Lichtenvoorde gebouw 3</v>
      </c>
      <c r="C357" s="241" t="str">
        <f>VLOOKUP(Ruimtestaat[[#This Row],[Code]],Locaties[#All],4,FALSE)</f>
        <v>Dr Ariensstraat 3</v>
      </c>
      <c r="D357" s="241" t="str">
        <f>VLOOKUP(Ruimtestaat[[#This Row],[Code]],Locaties[#All],5,FALSE)</f>
        <v>7131 XM </v>
      </c>
      <c r="E357" s="241" t="str">
        <f>VLOOKUP(Ruimtestaat[[#This Row],[Code]],Locaties[#All],6,FALSE)</f>
        <v>Lichtenvoorde</v>
      </c>
      <c r="F357" s="195" t="s">
        <v>780</v>
      </c>
      <c r="G357" s="195" t="s">
        <v>776</v>
      </c>
      <c r="H357" s="195">
        <v>303</v>
      </c>
      <c r="I357" s="242" t="s">
        <v>382</v>
      </c>
      <c r="J357" s="195">
        <v>6</v>
      </c>
      <c r="K357" s="260" t="str">
        <f>VLOOKUP(Ruimtestaat[[#This Row],[Ruimte code]],Ruimtegroepen[#All],2,FALSE)</f>
        <v>Gangen/hallen</v>
      </c>
      <c r="L357" s="241" t="s">
        <v>112</v>
      </c>
      <c r="M357" s="195" t="s">
        <v>130</v>
      </c>
      <c r="N357" s="197">
        <v>16.73</v>
      </c>
      <c r="O357" s="209"/>
      <c r="P357" s="241"/>
      <c r="Q357" s="210"/>
      <c r="R357" s="211">
        <v>40</v>
      </c>
      <c r="S357" s="211" t="s">
        <v>18</v>
      </c>
      <c r="T357" s="211">
        <f>IF(R357&gt;0,IF(RIGHT(Ruimtestaat[[#This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U357" s="211">
        <f>IF(T357&gt;0,VLOOKUP($J357,Ruimtegroepen[],3,FALSE)*VLOOKUP($L357,Vloersoorten[],3,FALSE)*VLOOKUP($S357,Frequenties[],3,FALSE)*VLOOKUP($A357,Locaties[],3,FALSE),0)</f>
        <v>100</v>
      </c>
      <c r="V357" s="211">
        <f>Ruimtestaat[[#This Row],[Uitvoeringen werkdagen]]*Ruimtestaat[[#This Row],[Oppervlak (netto)]]</f>
        <v>2007.6000000000001</v>
      </c>
      <c r="W357" s="257">
        <f>IF(U357&gt;0,Ruimtestaat[[#This Row],[Prest. (m2 /jaar) werkdagen]]/Ruimtestaat[[#This Row],[Norm (m2/uur) werkdagen]],0)</f>
        <v>20.076000000000001</v>
      </c>
      <c r="X357" s="258">
        <f>Ruimtestaat[[#This Row],[uren / jaar werkdagen]]*Tariefsopbouw!$D$38</f>
        <v>501.90000000000003</v>
      </c>
      <c r="Y357" s="33"/>
      <c r="Z357" s="33">
        <f>IF(Ruimtestaat[[#This Row],[Frequentie weekend]]&gt;0,VALUE(LEFT(Y357,1))*R357,0)</f>
        <v>0</v>
      </c>
      <c r="AA357" s="33">
        <f>IF($Z357&gt;0,VLOOKUP($J357,Ruimtegroepen[],3,FALSE)*VLOOKUP($L357,Vloersoorten[],3,FALSE)*VLOOKUP($Y357,Frequenties[],3,FALSE)*VLOOKUP(#REF!,Locaties[],3,FALSE),0)</f>
        <v>0</v>
      </c>
      <c r="AB357" s="33"/>
      <c r="AC357" s="33"/>
      <c r="AD357" s="33">
        <f>Ruimtestaat[[#This Row],[uren / jaar weekend]]*Tariefsopbouw!$D$40</f>
        <v>0</v>
      </c>
      <c r="AE357" s="88">
        <f>Ruimtestaat[[#This Row],[Prest. (m2 /jaar) weekend]]+Ruimtestaat[[#This Row],[Prest. (m2 /jaar) werkdagen]]</f>
        <v>2007.6000000000001</v>
      </c>
      <c r="AF357" s="88">
        <f>Ruimtestaat[[#This Row],[uren / jaar weekend]]+Ruimtestaat[[#This Row],[uren / jaar werkdagen]]</f>
        <v>20.076000000000001</v>
      </c>
      <c r="AG357" s="89">
        <f>Ruimtestaat[[#This Row],[kosten / jaar weekend]]+Ruimtestaat[[#This Row],[kosten / jaar werkdagen]]</f>
        <v>501.90000000000003</v>
      </c>
    </row>
    <row r="358" spans="1:33" ht="15" customHeight="1">
      <c r="A358" s="195">
        <v>4</v>
      </c>
      <c r="B358" s="195" t="str">
        <f>VLOOKUP(Ruimtestaat[[#This Row],[Code]],Locaties[#All],2,FALSE)</f>
        <v>Lichtenvoorde gebouw 3</v>
      </c>
      <c r="C358" s="241" t="str">
        <f>VLOOKUP(Ruimtestaat[[#This Row],[Code]],Locaties[#All],4,FALSE)</f>
        <v>Dr Ariensstraat 3</v>
      </c>
      <c r="D358" s="241" t="str">
        <f>VLOOKUP(Ruimtestaat[[#This Row],[Code]],Locaties[#All],5,FALSE)</f>
        <v>7131 XM </v>
      </c>
      <c r="E358" s="241" t="str">
        <f>VLOOKUP(Ruimtestaat[[#This Row],[Code]],Locaties[#All],6,FALSE)</f>
        <v>Lichtenvoorde</v>
      </c>
      <c r="F358" s="195" t="s">
        <v>780</v>
      </c>
      <c r="G358" s="195" t="s">
        <v>776</v>
      </c>
      <c r="H358" s="195">
        <v>304</v>
      </c>
      <c r="I358" s="242" t="s">
        <v>22</v>
      </c>
      <c r="J358" s="195">
        <v>5</v>
      </c>
      <c r="K358" s="260" t="str">
        <f>VLOOKUP(Ruimtestaat[[#This Row],[Ruimte code]],Ruimtegroepen[#All],2,FALSE)</f>
        <v>Sanitair</v>
      </c>
      <c r="L358" s="241" t="s">
        <v>111</v>
      </c>
      <c r="M358" s="195" t="s">
        <v>693</v>
      </c>
      <c r="N358" s="197">
        <v>9.83</v>
      </c>
      <c r="O358" s="209"/>
      <c r="P358" s="241"/>
      <c r="Q358" s="210"/>
      <c r="R358" s="211">
        <v>40</v>
      </c>
      <c r="S358" s="211" t="s">
        <v>2</v>
      </c>
      <c r="T358" s="211">
        <f>IF(R358&gt;0,IF(RIGHT(Ruimtestaat[[#This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58" s="211">
        <f>IF(T358&gt;0,VLOOKUP($J358,Ruimtegroepen[],3,FALSE)*VLOOKUP($L358,Vloersoorten[],3,FALSE)*VLOOKUP($S358,Frequenties[],3,FALSE)*VLOOKUP($A358,Locaties[],3,FALSE),0)</f>
        <v>100</v>
      </c>
      <c r="V358" s="211">
        <f>Ruimtestaat[[#This Row],[Uitvoeringen werkdagen]]*Ruimtestaat[[#This Row],[Oppervlak (netto)]]</f>
        <v>1966</v>
      </c>
      <c r="W358" s="257">
        <f>IF(U358&gt;0,Ruimtestaat[[#This Row],[Prest. (m2 /jaar) werkdagen]]/Ruimtestaat[[#This Row],[Norm (m2/uur) werkdagen]],0)</f>
        <v>19.66</v>
      </c>
      <c r="X358" s="258">
        <f>Ruimtestaat[[#This Row],[uren / jaar werkdagen]]*Tariefsopbouw!$D$38</f>
        <v>491.5</v>
      </c>
      <c r="Y358" s="33"/>
      <c r="Z358" s="33">
        <f>IF(Ruimtestaat[[#This Row],[Frequentie weekend]]&gt;0,VALUE(LEFT(Y358,1))*R358,0)</f>
        <v>0</v>
      </c>
      <c r="AA358" s="33">
        <f>IF($Z358&gt;0,VLOOKUP($J358,Ruimtegroepen[],3,FALSE)*VLOOKUP($L358,Vloersoorten[],3,FALSE)*VLOOKUP($Y358,Frequenties[],3,FALSE)*VLOOKUP(#REF!,Locaties[],3,FALSE),0)</f>
        <v>0</v>
      </c>
      <c r="AB358" s="33"/>
      <c r="AC358" s="33"/>
      <c r="AD358" s="33">
        <f>Ruimtestaat[[#This Row],[uren / jaar weekend]]*Tariefsopbouw!$D$40</f>
        <v>0</v>
      </c>
      <c r="AE358" s="88">
        <f>Ruimtestaat[[#This Row],[Prest. (m2 /jaar) weekend]]+Ruimtestaat[[#This Row],[Prest. (m2 /jaar) werkdagen]]</f>
        <v>1966</v>
      </c>
      <c r="AF358" s="88">
        <f>Ruimtestaat[[#This Row],[uren / jaar weekend]]+Ruimtestaat[[#This Row],[uren / jaar werkdagen]]</f>
        <v>19.66</v>
      </c>
      <c r="AG358" s="89">
        <f>Ruimtestaat[[#This Row],[kosten / jaar weekend]]+Ruimtestaat[[#This Row],[kosten / jaar werkdagen]]</f>
        <v>491.5</v>
      </c>
    </row>
    <row r="359" spans="1:33" ht="15" customHeight="1">
      <c r="A359" s="195">
        <v>4</v>
      </c>
      <c r="B359" s="195" t="str">
        <f>VLOOKUP(Ruimtestaat[[#This Row],[Code]],Locaties[#All],2,FALSE)</f>
        <v>Lichtenvoorde gebouw 3</v>
      </c>
      <c r="C359" s="241" t="str">
        <f>VLOOKUP(Ruimtestaat[[#This Row],[Code]],Locaties[#All],4,FALSE)</f>
        <v>Dr Ariensstraat 3</v>
      </c>
      <c r="D359" s="241" t="str">
        <f>VLOOKUP(Ruimtestaat[[#This Row],[Code]],Locaties[#All],5,FALSE)</f>
        <v>7131 XM </v>
      </c>
      <c r="E359" s="241" t="str">
        <f>VLOOKUP(Ruimtestaat[[#This Row],[Code]],Locaties[#All],6,FALSE)</f>
        <v>Lichtenvoorde</v>
      </c>
      <c r="F359" s="195" t="s">
        <v>780</v>
      </c>
      <c r="G359" s="195" t="s">
        <v>776</v>
      </c>
      <c r="H359" s="195">
        <v>305</v>
      </c>
      <c r="I359" s="242" t="s">
        <v>444</v>
      </c>
      <c r="J359" s="195">
        <v>12</v>
      </c>
      <c r="K359" s="260" t="str">
        <f>VLOOKUP(Ruimtestaat[[#This Row],[Ruimte code]],Ruimtegroepen[#All],2,FALSE)</f>
        <v>Groepruimte / kantine</v>
      </c>
      <c r="L359" s="241" t="s">
        <v>112</v>
      </c>
      <c r="M359" s="195" t="s">
        <v>130</v>
      </c>
      <c r="N359" s="197">
        <v>334.76</v>
      </c>
      <c r="O359" s="209"/>
      <c r="P359" s="241"/>
      <c r="Q359" s="210"/>
      <c r="R359" s="211">
        <v>40</v>
      </c>
      <c r="S359" s="211" t="s">
        <v>2</v>
      </c>
      <c r="T359" s="211">
        <f>IF(R359&gt;0,IF(RIGHT(Ruimtestaat[[#This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59" s="211">
        <f>IF(T359&gt;0,VLOOKUP($J359,Ruimtegroepen[],3,FALSE)*VLOOKUP($L359,Vloersoorten[],3,FALSE)*VLOOKUP($S359,Frequenties[],3,FALSE)*VLOOKUP($A359,Locaties[],3,FALSE),0)</f>
        <v>100</v>
      </c>
      <c r="V359" s="211">
        <f>Ruimtestaat[[#This Row],[Uitvoeringen werkdagen]]*Ruimtestaat[[#This Row],[Oppervlak (netto)]]</f>
        <v>66952</v>
      </c>
      <c r="W359" s="257">
        <f>IF(U359&gt;0,Ruimtestaat[[#This Row],[Prest. (m2 /jaar) werkdagen]]/Ruimtestaat[[#This Row],[Norm (m2/uur) werkdagen]],0)</f>
        <v>669.52</v>
      </c>
      <c r="X359" s="258">
        <f>Ruimtestaat[[#This Row],[uren / jaar werkdagen]]*Tariefsopbouw!$D$38</f>
        <v>16738</v>
      </c>
      <c r="Y359" s="33"/>
      <c r="Z359" s="33">
        <f>IF(Ruimtestaat[[#This Row],[Frequentie weekend]]&gt;0,VALUE(LEFT(Y359,1))*R359,0)</f>
        <v>0</v>
      </c>
      <c r="AA359" s="33">
        <f>IF($Z359&gt;0,VLOOKUP($J359,Ruimtegroepen[],3,FALSE)*VLOOKUP($L359,Vloersoorten[],3,FALSE)*VLOOKUP($Y359,Frequenties[],3,FALSE)*VLOOKUP(#REF!,Locaties[],3,FALSE),0)</f>
        <v>0</v>
      </c>
      <c r="AB359" s="33"/>
      <c r="AC359" s="33"/>
      <c r="AD359" s="33">
        <f>Ruimtestaat[[#This Row],[uren / jaar weekend]]*Tariefsopbouw!$D$40</f>
        <v>0</v>
      </c>
      <c r="AE359" s="88">
        <f>Ruimtestaat[[#This Row],[Prest. (m2 /jaar) weekend]]+Ruimtestaat[[#This Row],[Prest. (m2 /jaar) werkdagen]]</f>
        <v>66952</v>
      </c>
      <c r="AF359" s="88">
        <f>Ruimtestaat[[#This Row],[uren / jaar weekend]]+Ruimtestaat[[#This Row],[uren / jaar werkdagen]]</f>
        <v>669.52</v>
      </c>
      <c r="AG359" s="89">
        <f>Ruimtestaat[[#This Row],[kosten / jaar weekend]]+Ruimtestaat[[#This Row],[kosten / jaar werkdagen]]</f>
        <v>16738</v>
      </c>
    </row>
    <row r="360" spans="1:33" ht="15" customHeight="1">
      <c r="A360" s="195">
        <v>4</v>
      </c>
      <c r="B360" s="195" t="str">
        <f>VLOOKUP(Ruimtestaat[[#This Row],[Code]],Locaties[#All],2,FALSE)</f>
        <v>Lichtenvoorde gebouw 3</v>
      </c>
      <c r="C360" s="241" t="str">
        <f>VLOOKUP(Ruimtestaat[[#This Row],[Code]],Locaties[#All],4,FALSE)</f>
        <v>Dr Ariensstraat 3</v>
      </c>
      <c r="D360" s="241" t="str">
        <f>VLOOKUP(Ruimtestaat[[#This Row],[Code]],Locaties[#All],5,FALSE)</f>
        <v>7131 XM </v>
      </c>
      <c r="E360" s="241" t="str">
        <f>VLOOKUP(Ruimtestaat[[#This Row],[Code]],Locaties[#All],6,FALSE)</f>
        <v>Lichtenvoorde</v>
      </c>
      <c r="F360" s="195" t="s">
        <v>780</v>
      </c>
      <c r="G360" s="195" t="s">
        <v>776</v>
      </c>
      <c r="H360" s="195">
        <v>306</v>
      </c>
      <c r="I360" s="242" t="s">
        <v>830</v>
      </c>
      <c r="J360" s="195">
        <v>16</v>
      </c>
      <c r="K360" s="260" t="str">
        <f>VLOOKUP(Ruimtestaat[[#This Row],[Ruimte code]],Ruimtegroepen[#All],2,FALSE)</f>
        <v>Lokaal</v>
      </c>
      <c r="L360" s="241" t="s">
        <v>112</v>
      </c>
      <c r="M360" s="195" t="s">
        <v>130</v>
      </c>
      <c r="N360" s="197">
        <v>58.31</v>
      </c>
      <c r="O360" s="209"/>
      <c r="P360" s="241"/>
      <c r="Q360" s="210"/>
      <c r="R360" s="211">
        <v>40</v>
      </c>
      <c r="S360" s="211" t="s">
        <v>2</v>
      </c>
      <c r="T360" s="211">
        <f>IF(R360&gt;0,IF(RIGHT(Ruimtestaat[[#This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60" s="211">
        <f>IF(T360&gt;0,VLOOKUP($J360,Ruimtegroepen[],3,FALSE)*VLOOKUP($L360,Vloersoorten[],3,FALSE)*VLOOKUP($S360,Frequenties[],3,FALSE)*VLOOKUP($A360,Locaties[],3,FALSE),0)</f>
        <v>100</v>
      </c>
      <c r="V360" s="211">
        <f>Ruimtestaat[[#This Row],[Uitvoeringen werkdagen]]*Ruimtestaat[[#This Row],[Oppervlak (netto)]]</f>
        <v>11662</v>
      </c>
      <c r="W360" s="257">
        <f>IF(U360&gt;0,Ruimtestaat[[#This Row],[Prest. (m2 /jaar) werkdagen]]/Ruimtestaat[[#This Row],[Norm (m2/uur) werkdagen]],0)</f>
        <v>116.62</v>
      </c>
      <c r="X360" s="258">
        <f>Ruimtestaat[[#This Row],[uren / jaar werkdagen]]*Tariefsopbouw!$D$38</f>
        <v>2915.5</v>
      </c>
      <c r="Y360" s="33"/>
      <c r="Z360" s="33">
        <f>IF(Ruimtestaat[[#This Row],[Frequentie weekend]]&gt;0,VALUE(LEFT(Y360,1))*R360,0)</f>
        <v>0</v>
      </c>
      <c r="AA360" s="33">
        <f>IF($Z360&gt;0,VLOOKUP($J360,Ruimtegroepen[],3,FALSE)*VLOOKUP($L360,Vloersoorten[],3,FALSE)*VLOOKUP($Y360,Frequenties[],3,FALSE)*VLOOKUP(#REF!,Locaties[],3,FALSE),0)</f>
        <v>0</v>
      </c>
      <c r="AB360" s="33"/>
      <c r="AC360" s="33"/>
      <c r="AD360" s="33">
        <f>Ruimtestaat[[#This Row],[uren / jaar weekend]]*Tariefsopbouw!$D$40</f>
        <v>0</v>
      </c>
      <c r="AE360" s="88">
        <f>Ruimtestaat[[#This Row],[Prest. (m2 /jaar) weekend]]+Ruimtestaat[[#This Row],[Prest. (m2 /jaar) werkdagen]]</f>
        <v>11662</v>
      </c>
      <c r="AF360" s="88">
        <f>Ruimtestaat[[#This Row],[uren / jaar weekend]]+Ruimtestaat[[#This Row],[uren / jaar werkdagen]]</f>
        <v>116.62</v>
      </c>
      <c r="AG360" s="89">
        <f>Ruimtestaat[[#This Row],[kosten / jaar weekend]]+Ruimtestaat[[#This Row],[kosten / jaar werkdagen]]</f>
        <v>2915.5</v>
      </c>
    </row>
    <row r="361" spans="1:33" ht="15" customHeight="1">
      <c r="A361" s="195">
        <v>4</v>
      </c>
      <c r="B361" s="195" t="str">
        <f>VLOOKUP(Ruimtestaat[[#This Row],[Code]],Locaties[#All],2,FALSE)</f>
        <v>Lichtenvoorde gebouw 3</v>
      </c>
      <c r="C361" s="241" t="str">
        <f>VLOOKUP(Ruimtestaat[[#This Row],[Code]],Locaties[#All],4,FALSE)</f>
        <v>Dr Ariensstraat 3</v>
      </c>
      <c r="D361" s="241" t="str">
        <f>VLOOKUP(Ruimtestaat[[#This Row],[Code]],Locaties[#All],5,FALSE)</f>
        <v>7131 XM </v>
      </c>
      <c r="E361" s="241" t="str">
        <f>VLOOKUP(Ruimtestaat[[#This Row],[Code]],Locaties[#All],6,FALSE)</f>
        <v>Lichtenvoorde</v>
      </c>
      <c r="F361" s="195" t="s">
        <v>780</v>
      </c>
      <c r="G361" s="195" t="s">
        <v>776</v>
      </c>
      <c r="H361" s="195">
        <v>307</v>
      </c>
      <c r="I361" s="242" t="s">
        <v>395</v>
      </c>
      <c r="J361" s="195">
        <v>16</v>
      </c>
      <c r="K361" s="260" t="str">
        <f>VLOOKUP(Ruimtestaat[[#This Row],[Ruimte code]],Ruimtegroepen[#All],2,FALSE)</f>
        <v>Lokaal</v>
      </c>
      <c r="L361" s="241" t="s">
        <v>112</v>
      </c>
      <c r="M361" s="195" t="s">
        <v>130</v>
      </c>
      <c r="N361" s="197">
        <v>133.28</v>
      </c>
      <c r="O361" s="209"/>
      <c r="P361" s="241"/>
      <c r="Q361" s="210"/>
      <c r="R361" s="211">
        <v>40</v>
      </c>
      <c r="S361" s="211" t="s">
        <v>2</v>
      </c>
      <c r="T361" s="211">
        <f>IF(R361&gt;0,IF(RIGHT(Ruimtestaat[[#This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61" s="211">
        <f>IF(T361&gt;0,VLOOKUP($J361,Ruimtegroepen[],3,FALSE)*VLOOKUP($L361,Vloersoorten[],3,FALSE)*VLOOKUP($S361,Frequenties[],3,FALSE)*VLOOKUP($A361,Locaties[],3,FALSE),0)</f>
        <v>100</v>
      </c>
      <c r="V361" s="211">
        <f>Ruimtestaat[[#This Row],[Uitvoeringen werkdagen]]*Ruimtestaat[[#This Row],[Oppervlak (netto)]]</f>
        <v>26656</v>
      </c>
      <c r="W361" s="257">
        <f>IF(U361&gt;0,Ruimtestaat[[#This Row],[Prest. (m2 /jaar) werkdagen]]/Ruimtestaat[[#This Row],[Norm (m2/uur) werkdagen]],0)</f>
        <v>266.56</v>
      </c>
      <c r="X361" s="258">
        <f>Ruimtestaat[[#This Row],[uren / jaar werkdagen]]*Tariefsopbouw!$D$38</f>
        <v>6664</v>
      </c>
      <c r="Y361" s="33"/>
      <c r="Z361" s="33">
        <f>IF(Ruimtestaat[[#This Row],[Frequentie weekend]]&gt;0,VALUE(LEFT(Y361,1))*R361,0)</f>
        <v>0</v>
      </c>
      <c r="AA361" s="33">
        <f>IF($Z361&gt;0,VLOOKUP($J361,Ruimtegroepen[],3,FALSE)*VLOOKUP($L361,Vloersoorten[],3,FALSE)*VLOOKUP($Y361,Frequenties[],3,FALSE)*VLOOKUP(#REF!,Locaties[],3,FALSE),0)</f>
        <v>0</v>
      </c>
      <c r="AB361" s="33"/>
      <c r="AC361" s="33"/>
      <c r="AD361" s="33">
        <f>Ruimtestaat[[#This Row],[uren / jaar weekend]]*Tariefsopbouw!$D$40</f>
        <v>0</v>
      </c>
      <c r="AE361" s="88">
        <f>Ruimtestaat[[#This Row],[Prest. (m2 /jaar) weekend]]+Ruimtestaat[[#This Row],[Prest. (m2 /jaar) werkdagen]]</f>
        <v>26656</v>
      </c>
      <c r="AF361" s="88">
        <f>Ruimtestaat[[#This Row],[uren / jaar weekend]]+Ruimtestaat[[#This Row],[uren / jaar werkdagen]]</f>
        <v>266.56</v>
      </c>
      <c r="AG361" s="89">
        <f>Ruimtestaat[[#This Row],[kosten / jaar weekend]]+Ruimtestaat[[#This Row],[kosten / jaar werkdagen]]</f>
        <v>6664</v>
      </c>
    </row>
    <row r="362" spans="1:33" ht="15" customHeight="1">
      <c r="A362" s="195">
        <v>4</v>
      </c>
      <c r="B362" s="195" t="str">
        <f>VLOOKUP(Ruimtestaat[[#This Row],[Code]],Locaties[#All],2,FALSE)</f>
        <v>Lichtenvoorde gebouw 3</v>
      </c>
      <c r="C362" s="241" t="str">
        <f>VLOOKUP(Ruimtestaat[[#This Row],[Code]],Locaties[#All],4,FALSE)</f>
        <v>Dr Ariensstraat 3</v>
      </c>
      <c r="D362" s="241" t="str">
        <f>VLOOKUP(Ruimtestaat[[#This Row],[Code]],Locaties[#All],5,FALSE)</f>
        <v>7131 XM </v>
      </c>
      <c r="E362" s="241" t="str">
        <f>VLOOKUP(Ruimtestaat[[#This Row],[Code]],Locaties[#All],6,FALSE)</f>
        <v>Lichtenvoorde</v>
      </c>
      <c r="F362" s="195" t="s">
        <v>780</v>
      </c>
      <c r="G362" s="195" t="s">
        <v>776</v>
      </c>
      <c r="H362" s="195">
        <v>308</v>
      </c>
      <c r="I362" s="242" t="s">
        <v>382</v>
      </c>
      <c r="J362" s="195">
        <v>7</v>
      </c>
      <c r="K362" s="260" t="str">
        <f>VLOOKUP(Ruimtestaat[[#This Row],[Ruimte code]],Ruimtegroepen[#All],2,FALSE)</f>
        <v>Entree</v>
      </c>
      <c r="L362" s="241" t="s">
        <v>111</v>
      </c>
      <c r="M362" s="195" t="s">
        <v>693</v>
      </c>
      <c r="N362" s="197">
        <v>39.020000000000003</v>
      </c>
      <c r="O362" s="209"/>
      <c r="P362" s="241"/>
      <c r="Q362" s="210"/>
      <c r="R362" s="211">
        <v>40</v>
      </c>
      <c r="S362" s="211" t="s">
        <v>2</v>
      </c>
      <c r="T362" s="211">
        <f>IF(R362&gt;0,IF(RIGHT(Ruimtestaat[[#This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62" s="211">
        <f>IF(T362&gt;0,VLOOKUP($J362,Ruimtegroepen[],3,FALSE)*VLOOKUP($L362,Vloersoorten[],3,FALSE)*VLOOKUP($S362,Frequenties[],3,FALSE)*VLOOKUP($A362,Locaties[],3,FALSE),0)</f>
        <v>100</v>
      </c>
      <c r="V362" s="211">
        <f>Ruimtestaat[[#This Row],[Uitvoeringen werkdagen]]*Ruimtestaat[[#This Row],[Oppervlak (netto)]]</f>
        <v>7804.0000000000009</v>
      </c>
      <c r="W362" s="257">
        <f>IF(U362&gt;0,Ruimtestaat[[#This Row],[Prest. (m2 /jaar) werkdagen]]/Ruimtestaat[[#This Row],[Norm (m2/uur) werkdagen]],0)</f>
        <v>78.040000000000006</v>
      </c>
      <c r="X362" s="258">
        <f>Ruimtestaat[[#This Row],[uren / jaar werkdagen]]*Tariefsopbouw!$D$38</f>
        <v>1951.0000000000002</v>
      </c>
      <c r="Y362" s="33"/>
      <c r="Z362" s="33">
        <f>IF(Ruimtestaat[[#This Row],[Frequentie weekend]]&gt;0,VALUE(LEFT(Y362,1))*R362,0)</f>
        <v>0</v>
      </c>
      <c r="AA362" s="33">
        <f>IF($Z362&gt;0,VLOOKUP($J362,Ruimtegroepen[],3,FALSE)*VLOOKUP($L362,Vloersoorten[],3,FALSE)*VLOOKUP($Y362,Frequenties[],3,FALSE)*VLOOKUP(#REF!,Locaties[],3,FALSE),0)</f>
        <v>0</v>
      </c>
      <c r="AB362" s="33"/>
      <c r="AC362" s="33"/>
      <c r="AD362" s="33">
        <f>Ruimtestaat[[#This Row],[uren / jaar weekend]]*Tariefsopbouw!$D$40</f>
        <v>0</v>
      </c>
      <c r="AE362" s="88">
        <f>Ruimtestaat[[#This Row],[Prest. (m2 /jaar) weekend]]+Ruimtestaat[[#This Row],[Prest. (m2 /jaar) werkdagen]]</f>
        <v>7804.0000000000009</v>
      </c>
      <c r="AF362" s="88">
        <f>Ruimtestaat[[#This Row],[uren / jaar weekend]]+Ruimtestaat[[#This Row],[uren / jaar werkdagen]]</f>
        <v>78.040000000000006</v>
      </c>
      <c r="AG362" s="89">
        <f>Ruimtestaat[[#This Row],[kosten / jaar weekend]]+Ruimtestaat[[#This Row],[kosten / jaar werkdagen]]</f>
        <v>1951.0000000000002</v>
      </c>
    </row>
    <row r="363" spans="1:33" ht="15" customHeight="1">
      <c r="A363" s="195">
        <v>4</v>
      </c>
      <c r="B363" s="195" t="str">
        <f>VLOOKUP(Ruimtestaat[[#This Row],[Code]],Locaties[#All],2,FALSE)</f>
        <v>Lichtenvoorde gebouw 3</v>
      </c>
      <c r="C363" s="241" t="str">
        <f>VLOOKUP(Ruimtestaat[[#This Row],[Code]],Locaties[#All],4,FALSE)</f>
        <v>Dr Ariensstraat 3</v>
      </c>
      <c r="D363" s="241" t="str">
        <f>VLOOKUP(Ruimtestaat[[#This Row],[Code]],Locaties[#All],5,FALSE)</f>
        <v>7131 XM </v>
      </c>
      <c r="E363" s="241" t="str">
        <f>VLOOKUP(Ruimtestaat[[#This Row],[Code]],Locaties[#All],6,FALSE)</f>
        <v>Lichtenvoorde</v>
      </c>
      <c r="F363" s="195" t="s">
        <v>780</v>
      </c>
      <c r="G363" s="195" t="s">
        <v>776</v>
      </c>
      <c r="H363" s="195">
        <v>309</v>
      </c>
      <c r="I363" s="242" t="s">
        <v>382</v>
      </c>
      <c r="J363" s="211">
        <v>9</v>
      </c>
      <c r="K363" s="260" t="str">
        <f>VLOOKUP(Ruimtestaat[[#This Row],[Ruimte code]],Ruimtegroepen[#All],2,FALSE)</f>
        <v>Garderobe</v>
      </c>
      <c r="L363" s="211" t="s">
        <v>112</v>
      </c>
      <c r="M363" s="195" t="s">
        <v>130</v>
      </c>
      <c r="N363" s="197">
        <v>27.51</v>
      </c>
      <c r="O363" s="209"/>
      <c r="P363" s="241" t="str">
        <f>VLOOKUP(Ruimtestaat[[#This Row],[Ruimte code]],Ruimtegroepen[#All],4,FALSE)</f>
        <v>V  (Verkeersruimte)</v>
      </c>
      <c r="Q363" s="210"/>
      <c r="R363" s="211">
        <v>40</v>
      </c>
      <c r="S363" s="211" t="s">
        <v>2</v>
      </c>
      <c r="T363" s="211">
        <f>IF(R363&gt;0,IF(RIGHT(Ruimtestaat[[#This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63" s="211">
        <f>IF(T363&gt;0,VLOOKUP($J363,Ruimtegroepen[],3,FALSE)*VLOOKUP($L363,Vloersoorten[],3,FALSE)*VLOOKUP($S363,Frequenties[],3,FALSE)*VLOOKUP($A363,Locaties[],3,FALSE),0)</f>
        <v>100</v>
      </c>
      <c r="V363" s="211">
        <f>Ruimtestaat[[#This Row],[Uitvoeringen werkdagen]]*Ruimtestaat[[#This Row],[Oppervlak (netto)]]</f>
        <v>5502</v>
      </c>
      <c r="W363" s="257">
        <f>IF(U363&gt;0,Ruimtestaat[[#This Row],[Prest. (m2 /jaar) werkdagen]]/Ruimtestaat[[#This Row],[Norm (m2/uur) werkdagen]],0)</f>
        <v>55.02</v>
      </c>
      <c r="X363" s="258">
        <f>Ruimtestaat[[#This Row],[uren / jaar werkdagen]]*Tariefsopbouw!$D$38</f>
        <v>1375.5</v>
      </c>
      <c r="Y363" s="33"/>
      <c r="Z363" s="33">
        <f>IF(Ruimtestaat[[#This Row],[Frequentie weekend]]&gt;0,VALUE(LEFT(Y363,1))*R363,0)</f>
        <v>0</v>
      </c>
      <c r="AA363" s="33">
        <f>IF($Z363&gt;0,VLOOKUP($J363,Ruimtegroepen[],3,FALSE)*VLOOKUP($L363,Vloersoorten[],3,FALSE)*VLOOKUP($Y363,Frequenties[],3,FALSE)*VLOOKUP(#REF!,Locaties[],3,FALSE),0)</f>
        <v>0</v>
      </c>
      <c r="AB363" s="33"/>
      <c r="AC363" s="33"/>
      <c r="AD363" s="33">
        <f>Ruimtestaat[[#This Row],[uren / jaar weekend]]*Tariefsopbouw!$D$40</f>
        <v>0</v>
      </c>
      <c r="AE363" s="88">
        <f>Ruimtestaat[[#This Row],[Prest. (m2 /jaar) weekend]]+Ruimtestaat[[#This Row],[Prest. (m2 /jaar) werkdagen]]</f>
        <v>5502</v>
      </c>
      <c r="AF363" s="88">
        <f>Ruimtestaat[[#This Row],[uren / jaar weekend]]+Ruimtestaat[[#This Row],[uren / jaar werkdagen]]</f>
        <v>55.02</v>
      </c>
      <c r="AG363" s="89">
        <f>Ruimtestaat[[#This Row],[kosten / jaar weekend]]+Ruimtestaat[[#This Row],[kosten / jaar werkdagen]]</f>
        <v>1375.5</v>
      </c>
    </row>
    <row r="364" spans="1:33" ht="15" customHeight="1">
      <c r="A364" s="195">
        <v>4</v>
      </c>
      <c r="B364" s="195" t="str">
        <f>VLOOKUP(Ruimtestaat[[#This Row],[Code]],Locaties[#All],2,FALSE)</f>
        <v>Lichtenvoorde gebouw 3</v>
      </c>
      <c r="C364" s="241" t="str">
        <f>VLOOKUP(Ruimtestaat[[#This Row],[Code]],Locaties[#All],4,FALSE)</f>
        <v>Dr Ariensstraat 3</v>
      </c>
      <c r="D364" s="241" t="str">
        <f>VLOOKUP(Ruimtestaat[[#This Row],[Code]],Locaties[#All],5,FALSE)</f>
        <v>7131 XM </v>
      </c>
      <c r="E364" s="241" t="str">
        <f>VLOOKUP(Ruimtestaat[[#This Row],[Code]],Locaties[#All],6,FALSE)</f>
        <v>Lichtenvoorde</v>
      </c>
      <c r="F364" s="195" t="s">
        <v>780</v>
      </c>
      <c r="G364" s="195" t="s">
        <v>776</v>
      </c>
      <c r="H364" s="195">
        <v>310</v>
      </c>
      <c r="I364" s="242" t="s">
        <v>22</v>
      </c>
      <c r="J364" s="241">
        <v>5</v>
      </c>
      <c r="K364" s="260" t="str">
        <f>VLOOKUP(Ruimtestaat[[#This Row],[Ruimte code]],Ruimtegroepen[#All],2,FALSE)</f>
        <v>Sanitair</v>
      </c>
      <c r="L364" s="195" t="s">
        <v>111</v>
      </c>
      <c r="M364" s="195" t="s">
        <v>693</v>
      </c>
      <c r="N364" s="197">
        <v>9.83</v>
      </c>
      <c r="O364" s="209"/>
      <c r="P364" s="241" t="str">
        <f>VLOOKUP(Ruimtestaat[[#This Row],[Ruimte code]],Ruimtegroepen[#All],4,FALSE)</f>
        <v>S  (Sanitair)</v>
      </c>
      <c r="Q364" s="210"/>
      <c r="R364" s="211">
        <v>40</v>
      </c>
      <c r="S364" s="211" t="s">
        <v>2</v>
      </c>
      <c r="T364" s="211">
        <f>IF(R364&gt;0,IF(RIGHT(Ruimtestaat[[#This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64" s="211">
        <f>IF(T364&gt;0,VLOOKUP($J364,Ruimtegroepen[],3,FALSE)*VLOOKUP($L364,Vloersoorten[],3,FALSE)*VLOOKUP($S364,Frequenties[],3,FALSE)*VLOOKUP($A364,Locaties[],3,FALSE),0)</f>
        <v>100</v>
      </c>
      <c r="V364" s="211">
        <f>Ruimtestaat[[#This Row],[Uitvoeringen werkdagen]]*Ruimtestaat[[#This Row],[Oppervlak (netto)]]</f>
        <v>1966</v>
      </c>
      <c r="W364" s="257">
        <f>IF(U364&gt;0,Ruimtestaat[[#This Row],[Prest. (m2 /jaar) werkdagen]]/Ruimtestaat[[#This Row],[Norm (m2/uur) werkdagen]],0)</f>
        <v>19.66</v>
      </c>
      <c r="X364" s="258">
        <f>Ruimtestaat[[#This Row],[uren / jaar werkdagen]]*Tariefsopbouw!$D$38</f>
        <v>491.5</v>
      </c>
      <c r="Y364" s="33"/>
      <c r="Z364" s="33">
        <f>IF(Ruimtestaat[[#This Row],[Frequentie weekend]]&gt;0,VALUE(LEFT(Y364,1))*R364,0)</f>
        <v>0</v>
      </c>
      <c r="AA364" s="33">
        <f>IF($Z364&gt;0,VLOOKUP($J364,Ruimtegroepen[],3,FALSE)*VLOOKUP($L364,Vloersoorten[],3,FALSE)*VLOOKUP($Y364,Frequenties[],3,FALSE)*VLOOKUP(#REF!,Locaties[],3,FALSE),0)</f>
        <v>0</v>
      </c>
      <c r="AB364" s="33"/>
      <c r="AC364" s="33"/>
      <c r="AD364" s="33">
        <f>Ruimtestaat[[#This Row],[uren / jaar weekend]]*Tariefsopbouw!$D$40</f>
        <v>0</v>
      </c>
      <c r="AE364" s="88">
        <f>Ruimtestaat[[#This Row],[Prest. (m2 /jaar) weekend]]+Ruimtestaat[[#This Row],[Prest. (m2 /jaar) werkdagen]]</f>
        <v>1966</v>
      </c>
      <c r="AF364" s="88">
        <f>Ruimtestaat[[#This Row],[uren / jaar weekend]]+Ruimtestaat[[#This Row],[uren / jaar werkdagen]]</f>
        <v>19.66</v>
      </c>
      <c r="AG364" s="89">
        <f>Ruimtestaat[[#This Row],[kosten / jaar weekend]]+Ruimtestaat[[#This Row],[kosten / jaar werkdagen]]</f>
        <v>491.5</v>
      </c>
    </row>
    <row r="365" spans="1:33" ht="15" customHeight="1">
      <c r="A365" s="195">
        <v>4</v>
      </c>
      <c r="B365" s="195" t="str">
        <f>VLOOKUP(Ruimtestaat[[#This Row],[Code]],Locaties[#All],2,FALSE)</f>
        <v>Lichtenvoorde gebouw 3</v>
      </c>
      <c r="C365" s="241" t="str">
        <f>VLOOKUP(Ruimtestaat[[#This Row],[Code]],Locaties[#All],4,FALSE)</f>
        <v>Dr Ariensstraat 3</v>
      </c>
      <c r="D365" s="241" t="str">
        <f>VLOOKUP(Ruimtestaat[[#This Row],[Code]],Locaties[#All],5,FALSE)</f>
        <v>7131 XM </v>
      </c>
      <c r="E365" s="241" t="str">
        <f>VLOOKUP(Ruimtestaat[[#This Row],[Code]],Locaties[#All],6,FALSE)</f>
        <v>Lichtenvoorde</v>
      </c>
      <c r="F365" s="195" t="s">
        <v>780</v>
      </c>
      <c r="G365" s="195" t="s">
        <v>776</v>
      </c>
      <c r="H365" s="195">
        <v>311</v>
      </c>
      <c r="I365" s="242" t="s">
        <v>831</v>
      </c>
      <c r="J365" s="195">
        <v>21</v>
      </c>
      <c r="K365" s="260" t="str">
        <f>VLOOKUP(Ruimtestaat[[#This Row],[Ruimte code]],Ruimtegroepen[#All],2,FALSE)</f>
        <v>Niet in onderhoud</v>
      </c>
      <c r="L365" s="211" t="s">
        <v>111</v>
      </c>
      <c r="M365" s="195" t="s">
        <v>693</v>
      </c>
      <c r="N365" s="197"/>
      <c r="O365" s="209">
        <v>2.96</v>
      </c>
      <c r="P365" s="241" t="str">
        <f>VLOOKUP(Ruimtestaat[[#This Row],[Ruimte code]],Ruimtegroepen[#All],4,FALSE)</f>
        <v>Niet in onderhoud</v>
      </c>
      <c r="Q365" s="210"/>
      <c r="R365" s="211"/>
      <c r="S365" s="211"/>
      <c r="T365" s="211">
        <f>IF(R365&gt;0,IF(RIGHT(Ruimtestaat[[#This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365" s="211">
        <f>IF(T365&gt;0,VLOOKUP($J365,Ruimtegroepen[],3,FALSE)*VLOOKUP($L365,Vloersoorten[],3,FALSE)*VLOOKUP($S365,Frequenties[],3,FALSE)*VLOOKUP($A365,Locaties[],3,FALSE),0)</f>
        <v>0</v>
      </c>
      <c r="V365" s="211">
        <f>Ruimtestaat[[#This Row],[Uitvoeringen werkdagen]]*Ruimtestaat[[#This Row],[Oppervlak (netto)]]</f>
        <v>0</v>
      </c>
      <c r="W365" s="257">
        <f>IF(U365&gt;0,Ruimtestaat[[#This Row],[Prest. (m2 /jaar) werkdagen]]/Ruimtestaat[[#This Row],[Norm (m2/uur) werkdagen]],0)</f>
        <v>0</v>
      </c>
      <c r="X365" s="258">
        <f>Ruimtestaat[[#This Row],[uren / jaar werkdagen]]*Tariefsopbouw!$D$38</f>
        <v>0</v>
      </c>
      <c r="Y365" s="33"/>
      <c r="Z365" s="33">
        <f>IF(Ruimtestaat[[#This Row],[Frequentie weekend]]&gt;0,VALUE(LEFT(Y365,1))*R365,0)</f>
        <v>0</v>
      </c>
      <c r="AA365" s="33">
        <f>IF($Z365&gt;0,VLOOKUP($J365,Ruimtegroepen[],3,FALSE)*VLOOKUP($L365,Vloersoorten[],3,FALSE)*VLOOKUP($Y365,Frequenties[],3,FALSE)*VLOOKUP(#REF!,Locaties[],3,FALSE),0)</f>
        <v>0</v>
      </c>
      <c r="AB365" s="33"/>
      <c r="AC365" s="33"/>
      <c r="AD365" s="33">
        <f>Ruimtestaat[[#This Row],[uren / jaar weekend]]*Tariefsopbouw!$D$40</f>
        <v>0</v>
      </c>
      <c r="AE365" s="88">
        <f>Ruimtestaat[[#This Row],[Prest. (m2 /jaar) weekend]]+Ruimtestaat[[#This Row],[Prest. (m2 /jaar) werkdagen]]</f>
        <v>0</v>
      </c>
      <c r="AF365" s="88">
        <f>Ruimtestaat[[#This Row],[uren / jaar weekend]]+Ruimtestaat[[#This Row],[uren / jaar werkdagen]]</f>
        <v>0</v>
      </c>
      <c r="AG365" s="89">
        <f>Ruimtestaat[[#This Row],[kosten / jaar weekend]]+Ruimtestaat[[#This Row],[kosten / jaar werkdagen]]</f>
        <v>0</v>
      </c>
    </row>
    <row r="366" spans="1:33" ht="15" customHeight="1">
      <c r="A366" s="195">
        <v>4</v>
      </c>
      <c r="B366" s="195" t="str">
        <f>VLOOKUP(Ruimtestaat[[#This Row],[Code]],Locaties[#All],2,FALSE)</f>
        <v>Lichtenvoorde gebouw 3</v>
      </c>
      <c r="C366" s="241" t="str">
        <f>VLOOKUP(Ruimtestaat[[#This Row],[Code]],Locaties[#All],4,FALSE)</f>
        <v>Dr Ariensstraat 3</v>
      </c>
      <c r="D366" s="241" t="str">
        <f>VLOOKUP(Ruimtestaat[[#This Row],[Code]],Locaties[#All],5,FALSE)</f>
        <v>7131 XM </v>
      </c>
      <c r="E366" s="241" t="str">
        <f>VLOOKUP(Ruimtestaat[[#This Row],[Code]],Locaties[#All],6,FALSE)</f>
        <v>Lichtenvoorde</v>
      </c>
      <c r="F366" s="195" t="s">
        <v>780</v>
      </c>
      <c r="G366" s="195" t="s">
        <v>776</v>
      </c>
      <c r="H366" s="195">
        <v>312</v>
      </c>
      <c r="I366" s="242" t="s">
        <v>382</v>
      </c>
      <c r="J366" s="261">
        <v>6</v>
      </c>
      <c r="K366" s="260" t="str">
        <f>VLOOKUP(Ruimtestaat[[#This Row],[Ruimte code]],Ruimtegroepen[#All],2,FALSE)</f>
        <v>Gangen/hallen</v>
      </c>
      <c r="L366" s="195" t="s">
        <v>111</v>
      </c>
      <c r="M366" s="195" t="s">
        <v>693</v>
      </c>
      <c r="N366" s="197">
        <v>116.98</v>
      </c>
      <c r="O366" s="209"/>
      <c r="P366" s="241" t="str">
        <f>VLOOKUP(Ruimtestaat[[#This Row],[Ruimte code]],Ruimtegroepen[#All],4,FALSE)</f>
        <v>V  (Verkeersruimte)</v>
      </c>
      <c r="Q366" s="210"/>
      <c r="R366" s="211">
        <v>40</v>
      </c>
      <c r="S366" s="211" t="s">
        <v>2</v>
      </c>
      <c r="T366" s="211">
        <f>IF(R366&gt;0,IF(RIGHT(Ruimtestaat[[#This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66" s="211">
        <f>IF(T366&gt;0,VLOOKUP($J366,Ruimtegroepen[],3,FALSE)*VLOOKUP($L366,Vloersoorten[],3,FALSE)*VLOOKUP($S366,Frequenties[],3,FALSE)*VLOOKUP($A366,Locaties[],3,FALSE),0)</f>
        <v>100</v>
      </c>
      <c r="V366" s="211">
        <f>Ruimtestaat[[#This Row],[Uitvoeringen werkdagen]]*Ruimtestaat[[#This Row],[Oppervlak (netto)]]</f>
        <v>23396</v>
      </c>
      <c r="W366" s="257">
        <f>IF(U366&gt;0,Ruimtestaat[[#This Row],[Prest. (m2 /jaar) werkdagen]]/Ruimtestaat[[#This Row],[Norm (m2/uur) werkdagen]],0)</f>
        <v>233.96</v>
      </c>
      <c r="X366" s="258">
        <f>Ruimtestaat[[#This Row],[uren / jaar werkdagen]]*Tariefsopbouw!$D$38</f>
        <v>5849</v>
      </c>
      <c r="Y366" s="33"/>
      <c r="Z366" s="33">
        <f>IF(Ruimtestaat[[#This Row],[Frequentie weekend]]&gt;0,VALUE(LEFT(Y366,1))*R366,0)</f>
        <v>0</v>
      </c>
      <c r="AA366" s="33">
        <f>IF($Z366&gt;0,VLOOKUP($J366,Ruimtegroepen[],3,FALSE)*VLOOKUP($L366,Vloersoorten[],3,FALSE)*VLOOKUP($Y366,Frequenties[],3,FALSE)*VLOOKUP(#REF!,Locaties[],3,FALSE),0)</f>
        <v>0</v>
      </c>
      <c r="AB366" s="33"/>
      <c r="AC366" s="33"/>
      <c r="AD366" s="33">
        <f>Ruimtestaat[[#This Row],[uren / jaar weekend]]*Tariefsopbouw!$D$40</f>
        <v>0</v>
      </c>
      <c r="AE366" s="88">
        <f>Ruimtestaat[[#This Row],[Prest. (m2 /jaar) weekend]]+Ruimtestaat[[#This Row],[Prest. (m2 /jaar) werkdagen]]</f>
        <v>23396</v>
      </c>
      <c r="AF366" s="88">
        <f>Ruimtestaat[[#This Row],[uren / jaar weekend]]+Ruimtestaat[[#This Row],[uren / jaar werkdagen]]</f>
        <v>233.96</v>
      </c>
      <c r="AG366" s="89">
        <f>Ruimtestaat[[#This Row],[kosten / jaar weekend]]+Ruimtestaat[[#This Row],[kosten / jaar werkdagen]]</f>
        <v>5849</v>
      </c>
    </row>
    <row r="367" spans="1:33" ht="15" customHeight="1">
      <c r="A367" s="195">
        <v>4</v>
      </c>
      <c r="B367" s="195" t="str">
        <f>VLOOKUP(Ruimtestaat[[#This Row],[Code]],Locaties[#All],2,FALSE)</f>
        <v>Lichtenvoorde gebouw 3</v>
      </c>
      <c r="C367" s="241" t="str">
        <f>VLOOKUP(Ruimtestaat[[#This Row],[Code]],Locaties[#All],4,FALSE)</f>
        <v>Dr Ariensstraat 3</v>
      </c>
      <c r="D367" s="241" t="str">
        <f>VLOOKUP(Ruimtestaat[[#This Row],[Code]],Locaties[#All],5,FALSE)</f>
        <v>7131 XM </v>
      </c>
      <c r="E367" s="241" t="str">
        <f>VLOOKUP(Ruimtestaat[[#This Row],[Code]],Locaties[#All],6,FALSE)</f>
        <v>Lichtenvoorde</v>
      </c>
      <c r="F367" s="195" t="s">
        <v>780</v>
      </c>
      <c r="G367" s="195" t="s">
        <v>776</v>
      </c>
      <c r="H367" s="195">
        <v>313</v>
      </c>
      <c r="I367" s="242" t="s">
        <v>382</v>
      </c>
      <c r="J367" s="195">
        <v>6</v>
      </c>
      <c r="K367" s="260" t="str">
        <f>VLOOKUP(Ruimtestaat[[#This Row],[Ruimte code]],Ruimtegroepen[#All],2,FALSE)</f>
        <v>Gangen/hallen</v>
      </c>
      <c r="L367" s="195" t="s">
        <v>111</v>
      </c>
      <c r="M367" s="195" t="s">
        <v>693</v>
      </c>
      <c r="N367" s="197">
        <v>98.33</v>
      </c>
      <c r="O367" s="209"/>
      <c r="P367" s="241" t="str">
        <f>VLOOKUP(Ruimtestaat[[#This Row],[Ruimte code]],Ruimtegroepen[#All],4,FALSE)</f>
        <v>V  (Verkeersruimte)</v>
      </c>
      <c r="Q367" s="210"/>
      <c r="R367" s="211">
        <v>40</v>
      </c>
      <c r="S367" s="211" t="s">
        <v>2</v>
      </c>
      <c r="T367" s="211">
        <f>IF(R367&gt;0,IF(RIGHT(Ruimtestaat[[#This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67" s="211">
        <f>IF(T367&gt;0,VLOOKUP($J367,Ruimtegroepen[],3,FALSE)*VLOOKUP($L367,Vloersoorten[],3,FALSE)*VLOOKUP($S367,Frequenties[],3,FALSE)*VLOOKUP($A367,Locaties[],3,FALSE),0)</f>
        <v>100</v>
      </c>
      <c r="V367" s="211">
        <f>Ruimtestaat[[#This Row],[Uitvoeringen werkdagen]]*Ruimtestaat[[#This Row],[Oppervlak (netto)]]</f>
        <v>19666</v>
      </c>
      <c r="W367" s="257">
        <f>IF(U367&gt;0,Ruimtestaat[[#This Row],[Prest. (m2 /jaar) werkdagen]]/Ruimtestaat[[#This Row],[Norm (m2/uur) werkdagen]],0)</f>
        <v>196.66</v>
      </c>
      <c r="X367" s="258">
        <f>Ruimtestaat[[#This Row],[uren / jaar werkdagen]]*Tariefsopbouw!$D$38</f>
        <v>4916.5</v>
      </c>
      <c r="Y367" s="33"/>
      <c r="Z367" s="33">
        <f>IF(Ruimtestaat[[#This Row],[Frequentie weekend]]&gt;0,VALUE(LEFT(Y367,1))*R367,0)</f>
        <v>0</v>
      </c>
      <c r="AA367" s="33">
        <f>IF($Z367&gt;0,VLOOKUP($J367,Ruimtegroepen[],3,FALSE)*VLOOKUP($L367,Vloersoorten[],3,FALSE)*VLOOKUP($Y367,Frequenties[],3,FALSE)*VLOOKUP(#REF!,Locaties[],3,FALSE),0)</f>
        <v>0</v>
      </c>
      <c r="AB367" s="33"/>
      <c r="AC367" s="33"/>
      <c r="AD367" s="33">
        <f>Ruimtestaat[[#This Row],[uren / jaar weekend]]*Tariefsopbouw!$D$40</f>
        <v>0</v>
      </c>
      <c r="AE367" s="88">
        <f>Ruimtestaat[[#This Row],[Prest. (m2 /jaar) weekend]]+Ruimtestaat[[#This Row],[Prest. (m2 /jaar) werkdagen]]</f>
        <v>19666</v>
      </c>
      <c r="AF367" s="88">
        <f>Ruimtestaat[[#This Row],[uren / jaar weekend]]+Ruimtestaat[[#This Row],[uren / jaar werkdagen]]</f>
        <v>196.66</v>
      </c>
      <c r="AG367" s="89">
        <f>Ruimtestaat[[#This Row],[kosten / jaar weekend]]+Ruimtestaat[[#This Row],[kosten / jaar werkdagen]]</f>
        <v>4916.5</v>
      </c>
    </row>
    <row r="368" spans="1:33" ht="15" customHeight="1">
      <c r="A368" s="195">
        <v>4</v>
      </c>
      <c r="B368" s="195" t="str">
        <f>VLOOKUP(Ruimtestaat[[#This Row],[Code]],Locaties[#All],2,FALSE)</f>
        <v>Lichtenvoorde gebouw 3</v>
      </c>
      <c r="C368" s="241" t="str">
        <f>VLOOKUP(Ruimtestaat[[#This Row],[Code]],Locaties[#All],4,FALSE)</f>
        <v>Dr Ariensstraat 3</v>
      </c>
      <c r="D368" s="241" t="str">
        <f>VLOOKUP(Ruimtestaat[[#This Row],[Code]],Locaties[#All],5,FALSE)</f>
        <v>7131 XM </v>
      </c>
      <c r="E368" s="241" t="str">
        <f>VLOOKUP(Ruimtestaat[[#This Row],[Code]],Locaties[#All],6,FALSE)</f>
        <v>Lichtenvoorde</v>
      </c>
      <c r="F368" s="195" t="s">
        <v>780</v>
      </c>
      <c r="G368" s="195" t="s">
        <v>776</v>
      </c>
      <c r="H368" s="195">
        <v>314</v>
      </c>
      <c r="I368" s="242" t="s">
        <v>765</v>
      </c>
      <c r="J368" s="195">
        <v>11</v>
      </c>
      <c r="K368" s="260" t="str">
        <f>VLOOKUP(Ruimtestaat[[#This Row],[Ruimte code]],Ruimtegroepen[#All],2,FALSE)</f>
        <v>Praktijklokaal</v>
      </c>
      <c r="L368" s="195" t="s">
        <v>112</v>
      </c>
      <c r="M368" s="195" t="s">
        <v>130</v>
      </c>
      <c r="N368" s="197">
        <v>80.52</v>
      </c>
      <c r="O368" s="209"/>
      <c r="P368" s="241" t="str">
        <f>VLOOKUP(Ruimtestaat[[#This Row],[Ruimte code]],Ruimtegroepen[#All],4,FALSE)</f>
        <v>L  (Lesruimte)</v>
      </c>
      <c r="Q368" s="210"/>
      <c r="R368" s="211">
        <v>40</v>
      </c>
      <c r="S368" s="211" t="s">
        <v>2</v>
      </c>
      <c r="T368" s="211">
        <f>IF(R368&gt;0,IF(RIGHT(Ruimtestaat[[#This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68" s="211">
        <f>IF(T368&gt;0,VLOOKUP($J368,Ruimtegroepen[],3,FALSE)*VLOOKUP($L368,Vloersoorten[],3,FALSE)*VLOOKUP($S368,Frequenties[],3,FALSE)*VLOOKUP($A368,Locaties[],3,FALSE),0)</f>
        <v>100</v>
      </c>
      <c r="V368" s="211">
        <f>Ruimtestaat[[#This Row],[Uitvoeringen werkdagen]]*Ruimtestaat[[#This Row],[Oppervlak (netto)]]</f>
        <v>16104</v>
      </c>
      <c r="W368" s="257">
        <f>IF(U368&gt;0,Ruimtestaat[[#This Row],[Prest. (m2 /jaar) werkdagen]]/Ruimtestaat[[#This Row],[Norm (m2/uur) werkdagen]],0)</f>
        <v>161.04</v>
      </c>
      <c r="X368" s="258">
        <f>Ruimtestaat[[#This Row],[uren / jaar werkdagen]]*Tariefsopbouw!$D$38</f>
        <v>4026</v>
      </c>
      <c r="Y368" s="33"/>
      <c r="Z368" s="33">
        <f>IF(Ruimtestaat[[#This Row],[Frequentie weekend]]&gt;0,VALUE(LEFT(Y368,1))*R368,0)</f>
        <v>0</v>
      </c>
      <c r="AA368" s="33">
        <f>IF($Z368&gt;0,VLOOKUP($J368,Ruimtegroepen[],3,FALSE)*VLOOKUP($L368,Vloersoorten[],3,FALSE)*VLOOKUP($Y368,Frequenties[],3,FALSE)*VLOOKUP(#REF!,Locaties[],3,FALSE),0)</f>
        <v>0</v>
      </c>
      <c r="AB368" s="33"/>
      <c r="AC368" s="33"/>
      <c r="AD368" s="33">
        <f>Ruimtestaat[[#This Row],[uren / jaar weekend]]*Tariefsopbouw!$D$40</f>
        <v>0</v>
      </c>
      <c r="AE368" s="88">
        <f>Ruimtestaat[[#This Row],[Prest. (m2 /jaar) weekend]]+Ruimtestaat[[#This Row],[Prest. (m2 /jaar) werkdagen]]</f>
        <v>16104</v>
      </c>
      <c r="AF368" s="88">
        <f>Ruimtestaat[[#This Row],[uren / jaar weekend]]+Ruimtestaat[[#This Row],[uren / jaar werkdagen]]</f>
        <v>161.04</v>
      </c>
      <c r="AG368" s="89">
        <f>Ruimtestaat[[#This Row],[kosten / jaar weekend]]+Ruimtestaat[[#This Row],[kosten / jaar werkdagen]]</f>
        <v>4026</v>
      </c>
    </row>
    <row r="369" spans="1:33" ht="15" customHeight="1">
      <c r="A369" s="195">
        <v>4</v>
      </c>
      <c r="B369" s="195" t="str">
        <f>VLOOKUP(Ruimtestaat[[#This Row],[Code]],Locaties[#All],2,FALSE)</f>
        <v>Lichtenvoorde gebouw 3</v>
      </c>
      <c r="C369" s="241" t="str">
        <f>VLOOKUP(Ruimtestaat[[#This Row],[Code]],Locaties[#All],4,FALSE)</f>
        <v>Dr Ariensstraat 3</v>
      </c>
      <c r="D369" s="241" t="str">
        <f>VLOOKUP(Ruimtestaat[[#This Row],[Code]],Locaties[#All],5,FALSE)</f>
        <v>7131 XM </v>
      </c>
      <c r="E369" s="241" t="str">
        <f>VLOOKUP(Ruimtestaat[[#This Row],[Code]],Locaties[#All],6,FALSE)</f>
        <v>Lichtenvoorde</v>
      </c>
      <c r="F369" s="195" t="s">
        <v>780</v>
      </c>
      <c r="G369" s="195" t="s">
        <v>776</v>
      </c>
      <c r="H369" s="195">
        <v>315</v>
      </c>
      <c r="I369" s="242" t="s">
        <v>765</v>
      </c>
      <c r="J369" s="211">
        <v>11</v>
      </c>
      <c r="K369" s="260" t="str">
        <f>VLOOKUP(Ruimtestaat[[#This Row],[Ruimte code]],Ruimtegroepen[#All],2,FALSE)</f>
        <v>Praktijklokaal</v>
      </c>
      <c r="L369" s="211" t="s">
        <v>112</v>
      </c>
      <c r="M369" s="195" t="s">
        <v>130</v>
      </c>
      <c r="N369" s="197">
        <v>61.88</v>
      </c>
      <c r="O369" s="209"/>
      <c r="P369" s="241" t="str">
        <f>VLOOKUP(Ruimtestaat[[#This Row],[Ruimte code]],Ruimtegroepen[#All],4,FALSE)</f>
        <v>L  (Lesruimte)</v>
      </c>
      <c r="Q369" s="210"/>
      <c r="R369" s="211">
        <v>40</v>
      </c>
      <c r="S369" s="211" t="s">
        <v>2</v>
      </c>
      <c r="T369" s="211">
        <f>IF(R369&gt;0,IF(RIGHT(Ruimtestaat[[#This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69" s="211">
        <f>IF(T369&gt;0,VLOOKUP($J369,Ruimtegroepen[],3,FALSE)*VLOOKUP($L369,Vloersoorten[],3,FALSE)*VLOOKUP($S369,Frequenties[],3,FALSE)*VLOOKUP($A369,Locaties[],3,FALSE),0)</f>
        <v>100</v>
      </c>
      <c r="V369" s="211">
        <f>Ruimtestaat[[#This Row],[Uitvoeringen werkdagen]]*Ruimtestaat[[#This Row],[Oppervlak (netto)]]</f>
        <v>12376</v>
      </c>
      <c r="W369" s="257">
        <f>IF(U369&gt;0,Ruimtestaat[[#This Row],[Prest. (m2 /jaar) werkdagen]]/Ruimtestaat[[#This Row],[Norm (m2/uur) werkdagen]],0)</f>
        <v>123.76</v>
      </c>
      <c r="X369" s="258">
        <f>Ruimtestaat[[#This Row],[uren / jaar werkdagen]]*Tariefsopbouw!$D$38</f>
        <v>3094</v>
      </c>
      <c r="Y369" s="33"/>
      <c r="Z369" s="33">
        <f>IF(Ruimtestaat[[#This Row],[Frequentie weekend]]&gt;0,VALUE(LEFT(Y369,1))*R369,0)</f>
        <v>0</v>
      </c>
      <c r="AA369" s="33">
        <f>IF($Z369&gt;0,VLOOKUP($J369,Ruimtegroepen[],3,FALSE)*VLOOKUP($L369,Vloersoorten[],3,FALSE)*VLOOKUP($Y369,Frequenties[],3,FALSE)*VLOOKUP(#REF!,Locaties[],3,FALSE),0)</f>
        <v>0</v>
      </c>
      <c r="AB369" s="33"/>
      <c r="AC369" s="33"/>
      <c r="AD369" s="33">
        <f>Ruimtestaat[[#This Row],[uren / jaar weekend]]*Tariefsopbouw!$D$40</f>
        <v>0</v>
      </c>
      <c r="AE369" s="88">
        <f>Ruimtestaat[[#This Row],[Prest. (m2 /jaar) weekend]]+Ruimtestaat[[#This Row],[Prest. (m2 /jaar) werkdagen]]</f>
        <v>12376</v>
      </c>
      <c r="AF369" s="88">
        <f>Ruimtestaat[[#This Row],[uren / jaar weekend]]+Ruimtestaat[[#This Row],[uren / jaar werkdagen]]</f>
        <v>123.76</v>
      </c>
      <c r="AG369" s="89">
        <f>Ruimtestaat[[#This Row],[kosten / jaar weekend]]+Ruimtestaat[[#This Row],[kosten / jaar werkdagen]]</f>
        <v>3094</v>
      </c>
    </row>
    <row r="370" spans="1:33" ht="15" customHeight="1">
      <c r="A370" s="195">
        <v>4</v>
      </c>
      <c r="B370" s="195" t="str">
        <f>VLOOKUP(Ruimtestaat[[#This Row],[Code]],Locaties[#All],2,FALSE)</f>
        <v>Lichtenvoorde gebouw 3</v>
      </c>
      <c r="C370" s="241" t="str">
        <f>VLOOKUP(Ruimtestaat[[#This Row],[Code]],Locaties[#All],4,FALSE)</f>
        <v>Dr Ariensstraat 3</v>
      </c>
      <c r="D370" s="241" t="str">
        <f>VLOOKUP(Ruimtestaat[[#This Row],[Code]],Locaties[#All],5,FALSE)</f>
        <v>7131 XM </v>
      </c>
      <c r="E370" s="241" t="str">
        <f>VLOOKUP(Ruimtestaat[[#This Row],[Code]],Locaties[#All],6,FALSE)</f>
        <v>Lichtenvoorde</v>
      </c>
      <c r="F370" s="195" t="s">
        <v>780</v>
      </c>
      <c r="G370" s="195" t="s">
        <v>776</v>
      </c>
      <c r="H370" s="195">
        <v>316</v>
      </c>
      <c r="I370" s="242" t="s">
        <v>22</v>
      </c>
      <c r="J370" s="195">
        <v>5</v>
      </c>
      <c r="K370" s="260" t="str">
        <f>VLOOKUP(Ruimtestaat[[#This Row],[Ruimte code]],Ruimtegroepen[#All],2,FALSE)</f>
        <v>Sanitair</v>
      </c>
      <c r="L370" s="195" t="s">
        <v>111</v>
      </c>
      <c r="M370" s="195" t="s">
        <v>693</v>
      </c>
      <c r="N370" s="197">
        <v>7.58</v>
      </c>
      <c r="O370" s="209"/>
      <c r="P370" s="241" t="str">
        <f>VLOOKUP(Ruimtestaat[[#This Row],[Ruimte code]],Ruimtegroepen[#All],4,FALSE)</f>
        <v>S  (Sanitair)</v>
      </c>
      <c r="Q370" s="210"/>
      <c r="R370" s="211">
        <v>40</v>
      </c>
      <c r="S370" s="211" t="s">
        <v>2</v>
      </c>
      <c r="T370" s="211">
        <f>IF(R370&gt;0,IF(RIGHT(Ruimtestaat[[#This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70" s="211">
        <f>IF(T370&gt;0,VLOOKUP($J370,Ruimtegroepen[],3,FALSE)*VLOOKUP($L370,Vloersoorten[],3,FALSE)*VLOOKUP($S370,Frequenties[],3,FALSE)*VLOOKUP($A370,Locaties[],3,FALSE),0)</f>
        <v>100</v>
      </c>
      <c r="V370" s="211">
        <f>Ruimtestaat[[#This Row],[Uitvoeringen werkdagen]]*Ruimtestaat[[#This Row],[Oppervlak (netto)]]</f>
        <v>1516</v>
      </c>
      <c r="W370" s="257">
        <f>IF(U370&gt;0,Ruimtestaat[[#This Row],[Prest. (m2 /jaar) werkdagen]]/Ruimtestaat[[#This Row],[Norm (m2/uur) werkdagen]],0)</f>
        <v>15.16</v>
      </c>
      <c r="X370" s="258">
        <f>Ruimtestaat[[#This Row],[uren / jaar werkdagen]]*Tariefsopbouw!$D$38</f>
        <v>379</v>
      </c>
      <c r="Y370" s="33"/>
      <c r="Z370" s="33">
        <f>IF(Ruimtestaat[[#This Row],[Frequentie weekend]]&gt;0,VALUE(LEFT(Y370,1))*R370,0)</f>
        <v>0</v>
      </c>
      <c r="AA370" s="33">
        <f>IF($Z370&gt;0,VLOOKUP($J370,Ruimtegroepen[],3,FALSE)*VLOOKUP($L370,Vloersoorten[],3,FALSE)*VLOOKUP($Y370,Frequenties[],3,FALSE)*VLOOKUP(#REF!,Locaties[],3,FALSE),0)</f>
        <v>0</v>
      </c>
      <c r="AB370" s="33"/>
      <c r="AC370" s="33"/>
      <c r="AD370" s="33">
        <f>Ruimtestaat[[#This Row],[uren / jaar weekend]]*Tariefsopbouw!$D$40</f>
        <v>0</v>
      </c>
      <c r="AE370" s="88">
        <f>Ruimtestaat[[#This Row],[Prest. (m2 /jaar) weekend]]+Ruimtestaat[[#This Row],[Prest. (m2 /jaar) werkdagen]]</f>
        <v>1516</v>
      </c>
      <c r="AF370" s="88">
        <f>Ruimtestaat[[#This Row],[uren / jaar weekend]]+Ruimtestaat[[#This Row],[uren / jaar werkdagen]]</f>
        <v>15.16</v>
      </c>
      <c r="AG370" s="89">
        <f>Ruimtestaat[[#This Row],[kosten / jaar weekend]]+Ruimtestaat[[#This Row],[kosten / jaar werkdagen]]</f>
        <v>379</v>
      </c>
    </row>
    <row r="371" spans="1:33" ht="15" customHeight="1">
      <c r="A371" s="195">
        <v>4</v>
      </c>
      <c r="B371" s="195" t="str">
        <f>VLOOKUP(Ruimtestaat[[#This Row],[Code]],Locaties[#All],2,FALSE)</f>
        <v>Lichtenvoorde gebouw 3</v>
      </c>
      <c r="C371" s="241" t="str">
        <f>VLOOKUP(Ruimtestaat[[#This Row],[Code]],Locaties[#All],4,FALSE)</f>
        <v>Dr Ariensstraat 3</v>
      </c>
      <c r="D371" s="241" t="str">
        <f>VLOOKUP(Ruimtestaat[[#This Row],[Code]],Locaties[#All],5,FALSE)</f>
        <v>7131 XM </v>
      </c>
      <c r="E371" s="241" t="str">
        <f>VLOOKUP(Ruimtestaat[[#This Row],[Code]],Locaties[#All],6,FALSE)</f>
        <v>Lichtenvoorde</v>
      </c>
      <c r="F371" s="195" t="s">
        <v>780</v>
      </c>
      <c r="G371" s="195" t="s">
        <v>776</v>
      </c>
      <c r="H371" s="195">
        <v>317</v>
      </c>
      <c r="I371" s="242" t="s">
        <v>449</v>
      </c>
      <c r="J371" s="195">
        <v>2</v>
      </c>
      <c r="K371" s="260" t="str">
        <f>VLOOKUP(Ruimtestaat[[#This Row],[Ruimte code]],Ruimtegroepen[#All],2,FALSE)</f>
        <v>Kantoren</v>
      </c>
      <c r="L371" s="211" t="s">
        <v>109</v>
      </c>
      <c r="M371" s="195" t="s">
        <v>38</v>
      </c>
      <c r="N371" s="197">
        <v>23.2</v>
      </c>
      <c r="O371" s="209"/>
      <c r="P371" s="241" t="str">
        <f>VLOOKUP(Ruimtestaat[[#This Row],[Ruimte code]],Ruimtegroepen[#All],4,FALSE)</f>
        <v>B  (Bureauruimte)</v>
      </c>
      <c r="Q371" s="210"/>
      <c r="R371" s="211">
        <v>40</v>
      </c>
      <c r="S371" s="211" t="s">
        <v>18</v>
      </c>
      <c r="T371" s="211">
        <f>IF(R371&gt;0,IF(RIGHT(Ruimtestaat[[#This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U371" s="211">
        <f>IF(T371&gt;0,VLOOKUP($J371,Ruimtegroepen[],3,FALSE)*VLOOKUP($L371,Vloersoorten[],3,FALSE)*VLOOKUP($S371,Frequenties[],3,FALSE)*VLOOKUP($A371,Locaties[],3,FALSE),0)</f>
        <v>100</v>
      </c>
      <c r="V371" s="211">
        <f>Ruimtestaat[[#This Row],[Uitvoeringen werkdagen]]*Ruimtestaat[[#This Row],[Oppervlak (netto)]]</f>
        <v>2784</v>
      </c>
      <c r="W371" s="257">
        <f>IF(U371&gt;0,Ruimtestaat[[#This Row],[Prest. (m2 /jaar) werkdagen]]/Ruimtestaat[[#This Row],[Norm (m2/uur) werkdagen]],0)</f>
        <v>27.84</v>
      </c>
      <c r="X371" s="258">
        <f>Ruimtestaat[[#This Row],[uren / jaar werkdagen]]*Tariefsopbouw!$D$38</f>
        <v>696</v>
      </c>
      <c r="Y371" s="33"/>
      <c r="Z371" s="33">
        <f>IF(Ruimtestaat[[#This Row],[Frequentie weekend]]&gt;0,VALUE(LEFT(Y371,1))*R371,0)</f>
        <v>0</v>
      </c>
      <c r="AA371" s="33">
        <f>IF($Z371&gt;0,VLOOKUP($J371,Ruimtegroepen[],3,FALSE)*VLOOKUP($L371,Vloersoorten[],3,FALSE)*VLOOKUP($Y371,Frequenties[],3,FALSE)*VLOOKUP(#REF!,Locaties[],3,FALSE),0)</f>
        <v>0</v>
      </c>
      <c r="AB371" s="33"/>
      <c r="AC371" s="33"/>
      <c r="AD371" s="33">
        <f>Ruimtestaat[[#This Row],[uren / jaar weekend]]*Tariefsopbouw!$D$40</f>
        <v>0</v>
      </c>
      <c r="AE371" s="88">
        <f>Ruimtestaat[[#This Row],[Prest. (m2 /jaar) weekend]]+Ruimtestaat[[#This Row],[Prest. (m2 /jaar) werkdagen]]</f>
        <v>2784</v>
      </c>
      <c r="AF371" s="88">
        <f>Ruimtestaat[[#This Row],[uren / jaar weekend]]+Ruimtestaat[[#This Row],[uren / jaar werkdagen]]</f>
        <v>27.84</v>
      </c>
      <c r="AG371" s="89">
        <f>Ruimtestaat[[#This Row],[kosten / jaar weekend]]+Ruimtestaat[[#This Row],[kosten / jaar werkdagen]]</f>
        <v>696</v>
      </c>
    </row>
    <row r="372" spans="1:33" ht="15" customHeight="1">
      <c r="A372" s="195">
        <v>4</v>
      </c>
      <c r="B372" s="195" t="str">
        <f>VLOOKUP(Ruimtestaat[[#This Row],[Code]],Locaties[#All],2,FALSE)</f>
        <v>Lichtenvoorde gebouw 3</v>
      </c>
      <c r="C372" s="241" t="str">
        <f>VLOOKUP(Ruimtestaat[[#This Row],[Code]],Locaties[#All],4,FALSE)</f>
        <v>Dr Ariensstraat 3</v>
      </c>
      <c r="D372" s="241" t="str">
        <f>VLOOKUP(Ruimtestaat[[#This Row],[Code]],Locaties[#All],5,FALSE)</f>
        <v>7131 XM </v>
      </c>
      <c r="E372" s="241" t="str">
        <f>VLOOKUP(Ruimtestaat[[#This Row],[Code]],Locaties[#All],6,FALSE)</f>
        <v>Lichtenvoorde</v>
      </c>
      <c r="F372" s="195" t="s">
        <v>780</v>
      </c>
      <c r="G372" s="195" t="s">
        <v>776</v>
      </c>
      <c r="H372" s="195">
        <v>318</v>
      </c>
      <c r="I372" s="242" t="s">
        <v>441</v>
      </c>
      <c r="J372" s="195">
        <v>1</v>
      </c>
      <c r="K372" s="260" t="str">
        <f>VLOOKUP(Ruimtestaat[[#This Row],[Ruimte code]],Ruimtegroepen[#All],2,FALSE)</f>
        <v>Magazijnen/bergingen</v>
      </c>
      <c r="L372" s="211" t="s">
        <v>111</v>
      </c>
      <c r="M372" s="195" t="s">
        <v>777</v>
      </c>
      <c r="N372" s="197">
        <v>8.19</v>
      </c>
      <c r="O372" s="209"/>
      <c r="P372" s="241" t="str">
        <f>VLOOKUP(Ruimtestaat[[#This Row],[Ruimte code]],Ruimtegroepen[#All],4,FALSE)</f>
        <v>V  (Verkeersruimte)</v>
      </c>
      <c r="Q372" s="210"/>
      <c r="R372" s="211">
        <v>40</v>
      </c>
      <c r="S372" s="211" t="s">
        <v>16</v>
      </c>
      <c r="T372" s="211">
        <f>IF(R372&gt;0,IF(RIGHT(Ruimtestaat[[#This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U372" s="211">
        <f>IF(T372&gt;0,VLOOKUP($J372,Ruimtegroepen[],3,FALSE)*VLOOKUP($L372,Vloersoorten[],3,FALSE)*VLOOKUP($S372,Frequenties[],3,FALSE)*VLOOKUP($A372,Locaties[],3,FALSE),0)</f>
        <v>100</v>
      </c>
      <c r="V372" s="211">
        <f>Ruimtestaat[[#This Row],[Uitvoeringen werkdagen]]*Ruimtestaat[[#This Row],[Oppervlak (netto)]]</f>
        <v>98.28</v>
      </c>
      <c r="W372" s="257">
        <f>IF(U372&gt;0,Ruimtestaat[[#This Row],[Prest. (m2 /jaar) werkdagen]]/Ruimtestaat[[#This Row],[Norm (m2/uur) werkdagen]],0)</f>
        <v>0.98280000000000001</v>
      </c>
      <c r="X372" s="258">
        <f>Ruimtestaat[[#This Row],[uren / jaar werkdagen]]*Tariefsopbouw!$D$38</f>
        <v>24.57</v>
      </c>
      <c r="Y372" s="33"/>
      <c r="Z372" s="33">
        <f>IF(Ruimtestaat[[#This Row],[Frequentie weekend]]&gt;0,VALUE(LEFT(Y372,1))*R372,0)</f>
        <v>0</v>
      </c>
      <c r="AA372" s="33">
        <f>IF($Z372&gt;0,VLOOKUP($J372,Ruimtegroepen[],3,FALSE)*VLOOKUP($L372,Vloersoorten[],3,FALSE)*VLOOKUP($Y372,Frequenties[],3,FALSE)*VLOOKUP(#REF!,Locaties[],3,FALSE),0)</f>
        <v>0</v>
      </c>
      <c r="AB372" s="33"/>
      <c r="AC372" s="33"/>
      <c r="AD372" s="33">
        <f>Ruimtestaat[[#This Row],[uren / jaar weekend]]*Tariefsopbouw!$D$40</f>
        <v>0</v>
      </c>
      <c r="AE372" s="88">
        <f>Ruimtestaat[[#This Row],[Prest. (m2 /jaar) weekend]]+Ruimtestaat[[#This Row],[Prest. (m2 /jaar) werkdagen]]</f>
        <v>98.28</v>
      </c>
      <c r="AF372" s="88">
        <f>Ruimtestaat[[#This Row],[uren / jaar weekend]]+Ruimtestaat[[#This Row],[uren / jaar werkdagen]]</f>
        <v>0.98280000000000001</v>
      </c>
      <c r="AG372" s="89">
        <f>Ruimtestaat[[#This Row],[kosten / jaar weekend]]+Ruimtestaat[[#This Row],[kosten / jaar werkdagen]]</f>
        <v>24.57</v>
      </c>
    </row>
    <row r="373" spans="1:33" ht="15" customHeight="1">
      <c r="A373" s="195">
        <v>4</v>
      </c>
      <c r="B373" s="195" t="str">
        <f>VLOOKUP(Ruimtestaat[[#This Row],[Code]],Locaties[#All],2,FALSE)</f>
        <v>Lichtenvoorde gebouw 3</v>
      </c>
      <c r="C373" s="241" t="str">
        <f>VLOOKUP(Ruimtestaat[[#This Row],[Code]],Locaties[#All],4,FALSE)</f>
        <v>Dr Ariensstraat 3</v>
      </c>
      <c r="D373" s="241" t="str">
        <f>VLOOKUP(Ruimtestaat[[#This Row],[Code]],Locaties[#All],5,FALSE)</f>
        <v>7131 XM </v>
      </c>
      <c r="E373" s="241" t="str">
        <f>VLOOKUP(Ruimtestaat[[#This Row],[Code]],Locaties[#All],6,FALSE)</f>
        <v>Lichtenvoorde</v>
      </c>
      <c r="F373" s="195" t="s">
        <v>780</v>
      </c>
      <c r="G373" s="195" t="s">
        <v>776</v>
      </c>
      <c r="H373" s="195">
        <v>319</v>
      </c>
      <c r="I373" s="242" t="s">
        <v>820</v>
      </c>
      <c r="J373" s="195">
        <v>2</v>
      </c>
      <c r="K373" s="260" t="str">
        <f>VLOOKUP(Ruimtestaat[[#This Row],[Ruimte code]],Ruimtegroepen[#All],2,FALSE)</f>
        <v>Kantoren</v>
      </c>
      <c r="L373" s="211" t="s">
        <v>111</v>
      </c>
      <c r="M373" s="195" t="s">
        <v>693</v>
      </c>
      <c r="N373" s="197">
        <v>16.739999999999998</v>
      </c>
      <c r="O373" s="209"/>
      <c r="P373" s="241" t="str">
        <f>VLOOKUP(Ruimtestaat[[#This Row],[Ruimte code]],Ruimtegroepen[#All],4,FALSE)</f>
        <v>B  (Bureauruimte)</v>
      </c>
      <c r="Q373" s="210"/>
      <c r="R373" s="211">
        <v>40</v>
      </c>
      <c r="S373" s="211" t="s">
        <v>16</v>
      </c>
      <c r="T373" s="211">
        <f>IF(R373&gt;0,IF(RIGHT(Ruimtestaat[[#This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U373" s="211">
        <f>IF(T373&gt;0,VLOOKUP($J373,Ruimtegroepen[],3,FALSE)*VLOOKUP($L373,Vloersoorten[],3,FALSE)*VLOOKUP($S373,Frequenties[],3,FALSE)*VLOOKUP($A373,Locaties[],3,FALSE),0)</f>
        <v>100</v>
      </c>
      <c r="V373" s="211">
        <f>Ruimtestaat[[#This Row],[Uitvoeringen werkdagen]]*Ruimtestaat[[#This Row],[Oppervlak (netto)]]</f>
        <v>200.88</v>
      </c>
      <c r="W373" s="257">
        <f>IF(U373&gt;0,Ruimtestaat[[#This Row],[Prest. (m2 /jaar) werkdagen]]/Ruimtestaat[[#This Row],[Norm (m2/uur) werkdagen]],0)</f>
        <v>2.0087999999999999</v>
      </c>
      <c r="X373" s="258">
        <f>Ruimtestaat[[#This Row],[uren / jaar werkdagen]]*Tariefsopbouw!$D$38</f>
        <v>50.22</v>
      </c>
      <c r="Y373" s="33"/>
      <c r="Z373" s="33">
        <f>IF(Ruimtestaat[[#This Row],[Frequentie weekend]]&gt;0,VALUE(LEFT(Y373,1))*R373,0)</f>
        <v>0</v>
      </c>
      <c r="AA373" s="33">
        <f>IF($Z373&gt;0,VLOOKUP($J373,Ruimtegroepen[],3,FALSE)*VLOOKUP($L373,Vloersoorten[],3,FALSE)*VLOOKUP($Y373,Frequenties[],3,FALSE)*VLOOKUP(#REF!,Locaties[],3,FALSE),0)</f>
        <v>0</v>
      </c>
      <c r="AB373" s="33"/>
      <c r="AC373" s="33"/>
      <c r="AD373" s="33">
        <f>Ruimtestaat[[#This Row],[uren / jaar weekend]]*Tariefsopbouw!$D$40</f>
        <v>0</v>
      </c>
      <c r="AE373" s="88">
        <f>Ruimtestaat[[#This Row],[Prest. (m2 /jaar) weekend]]+Ruimtestaat[[#This Row],[Prest. (m2 /jaar) werkdagen]]</f>
        <v>200.88</v>
      </c>
      <c r="AF373" s="88">
        <f>Ruimtestaat[[#This Row],[uren / jaar weekend]]+Ruimtestaat[[#This Row],[uren / jaar werkdagen]]</f>
        <v>2.0087999999999999</v>
      </c>
      <c r="AG373" s="89">
        <f>Ruimtestaat[[#This Row],[kosten / jaar weekend]]+Ruimtestaat[[#This Row],[kosten / jaar werkdagen]]</f>
        <v>50.22</v>
      </c>
    </row>
    <row r="374" spans="1:33" ht="15" customHeight="1">
      <c r="A374" s="195">
        <v>4</v>
      </c>
      <c r="B374" s="195" t="str">
        <f>VLOOKUP(Ruimtestaat[[#This Row],[Code]],Locaties[#All],2,FALSE)</f>
        <v>Lichtenvoorde gebouw 3</v>
      </c>
      <c r="C374" s="241" t="str">
        <f>VLOOKUP(Ruimtestaat[[#This Row],[Code]],Locaties[#All],4,FALSE)</f>
        <v>Dr Ariensstraat 3</v>
      </c>
      <c r="D374" s="241" t="str">
        <f>VLOOKUP(Ruimtestaat[[#This Row],[Code]],Locaties[#All],5,FALSE)</f>
        <v>7131 XM </v>
      </c>
      <c r="E374" s="241" t="str">
        <f>VLOOKUP(Ruimtestaat[[#This Row],[Code]],Locaties[#All],6,FALSE)</f>
        <v>Lichtenvoorde</v>
      </c>
      <c r="F374" s="195" t="s">
        <v>780</v>
      </c>
      <c r="G374" s="195" t="s">
        <v>776</v>
      </c>
      <c r="H374" s="195">
        <v>350</v>
      </c>
      <c r="I374" s="242" t="s">
        <v>765</v>
      </c>
      <c r="J374" s="195">
        <v>11</v>
      </c>
      <c r="K374" s="260" t="str">
        <f>VLOOKUP(Ruimtestaat[[#This Row],[Ruimte code]],Ruimtegroepen[#All],2,FALSE)</f>
        <v>Praktijklokaal</v>
      </c>
      <c r="L374" s="211" t="s">
        <v>110</v>
      </c>
      <c r="M374" s="195" t="s">
        <v>133</v>
      </c>
      <c r="N374" s="197">
        <v>186.29</v>
      </c>
      <c r="O374" s="209"/>
      <c r="P374" s="241" t="str">
        <f>VLOOKUP(Ruimtestaat[[#This Row],[Ruimte code]],Ruimtegroepen[#All],4,FALSE)</f>
        <v>L  (Lesruimte)</v>
      </c>
      <c r="Q374" s="210"/>
      <c r="R374" s="211">
        <v>40</v>
      </c>
      <c r="S374" s="211" t="s">
        <v>2</v>
      </c>
      <c r="T374" s="211">
        <f>IF(R374&gt;0,IF(RIGHT(Ruimtestaat[[#This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74" s="211">
        <f>IF(T374&gt;0,VLOOKUP($J374,Ruimtegroepen[],3,FALSE)*VLOOKUP($L374,Vloersoorten[],3,FALSE)*VLOOKUP($S374,Frequenties[],3,FALSE)*VLOOKUP($A374,Locaties[],3,FALSE),0)</f>
        <v>100</v>
      </c>
      <c r="V374" s="211">
        <f>Ruimtestaat[[#This Row],[Uitvoeringen werkdagen]]*Ruimtestaat[[#This Row],[Oppervlak (netto)]]</f>
        <v>37258</v>
      </c>
      <c r="W374" s="257">
        <f>IF(U374&gt;0,Ruimtestaat[[#This Row],[Prest. (m2 /jaar) werkdagen]]/Ruimtestaat[[#This Row],[Norm (m2/uur) werkdagen]],0)</f>
        <v>372.58</v>
      </c>
      <c r="X374" s="258">
        <f>Ruimtestaat[[#This Row],[uren / jaar werkdagen]]*Tariefsopbouw!$D$38</f>
        <v>9314.5</v>
      </c>
      <c r="Y374" s="33"/>
      <c r="Z374" s="33">
        <f>IF(Ruimtestaat[[#This Row],[Frequentie weekend]]&gt;0,VALUE(LEFT(Y374,1))*R374,0)</f>
        <v>0</v>
      </c>
      <c r="AA374" s="33">
        <f>IF($Z374&gt;0,VLOOKUP($J374,Ruimtegroepen[],3,FALSE)*VLOOKUP($L374,Vloersoorten[],3,FALSE)*VLOOKUP($Y374,Frequenties[],3,FALSE)*VLOOKUP(#REF!,Locaties[],3,FALSE),0)</f>
        <v>0</v>
      </c>
      <c r="AB374" s="33"/>
      <c r="AC374" s="33"/>
      <c r="AD374" s="33">
        <f>Ruimtestaat[[#This Row],[uren / jaar weekend]]*Tariefsopbouw!$D$40</f>
        <v>0</v>
      </c>
      <c r="AE374" s="88">
        <f>Ruimtestaat[[#This Row],[Prest. (m2 /jaar) weekend]]+Ruimtestaat[[#This Row],[Prest. (m2 /jaar) werkdagen]]</f>
        <v>37258</v>
      </c>
      <c r="AF374" s="88">
        <f>Ruimtestaat[[#This Row],[uren / jaar weekend]]+Ruimtestaat[[#This Row],[uren / jaar werkdagen]]</f>
        <v>372.58</v>
      </c>
      <c r="AG374" s="89">
        <f>Ruimtestaat[[#This Row],[kosten / jaar weekend]]+Ruimtestaat[[#This Row],[kosten / jaar werkdagen]]</f>
        <v>9314.5</v>
      </c>
    </row>
    <row r="375" spans="1:33" ht="15" customHeight="1">
      <c r="A375" s="195">
        <v>4</v>
      </c>
      <c r="B375" s="195" t="str">
        <f>VLOOKUP(Ruimtestaat[[#This Row],[Code]],Locaties[#All],2,FALSE)</f>
        <v>Lichtenvoorde gebouw 3</v>
      </c>
      <c r="C375" s="241" t="str">
        <f>VLOOKUP(Ruimtestaat[[#This Row],[Code]],Locaties[#All],4,FALSE)</f>
        <v>Dr Ariensstraat 3</v>
      </c>
      <c r="D375" s="241" t="str">
        <f>VLOOKUP(Ruimtestaat[[#This Row],[Code]],Locaties[#All],5,FALSE)</f>
        <v>7131 XM </v>
      </c>
      <c r="E375" s="241" t="str">
        <f>VLOOKUP(Ruimtestaat[[#This Row],[Code]],Locaties[#All],6,FALSE)</f>
        <v>Lichtenvoorde</v>
      </c>
      <c r="F375" s="195" t="s">
        <v>780</v>
      </c>
      <c r="G375" s="195" t="s">
        <v>776</v>
      </c>
      <c r="H375" s="195">
        <v>357</v>
      </c>
      <c r="I375" s="242" t="s">
        <v>448</v>
      </c>
      <c r="J375" s="195">
        <v>12</v>
      </c>
      <c r="K375" s="260" t="str">
        <f>VLOOKUP(Ruimtestaat[[#This Row],[Ruimte code]],Ruimtegroepen[#All],2,FALSE)</f>
        <v>Groepruimte / kantine</v>
      </c>
      <c r="L375" s="211" t="s">
        <v>112</v>
      </c>
      <c r="M375" s="195" t="s">
        <v>130</v>
      </c>
      <c r="N375" s="197">
        <v>97.17</v>
      </c>
      <c r="O375" s="209"/>
      <c r="P375" s="241" t="str">
        <f>VLOOKUP(Ruimtestaat[[#This Row],[Ruimte code]],Ruimtegroepen[#All],4,FALSE)</f>
        <v>V  (Verkeersruimte)</v>
      </c>
      <c r="Q375" s="210"/>
      <c r="R375" s="211">
        <v>40</v>
      </c>
      <c r="S375" s="211" t="s">
        <v>2</v>
      </c>
      <c r="T375" s="211">
        <f>IF(R375&gt;0,IF(RIGHT(Ruimtestaat[[#This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75" s="211">
        <f>IF(T375&gt;0,VLOOKUP($J375,Ruimtegroepen[],3,FALSE)*VLOOKUP($L375,Vloersoorten[],3,FALSE)*VLOOKUP($S375,Frequenties[],3,FALSE)*VLOOKUP($A375,Locaties[],3,FALSE),0)</f>
        <v>100</v>
      </c>
      <c r="V375" s="211">
        <f>Ruimtestaat[[#This Row],[Uitvoeringen werkdagen]]*Ruimtestaat[[#This Row],[Oppervlak (netto)]]</f>
        <v>19434</v>
      </c>
      <c r="W375" s="257">
        <f>IF(U375&gt;0,Ruimtestaat[[#This Row],[Prest. (m2 /jaar) werkdagen]]/Ruimtestaat[[#This Row],[Norm (m2/uur) werkdagen]],0)</f>
        <v>194.34</v>
      </c>
      <c r="X375" s="258">
        <f>Ruimtestaat[[#This Row],[uren / jaar werkdagen]]*Tariefsopbouw!$D$38</f>
        <v>4858.5</v>
      </c>
      <c r="Y375" s="33"/>
      <c r="Z375" s="33">
        <f>IF(Ruimtestaat[[#This Row],[Frequentie weekend]]&gt;0,VALUE(LEFT(Y375,1))*R375,0)</f>
        <v>0</v>
      </c>
      <c r="AA375" s="33">
        <f>IF($Z375&gt;0,VLOOKUP($J375,Ruimtegroepen[],3,FALSE)*VLOOKUP($L375,Vloersoorten[],3,FALSE)*VLOOKUP($Y375,Frequenties[],3,FALSE)*VLOOKUP(#REF!,Locaties[],3,FALSE),0)</f>
        <v>0</v>
      </c>
      <c r="AB375" s="33"/>
      <c r="AC375" s="33"/>
      <c r="AD375" s="33">
        <f>Ruimtestaat[[#This Row],[uren / jaar weekend]]*Tariefsopbouw!$D$40</f>
        <v>0</v>
      </c>
      <c r="AE375" s="88">
        <f>Ruimtestaat[[#This Row],[Prest. (m2 /jaar) weekend]]+Ruimtestaat[[#This Row],[Prest. (m2 /jaar) werkdagen]]</f>
        <v>19434</v>
      </c>
      <c r="AF375" s="88">
        <f>Ruimtestaat[[#This Row],[uren / jaar weekend]]+Ruimtestaat[[#This Row],[uren / jaar werkdagen]]</f>
        <v>194.34</v>
      </c>
      <c r="AG375" s="89">
        <f>Ruimtestaat[[#This Row],[kosten / jaar weekend]]+Ruimtestaat[[#This Row],[kosten / jaar werkdagen]]</f>
        <v>4858.5</v>
      </c>
    </row>
    <row r="376" spans="1:33" ht="15" customHeight="1">
      <c r="A376" s="195">
        <v>4</v>
      </c>
      <c r="B376" s="195" t="str">
        <f>VLOOKUP(Ruimtestaat[[#This Row],[Code]],Locaties[#All],2,FALSE)</f>
        <v>Lichtenvoorde gebouw 3</v>
      </c>
      <c r="C376" s="241" t="str">
        <f>VLOOKUP(Ruimtestaat[[#This Row],[Code]],Locaties[#All],4,FALSE)</f>
        <v>Dr Ariensstraat 3</v>
      </c>
      <c r="D376" s="241" t="str">
        <f>VLOOKUP(Ruimtestaat[[#This Row],[Code]],Locaties[#All],5,FALSE)</f>
        <v>7131 XM </v>
      </c>
      <c r="E376" s="241" t="str">
        <f>VLOOKUP(Ruimtestaat[[#This Row],[Code]],Locaties[#All],6,FALSE)</f>
        <v>Lichtenvoorde</v>
      </c>
      <c r="F376" s="195" t="s">
        <v>780</v>
      </c>
      <c r="G376" s="195" t="s">
        <v>776</v>
      </c>
      <c r="H376" s="195">
        <v>358</v>
      </c>
      <c r="I376" s="242" t="s">
        <v>820</v>
      </c>
      <c r="J376" s="241">
        <v>2</v>
      </c>
      <c r="K376" s="260" t="str">
        <f>VLOOKUP(Ruimtestaat[[#This Row],[Ruimte code]],Ruimtegroepen[#All],2,FALSE)</f>
        <v>Kantoren</v>
      </c>
      <c r="L376" s="211" t="s">
        <v>112</v>
      </c>
      <c r="M376" s="195" t="s">
        <v>130</v>
      </c>
      <c r="N376" s="197">
        <v>15.78</v>
      </c>
      <c r="O376" s="209"/>
      <c r="P376" s="241" t="str">
        <f>VLOOKUP(Ruimtestaat[[#This Row],[Ruimte code]],Ruimtegroepen[#All],4,FALSE)</f>
        <v>B  (Bureauruimte)</v>
      </c>
      <c r="Q376" s="210"/>
      <c r="R376" s="211">
        <v>40</v>
      </c>
      <c r="S376" s="211" t="s">
        <v>2</v>
      </c>
      <c r="T376" s="211">
        <f>IF(R376&gt;0,IF(RIGHT(Ruimtestaat[[#This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76" s="211">
        <f>IF(T376&gt;0,VLOOKUP($J376,Ruimtegroepen[],3,FALSE)*VLOOKUP($L376,Vloersoorten[],3,FALSE)*VLOOKUP($S376,Frequenties[],3,FALSE)*VLOOKUP($A376,Locaties[],3,FALSE),0)</f>
        <v>100</v>
      </c>
      <c r="V376" s="211">
        <f>Ruimtestaat[[#This Row],[Uitvoeringen werkdagen]]*Ruimtestaat[[#This Row],[Oppervlak (netto)]]</f>
        <v>3156</v>
      </c>
      <c r="W376" s="257">
        <f>IF(U376&gt;0,Ruimtestaat[[#This Row],[Prest. (m2 /jaar) werkdagen]]/Ruimtestaat[[#This Row],[Norm (m2/uur) werkdagen]],0)</f>
        <v>31.56</v>
      </c>
      <c r="X376" s="258">
        <f>Ruimtestaat[[#This Row],[uren / jaar werkdagen]]*Tariefsopbouw!$D$38</f>
        <v>789</v>
      </c>
      <c r="Y376" s="33"/>
      <c r="Z376" s="33">
        <f>IF(Ruimtestaat[[#This Row],[Frequentie weekend]]&gt;0,VALUE(LEFT(Y376,1))*R376,0)</f>
        <v>0</v>
      </c>
      <c r="AA376" s="33">
        <f>IF($Z376&gt;0,VLOOKUP($J376,Ruimtegroepen[],3,FALSE)*VLOOKUP($L376,Vloersoorten[],3,FALSE)*VLOOKUP($Y376,Frequenties[],3,FALSE)*VLOOKUP(#REF!,Locaties[],3,FALSE),0)</f>
        <v>0</v>
      </c>
      <c r="AB376" s="33"/>
      <c r="AC376" s="33"/>
      <c r="AD376" s="33">
        <f>Ruimtestaat[[#This Row],[uren / jaar weekend]]*Tariefsopbouw!$D$40</f>
        <v>0</v>
      </c>
      <c r="AE376" s="88">
        <f>Ruimtestaat[[#This Row],[Prest. (m2 /jaar) weekend]]+Ruimtestaat[[#This Row],[Prest. (m2 /jaar) werkdagen]]</f>
        <v>3156</v>
      </c>
      <c r="AF376" s="88">
        <f>Ruimtestaat[[#This Row],[uren / jaar weekend]]+Ruimtestaat[[#This Row],[uren / jaar werkdagen]]</f>
        <v>31.56</v>
      </c>
      <c r="AG376" s="89">
        <f>Ruimtestaat[[#This Row],[kosten / jaar weekend]]+Ruimtestaat[[#This Row],[kosten / jaar werkdagen]]</f>
        <v>789</v>
      </c>
    </row>
    <row r="377" spans="1:33" ht="15" customHeight="1">
      <c r="A377" s="195">
        <v>4</v>
      </c>
      <c r="B377" s="195" t="str">
        <f>VLOOKUP(Ruimtestaat[[#This Row],[Code]],Locaties[#All],2,FALSE)</f>
        <v>Lichtenvoorde gebouw 3</v>
      </c>
      <c r="C377" s="241" t="str">
        <f>VLOOKUP(Ruimtestaat[[#This Row],[Code]],Locaties[#All],4,FALSE)</f>
        <v>Dr Ariensstraat 3</v>
      </c>
      <c r="D377" s="241" t="str">
        <f>VLOOKUP(Ruimtestaat[[#This Row],[Code]],Locaties[#All],5,FALSE)</f>
        <v>7131 XM </v>
      </c>
      <c r="E377" s="241" t="str">
        <f>VLOOKUP(Ruimtestaat[[#This Row],[Code]],Locaties[#All],6,FALSE)</f>
        <v>Lichtenvoorde</v>
      </c>
      <c r="F377" s="195" t="s">
        <v>780</v>
      </c>
      <c r="G377" s="195">
        <v>1</v>
      </c>
      <c r="H377" s="195">
        <v>401</v>
      </c>
      <c r="I377" s="242" t="s">
        <v>382</v>
      </c>
      <c r="J377" s="195">
        <v>6</v>
      </c>
      <c r="K377" s="260" t="str">
        <f>VLOOKUP(Ruimtestaat[[#This Row],[Ruimte code]],Ruimtegroepen[#All],2,FALSE)</f>
        <v>Gangen/hallen</v>
      </c>
      <c r="L377" s="211" t="s">
        <v>111</v>
      </c>
      <c r="M377" s="195" t="s">
        <v>693</v>
      </c>
      <c r="N377" s="197">
        <v>45.9</v>
      </c>
      <c r="O377" s="209"/>
      <c r="P377" s="241" t="str">
        <f>VLOOKUP(Ruimtestaat[[#This Row],[Ruimte code]],Ruimtegroepen[#All],4,FALSE)</f>
        <v>V  (Verkeersruimte)</v>
      </c>
      <c r="Q377" s="210"/>
      <c r="R377" s="211">
        <v>40</v>
      </c>
      <c r="S377" s="211" t="s">
        <v>2</v>
      </c>
      <c r="T377" s="211">
        <f>IF(R377&gt;0,IF(RIGHT(Ruimtestaat[[#This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77" s="211">
        <f>IF(T377&gt;0,VLOOKUP($J377,Ruimtegroepen[],3,FALSE)*VLOOKUP($L377,Vloersoorten[],3,FALSE)*VLOOKUP($S377,Frequenties[],3,FALSE)*VLOOKUP($A377,Locaties[],3,FALSE),0)</f>
        <v>100</v>
      </c>
      <c r="V377" s="211">
        <f>Ruimtestaat[[#This Row],[Uitvoeringen werkdagen]]*Ruimtestaat[[#This Row],[Oppervlak (netto)]]</f>
        <v>9180</v>
      </c>
      <c r="W377" s="257">
        <f>IF(U377&gt;0,Ruimtestaat[[#This Row],[Prest. (m2 /jaar) werkdagen]]/Ruimtestaat[[#This Row],[Norm (m2/uur) werkdagen]],0)</f>
        <v>91.8</v>
      </c>
      <c r="X377" s="258">
        <f>Ruimtestaat[[#This Row],[uren / jaar werkdagen]]*Tariefsopbouw!$D$38</f>
        <v>2295</v>
      </c>
      <c r="Y377" s="33"/>
      <c r="Z377" s="33">
        <f>IF(Ruimtestaat[[#This Row],[Frequentie weekend]]&gt;0,VALUE(LEFT(Y377,1))*R377,0)</f>
        <v>0</v>
      </c>
      <c r="AA377" s="33">
        <f>IF($Z377&gt;0,VLOOKUP($J377,Ruimtegroepen[],3,FALSE)*VLOOKUP($L377,Vloersoorten[],3,FALSE)*VLOOKUP($Y377,Frequenties[],3,FALSE)*VLOOKUP(#REF!,Locaties[],3,FALSE),0)</f>
        <v>0</v>
      </c>
      <c r="AB377" s="33"/>
      <c r="AC377" s="33"/>
      <c r="AD377" s="33">
        <f>Ruimtestaat[[#This Row],[uren / jaar weekend]]*Tariefsopbouw!$D$40</f>
        <v>0</v>
      </c>
      <c r="AE377" s="88">
        <f>Ruimtestaat[[#This Row],[Prest. (m2 /jaar) weekend]]+Ruimtestaat[[#This Row],[Prest. (m2 /jaar) werkdagen]]</f>
        <v>9180</v>
      </c>
      <c r="AF377" s="88">
        <f>Ruimtestaat[[#This Row],[uren / jaar weekend]]+Ruimtestaat[[#This Row],[uren / jaar werkdagen]]</f>
        <v>91.8</v>
      </c>
      <c r="AG377" s="89">
        <f>Ruimtestaat[[#This Row],[kosten / jaar weekend]]+Ruimtestaat[[#This Row],[kosten / jaar werkdagen]]</f>
        <v>2295</v>
      </c>
    </row>
    <row r="378" spans="1:33" ht="15" customHeight="1">
      <c r="A378" s="195">
        <v>4</v>
      </c>
      <c r="B378" s="195" t="str">
        <f>VLOOKUP(Ruimtestaat[[#This Row],[Code]],Locaties[#All],2,FALSE)</f>
        <v>Lichtenvoorde gebouw 3</v>
      </c>
      <c r="C378" s="241" t="str">
        <f>VLOOKUP(Ruimtestaat[[#This Row],[Code]],Locaties[#All],4,FALSE)</f>
        <v>Dr Ariensstraat 3</v>
      </c>
      <c r="D378" s="241" t="str">
        <f>VLOOKUP(Ruimtestaat[[#This Row],[Code]],Locaties[#All],5,FALSE)</f>
        <v>7131 XM </v>
      </c>
      <c r="E378" s="241" t="str">
        <f>VLOOKUP(Ruimtestaat[[#This Row],[Code]],Locaties[#All],6,FALSE)</f>
        <v>Lichtenvoorde</v>
      </c>
      <c r="F378" s="195" t="s">
        <v>780</v>
      </c>
      <c r="G378" s="195">
        <v>1</v>
      </c>
      <c r="H378" s="195">
        <v>402</v>
      </c>
      <c r="I378" s="242" t="s">
        <v>382</v>
      </c>
      <c r="J378" s="195">
        <v>9</v>
      </c>
      <c r="K378" s="260" t="str">
        <f>VLOOKUP(Ruimtestaat[[#This Row],[Ruimte code]],Ruimtegroepen[#All],2,FALSE)</f>
        <v>Garderobe</v>
      </c>
      <c r="L378" s="211" t="s">
        <v>112</v>
      </c>
      <c r="M378" s="195" t="s">
        <v>130</v>
      </c>
      <c r="N378" s="197">
        <v>26.63</v>
      </c>
      <c r="O378" s="209"/>
      <c r="P378" s="241" t="str">
        <f>VLOOKUP(Ruimtestaat[[#This Row],[Ruimte code]],Ruimtegroepen[#All],4,FALSE)</f>
        <v>V  (Verkeersruimte)</v>
      </c>
      <c r="Q378" s="210"/>
      <c r="R378" s="211">
        <v>40</v>
      </c>
      <c r="S378" s="211" t="s">
        <v>2</v>
      </c>
      <c r="T378" s="211">
        <f>IF(R378&gt;0,IF(RIGHT(Ruimtestaat[[#This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78" s="211">
        <f>IF(T378&gt;0,VLOOKUP($J378,Ruimtegroepen[],3,FALSE)*VLOOKUP($L378,Vloersoorten[],3,FALSE)*VLOOKUP($S378,Frequenties[],3,FALSE)*VLOOKUP($A378,Locaties[],3,FALSE),0)</f>
        <v>100</v>
      </c>
      <c r="V378" s="211">
        <f>Ruimtestaat[[#This Row],[Uitvoeringen werkdagen]]*Ruimtestaat[[#This Row],[Oppervlak (netto)]]</f>
        <v>5326</v>
      </c>
      <c r="W378" s="257">
        <f>IF(U378&gt;0,Ruimtestaat[[#This Row],[Prest. (m2 /jaar) werkdagen]]/Ruimtestaat[[#This Row],[Norm (m2/uur) werkdagen]],0)</f>
        <v>53.26</v>
      </c>
      <c r="X378" s="258">
        <f>Ruimtestaat[[#This Row],[uren / jaar werkdagen]]*Tariefsopbouw!$D$38</f>
        <v>1331.5</v>
      </c>
      <c r="Y378" s="33"/>
      <c r="Z378" s="33">
        <f>IF(Ruimtestaat[[#This Row],[Frequentie weekend]]&gt;0,VALUE(LEFT(Y378,1))*R378,0)</f>
        <v>0</v>
      </c>
      <c r="AA378" s="33">
        <f>IF($Z378&gt;0,VLOOKUP($J378,Ruimtegroepen[],3,FALSE)*VLOOKUP($L378,Vloersoorten[],3,FALSE)*VLOOKUP($Y378,Frequenties[],3,FALSE)*VLOOKUP(#REF!,Locaties[],3,FALSE),0)</f>
        <v>0</v>
      </c>
      <c r="AB378" s="33"/>
      <c r="AC378" s="33"/>
      <c r="AD378" s="33">
        <f>Ruimtestaat[[#This Row],[uren / jaar weekend]]*Tariefsopbouw!$D$40</f>
        <v>0</v>
      </c>
      <c r="AE378" s="88">
        <f>Ruimtestaat[[#This Row],[Prest. (m2 /jaar) weekend]]+Ruimtestaat[[#This Row],[Prest. (m2 /jaar) werkdagen]]</f>
        <v>5326</v>
      </c>
      <c r="AF378" s="88">
        <f>Ruimtestaat[[#This Row],[uren / jaar weekend]]+Ruimtestaat[[#This Row],[uren / jaar werkdagen]]</f>
        <v>53.26</v>
      </c>
      <c r="AG378" s="89">
        <f>Ruimtestaat[[#This Row],[kosten / jaar weekend]]+Ruimtestaat[[#This Row],[kosten / jaar werkdagen]]</f>
        <v>1331.5</v>
      </c>
    </row>
    <row r="379" spans="1:33" ht="15" customHeight="1">
      <c r="A379" s="195">
        <v>4</v>
      </c>
      <c r="B379" s="195" t="str">
        <f>VLOOKUP(Ruimtestaat[[#This Row],[Code]],Locaties[#All],2,FALSE)</f>
        <v>Lichtenvoorde gebouw 3</v>
      </c>
      <c r="C379" s="241" t="str">
        <f>VLOOKUP(Ruimtestaat[[#This Row],[Code]],Locaties[#All],4,FALSE)</f>
        <v>Dr Ariensstraat 3</v>
      </c>
      <c r="D379" s="241" t="str">
        <f>VLOOKUP(Ruimtestaat[[#This Row],[Code]],Locaties[#All],5,FALSE)</f>
        <v>7131 XM </v>
      </c>
      <c r="E379" s="241" t="str">
        <f>VLOOKUP(Ruimtestaat[[#This Row],[Code]],Locaties[#All],6,FALSE)</f>
        <v>Lichtenvoorde</v>
      </c>
      <c r="F379" s="195" t="s">
        <v>780</v>
      </c>
      <c r="G379" s="195">
        <v>1</v>
      </c>
      <c r="H379" s="195">
        <v>403</v>
      </c>
      <c r="I379" s="242" t="s">
        <v>449</v>
      </c>
      <c r="J379" s="241">
        <v>2</v>
      </c>
      <c r="K379" s="260" t="str">
        <f>VLOOKUP(Ruimtestaat[[#This Row],[Ruimte code]],Ruimtegroepen[#All],2,FALSE)</f>
        <v>Kantoren</v>
      </c>
      <c r="L379" s="211" t="s">
        <v>112</v>
      </c>
      <c r="M379" s="195" t="s">
        <v>130</v>
      </c>
      <c r="N379" s="197">
        <v>74.52</v>
      </c>
      <c r="O379" s="209"/>
      <c r="P379" s="241" t="str">
        <f>VLOOKUP(Ruimtestaat[[#This Row],[Ruimte code]],Ruimtegroepen[#All],4,FALSE)</f>
        <v>B  (Bureauruimte)</v>
      </c>
      <c r="Q379" s="210"/>
      <c r="R379" s="211">
        <v>40</v>
      </c>
      <c r="S379" s="211" t="s">
        <v>2</v>
      </c>
      <c r="T379" s="211">
        <f>IF(R379&gt;0,IF(RIGHT(Ruimtestaat[[#This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79" s="211">
        <f>IF(T379&gt;0,VLOOKUP($J379,Ruimtegroepen[],3,FALSE)*VLOOKUP($L379,Vloersoorten[],3,FALSE)*VLOOKUP($S379,Frequenties[],3,FALSE)*VLOOKUP($A379,Locaties[],3,FALSE),0)</f>
        <v>100</v>
      </c>
      <c r="V379" s="211">
        <f>Ruimtestaat[[#This Row],[Uitvoeringen werkdagen]]*Ruimtestaat[[#This Row],[Oppervlak (netto)]]</f>
        <v>14904</v>
      </c>
      <c r="W379" s="257">
        <f>IF(U379&gt;0,Ruimtestaat[[#This Row],[Prest. (m2 /jaar) werkdagen]]/Ruimtestaat[[#This Row],[Norm (m2/uur) werkdagen]],0)</f>
        <v>149.04</v>
      </c>
      <c r="X379" s="258">
        <f>Ruimtestaat[[#This Row],[uren / jaar werkdagen]]*Tariefsopbouw!$D$38</f>
        <v>3726</v>
      </c>
      <c r="Y379" s="33"/>
      <c r="Z379" s="33">
        <f>IF(Ruimtestaat[[#This Row],[Frequentie weekend]]&gt;0,VALUE(LEFT(Y379,1))*R379,0)</f>
        <v>0</v>
      </c>
      <c r="AA379" s="33">
        <f>IF($Z379&gt;0,VLOOKUP($J379,Ruimtegroepen[],3,FALSE)*VLOOKUP($L379,Vloersoorten[],3,FALSE)*VLOOKUP($Y379,Frequenties[],3,FALSE)*VLOOKUP(#REF!,Locaties[],3,FALSE),0)</f>
        <v>0</v>
      </c>
      <c r="AB379" s="33"/>
      <c r="AC379" s="33"/>
      <c r="AD379" s="33">
        <f>Ruimtestaat[[#This Row],[uren / jaar weekend]]*Tariefsopbouw!$D$40</f>
        <v>0</v>
      </c>
      <c r="AE379" s="88">
        <f>Ruimtestaat[[#This Row],[Prest. (m2 /jaar) weekend]]+Ruimtestaat[[#This Row],[Prest. (m2 /jaar) werkdagen]]</f>
        <v>14904</v>
      </c>
      <c r="AF379" s="88">
        <f>Ruimtestaat[[#This Row],[uren / jaar weekend]]+Ruimtestaat[[#This Row],[uren / jaar werkdagen]]</f>
        <v>149.04</v>
      </c>
      <c r="AG379" s="89">
        <f>Ruimtestaat[[#This Row],[kosten / jaar weekend]]+Ruimtestaat[[#This Row],[kosten / jaar werkdagen]]</f>
        <v>3726</v>
      </c>
    </row>
    <row r="380" spans="1:33" ht="15" customHeight="1">
      <c r="A380" s="195">
        <v>4</v>
      </c>
      <c r="B380" s="195" t="str">
        <f>VLOOKUP(Ruimtestaat[[#This Row],[Code]],Locaties[#All],2,FALSE)</f>
        <v>Lichtenvoorde gebouw 3</v>
      </c>
      <c r="C380" s="241" t="str">
        <f>VLOOKUP(Ruimtestaat[[#This Row],[Code]],Locaties[#All],4,FALSE)</f>
        <v>Dr Ariensstraat 3</v>
      </c>
      <c r="D380" s="241" t="str">
        <f>VLOOKUP(Ruimtestaat[[#This Row],[Code]],Locaties[#All],5,FALSE)</f>
        <v>7131 XM </v>
      </c>
      <c r="E380" s="241" t="str">
        <f>VLOOKUP(Ruimtestaat[[#This Row],[Code]],Locaties[#All],6,FALSE)</f>
        <v>Lichtenvoorde</v>
      </c>
      <c r="F380" s="195" t="s">
        <v>780</v>
      </c>
      <c r="G380" s="195">
        <v>1</v>
      </c>
      <c r="H380" s="195">
        <v>404</v>
      </c>
      <c r="I380" s="242" t="s">
        <v>22</v>
      </c>
      <c r="J380" s="195">
        <v>5</v>
      </c>
      <c r="K380" s="260" t="str">
        <f>VLOOKUP(Ruimtestaat[[#This Row],[Ruimte code]],Ruimtegroepen[#All],2,FALSE)</f>
        <v>Sanitair</v>
      </c>
      <c r="L380" s="211" t="s">
        <v>111</v>
      </c>
      <c r="M380" s="195" t="s">
        <v>693</v>
      </c>
      <c r="N380" s="197">
        <v>9.83</v>
      </c>
      <c r="O380" s="209"/>
      <c r="P380" s="241" t="str">
        <f>VLOOKUP(Ruimtestaat[[#This Row],[Ruimte code]],Ruimtegroepen[#All],4,FALSE)</f>
        <v>S  (Sanitair)</v>
      </c>
      <c r="Q380" s="210"/>
      <c r="R380" s="211">
        <v>40</v>
      </c>
      <c r="S380" s="211" t="s">
        <v>2</v>
      </c>
      <c r="T380" s="211">
        <f>IF(R380&gt;0,IF(RIGHT(Ruimtestaat[[#This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80" s="211">
        <f>IF(T380&gt;0,VLOOKUP($J380,Ruimtegroepen[],3,FALSE)*VLOOKUP($L380,Vloersoorten[],3,FALSE)*VLOOKUP($S380,Frequenties[],3,FALSE)*VLOOKUP($A380,Locaties[],3,FALSE),0)</f>
        <v>100</v>
      </c>
      <c r="V380" s="211">
        <f>Ruimtestaat[[#This Row],[Uitvoeringen werkdagen]]*Ruimtestaat[[#This Row],[Oppervlak (netto)]]</f>
        <v>1966</v>
      </c>
      <c r="W380" s="257">
        <f>IF(U380&gt;0,Ruimtestaat[[#This Row],[Prest. (m2 /jaar) werkdagen]]/Ruimtestaat[[#This Row],[Norm (m2/uur) werkdagen]],0)</f>
        <v>19.66</v>
      </c>
      <c r="X380" s="258">
        <f>Ruimtestaat[[#This Row],[uren / jaar werkdagen]]*Tariefsopbouw!$D$38</f>
        <v>491.5</v>
      </c>
      <c r="Y380" s="33"/>
      <c r="Z380" s="33">
        <f>IF(Ruimtestaat[[#This Row],[Frequentie weekend]]&gt;0,VALUE(LEFT(Y380,1))*R380,0)</f>
        <v>0</v>
      </c>
      <c r="AA380" s="33">
        <f>IF($Z380&gt;0,VLOOKUP($J380,Ruimtegroepen[],3,FALSE)*VLOOKUP($L380,Vloersoorten[],3,FALSE)*VLOOKUP($Y380,Frequenties[],3,FALSE)*VLOOKUP(#REF!,Locaties[],3,FALSE),0)</f>
        <v>0</v>
      </c>
      <c r="AB380" s="33"/>
      <c r="AC380" s="33"/>
      <c r="AD380" s="33">
        <f>Ruimtestaat[[#This Row],[uren / jaar weekend]]*Tariefsopbouw!$D$40</f>
        <v>0</v>
      </c>
      <c r="AE380" s="88">
        <f>Ruimtestaat[[#This Row],[Prest. (m2 /jaar) weekend]]+Ruimtestaat[[#This Row],[Prest. (m2 /jaar) werkdagen]]</f>
        <v>1966</v>
      </c>
      <c r="AF380" s="88">
        <f>Ruimtestaat[[#This Row],[uren / jaar weekend]]+Ruimtestaat[[#This Row],[uren / jaar werkdagen]]</f>
        <v>19.66</v>
      </c>
      <c r="AG380" s="89">
        <f>Ruimtestaat[[#This Row],[kosten / jaar weekend]]+Ruimtestaat[[#This Row],[kosten / jaar werkdagen]]</f>
        <v>491.5</v>
      </c>
    </row>
    <row r="381" spans="1:33" ht="15" customHeight="1">
      <c r="A381" s="195">
        <v>4</v>
      </c>
      <c r="B381" s="195" t="str">
        <f>VLOOKUP(Ruimtestaat[[#This Row],[Code]],Locaties[#All],2,FALSE)</f>
        <v>Lichtenvoorde gebouw 3</v>
      </c>
      <c r="C381" s="241" t="str">
        <f>VLOOKUP(Ruimtestaat[[#This Row],[Code]],Locaties[#All],4,FALSE)</f>
        <v>Dr Ariensstraat 3</v>
      </c>
      <c r="D381" s="241" t="str">
        <f>VLOOKUP(Ruimtestaat[[#This Row],[Code]],Locaties[#All],5,FALSE)</f>
        <v>7131 XM </v>
      </c>
      <c r="E381" s="241" t="str">
        <f>VLOOKUP(Ruimtestaat[[#This Row],[Code]],Locaties[#All],6,FALSE)</f>
        <v>Lichtenvoorde</v>
      </c>
      <c r="F381" s="195" t="s">
        <v>780</v>
      </c>
      <c r="G381" s="195">
        <v>1</v>
      </c>
      <c r="H381" s="195">
        <v>405</v>
      </c>
      <c r="I381" s="242" t="s">
        <v>831</v>
      </c>
      <c r="J381" s="195">
        <v>21</v>
      </c>
      <c r="K381" s="260" t="str">
        <f>VLOOKUP(Ruimtestaat[[#This Row],[Ruimte code]],Ruimtegroepen[#All],2,FALSE)</f>
        <v>Niet in onderhoud</v>
      </c>
      <c r="L381" s="211" t="s">
        <v>111</v>
      </c>
      <c r="M381" s="195" t="s">
        <v>693</v>
      </c>
      <c r="N381" s="197"/>
      <c r="O381" s="209">
        <v>2.7</v>
      </c>
      <c r="P381" s="241" t="str">
        <f>VLOOKUP(Ruimtestaat[[#This Row],[Ruimte code]],Ruimtegroepen[#All],4,FALSE)</f>
        <v>Niet in onderhoud</v>
      </c>
      <c r="Q381" s="210"/>
      <c r="R381" s="211"/>
      <c r="S381" s="211"/>
      <c r="T381" s="211">
        <f>IF(R381&gt;0,IF(RIGHT(Ruimtestaat[[#This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381" s="211">
        <f>IF(T381&gt;0,VLOOKUP($J381,Ruimtegroepen[],3,FALSE)*VLOOKUP($L381,Vloersoorten[],3,FALSE)*VLOOKUP($S381,Frequenties[],3,FALSE)*VLOOKUP($A381,Locaties[],3,FALSE),0)</f>
        <v>0</v>
      </c>
      <c r="V381" s="211">
        <f>Ruimtestaat[[#This Row],[Uitvoeringen werkdagen]]*Ruimtestaat[[#This Row],[Oppervlak (netto)]]</f>
        <v>0</v>
      </c>
      <c r="W381" s="257">
        <f>IF(U381&gt;0,Ruimtestaat[[#This Row],[Prest. (m2 /jaar) werkdagen]]/Ruimtestaat[[#This Row],[Norm (m2/uur) werkdagen]],0)</f>
        <v>0</v>
      </c>
      <c r="X381" s="258">
        <f>Ruimtestaat[[#This Row],[uren / jaar werkdagen]]*Tariefsopbouw!$D$38</f>
        <v>0</v>
      </c>
      <c r="Y381" s="33"/>
      <c r="Z381" s="33">
        <f>IF(Ruimtestaat[[#This Row],[Frequentie weekend]]&gt;0,VALUE(LEFT(Y381,1))*R381,0)</f>
        <v>0</v>
      </c>
      <c r="AA381" s="33">
        <f>IF($Z381&gt;0,VLOOKUP($J381,Ruimtegroepen[],3,FALSE)*VLOOKUP($L381,Vloersoorten[],3,FALSE)*VLOOKUP($Y381,Frequenties[],3,FALSE)*VLOOKUP(#REF!,Locaties[],3,FALSE),0)</f>
        <v>0</v>
      </c>
      <c r="AB381" s="33"/>
      <c r="AC381" s="33"/>
      <c r="AD381" s="33">
        <f>Ruimtestaat[[#This Row],[uren / jaar weekend]]*Tariefsopbouw!$D$40</f>
        <v>0</v>
      </c>
      <c r="AE381" s="88">
        <f>Ruimtestaat[[#This Row],[Prest. (m2 /jaar) weekend]]+Ruimtestaat[[#This Row],[Prest. (m2 /jaar) werkdagen]]</f>
        <v>0</v>
      </c>
      <c r="AF381" s="88">
        <f>Ruimtestaat[[#This Row],[uren / jaar weekend]]+Ruimtestaat[[#This Row],[uren / jaar werkdagen]]</f>
        <v>0</v>
      </c>
      <c r="AG381" s="89">
        <f>Ruimtestaat[[#This Row],[kosten / jaar weekend]]+Ruimtestaat[[#This Row],[kosten / jaar werkdagen]]</f>
        <v>0</v>
      </c>
    </row>
    <row r="382" spans="1:33" ht="15" customHeight="1">
      <c r="A382" s="195">
        <v>4</v>
      </c>
      <c r="B382" s="195" t="str">
        <f>VLOOKUP(Ruimtestaat[[#This Row],[Code]],Locaties[#All],2,FALSE)</f>
        <v>Lichtenvoorde gebouw 3</v>
      </c>
      <c r="C382" s="241" t="str">
        <f>VLOOKUP(Ruimtestaat[[#This Row],[Code]],Locaties[#All],4,FALSE)</f>
        <v>Dr Ariensstraat 3</v>
      </c>
      <c r="D382" s="241" t="str">
        <f>VLOOKUP(Ruimtestaat[[#This Row],[Code]],Locaties[#All],5,FALSE)</f>
        <v>7131 XM </v>
      </c>
      <c r="E382" s="241" t="str">
        <f>VLOOKUP(Ruimtestaat[[#This Row],[Code]],Locaties[#All],6,FALSE)</f>
        <v>Lichtenvoorde</v>
      </c>
      <c r="F382" s="195" t="s">
        <v>780</v>
      </c>
      <c r="G382" s="195">
        <v>1</v>
      </c>
      <c r="H382" s="195">
        <v>406</v>
      </c>
      <c r="I382" s="242" t="s">
        <v>395</v>
      </c>
      <c r="J382" s="195">
        <v>16</v>
      </c>
      <c r="K382" s="260" t="str">
        <f>VLOOKUP(Ruimtestaat[[#This Row],[Ruimte code]],Ruimtegroepen[#All],2,FALSE)</f>
        <v>Lokaal</v>
      </c>
      <c r="L382" s="195" t="s">
        <v>112</v>
      </c>
      <c r="M382" s="195" t="s">
        <v>130</v>
      </c>
      <c r="N382" s="197">
        <v>133.72</v>
      </c>
      <c r="O382" s="209"/>
      <c r="P382" s="241" t="str">
        <f>VLOOKUP(Ruimtestaat[[#This Row],[Ruimte code]],Ruimtegroepen[#All],4,FALSE)</f>
        <v>L  (Lesruimte)</v>
      </c>
      <c r="Q382" s="210"/>
      <c r="R382" s="211">
        <v>40</v>
      </c>
      <c r="S382" s="211" t="s">
        <v>2</v>
      </c>
      <c r="T382" s="211">
        <f>IF(R382&gt;0,IF(RIGHT(Ruimtestaat[[#This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82" s="211">
        <f>IF(T382&gt;0,VLOOKUP($J382,Ruimtegroepen[],3,FALSE)*VLOOKUP($L382,Vloersoorten[],3,FALSE)*VLOOKUP($S382,Frequenties[],3,FALSE)*VLOOKUP($A382,Locaties[],3,FALSE),0)</f>
        <v>100</v>
      </c>
      <c r="V382" s="211">
        <f>Ruimtestaat[[#This Row],[Uitvoeringen werkdagen]]*Ruimtestaat[[#This Row],[Oppervlak (netto)]]</f>
        <v>26744</v>
      </c>
      <c r="W382" s="257">
        <f>IF(U382&gt;0,Ruimtestaat[[#This Row],[Prest. (m2 /jaar) werkdagen]]/Ruimtestaat[[#This Row],[Norm (m2/uur) werkdagen]],0)</f>
        <v>267.44</v>
      </c>
      <c r="X382" s="258">
        <f>Ruimtestaat[[#This Row],[uren / jaar werkdagen]]*Tariefsopbouw!$D$38</f>
        <v>6686</v>
      </c>
      <c r="Y382" s="33"/>
      <c r="Z382" s="33">
        <f>IF(Ruimtestaat[[#This Row],[Frequentie weekend]]&gt;0,VALUE(LEFT(Y382,1))*R382,0)</f>
        <v>0</v>
      </c>
      <c r="AA382" s="33">
        <f>IF($Z382&gt;0,VLOOKUP($J382,Ruimtegroepen[],3,FALSE)*VLOOKUP($L382,Vloersoorten[],3,FALSE)*VLOOKUP($Y382,Frequenties[],3,FALSE)*VLOOKUP(#REF!,Locaties[],3,FALSE),0)</f>
        <v>0</v>
      </c>
      <c r="AB382" s="33"/>
      <c r="AC382" s="33"/>
      <c r="AD382" s="33">
        <f>Ruimtestaat[[#This Row],[uren / jaar weekend]]*Tariefsopbouw!$D$40</f>
        <v>0</v>
      </c>
      <c r="AE382" s="88">
        <f>Ruimtestaat[[#This Row],[Prest. (m2 /jaar) weekend]]+Ruimtestaat[[#This Row],[Prest. (m2 /jaar) werkdagen]]</f>
        <v>26744</v>
      </c>
      <c r="AF382" s="88">
        <f>Ruimtestaat[[#This Row],[uren / jaar weekend]]+Ruimtestaat[[#This Row],[uren / jaar werkdagen]]</f>
        <v>267.44</v>
      </c>
      <c r="AG382" s="89">
        <f>Ruimtestaat[[#This Row],[kosten / jaar weekend]]+Ruimtestaat[[#This Row],[kosten / jaar werkdagen]]</f>
        <v>6686</v>
      </c>
    </row>
    <row r="383" spans="1:33" ht="15" customHeight="1">
      <c r="A383" s="195">
        <v>4</v>
      </c>
      <c r="B383" s="195" t="str">
        <f>VLOOKUP(Ruimtestaat[[#This Row],[Code]],Locaties[#All],2,FALSE)</f>
        <v>Lichtenvoorde gebouw 3</v>
      </c>
      <c r="C383" s="241" t="str">
        <f>VLOOKUP(Ruimtestaat[[#This Row],[Code]],Locaties[#All],4,FALSE)</f>
        <v>Dr Ariensstraat 3</v>
      </c>
      <c r="D383" s="241" t="str">
        <f>VLOOKUP(Ruimtestaat[[#This Row],[Code]],Locaties[#All],5,FALSE)</f>
        <v>7131 XM </v>
      </c>
      <c r="E383" s="241" t="str">
        <f>VLOOKUP(Ruimtestaat[[#This Row],[Code]],Locaties[#All],6,FALSE)</f>
        <v>Lichtenvoorde</v>
      </c>
      <c r="F383" s="195" t="s">
        <v>780</v>
      </c>
      <c r="G383" s="195">
        <v>1</v>
      </c>
      <c r="H383" s="195">
        <v>408</v>
      </c>
      <c r="I383" s="242" t="s">
        <v>395</v>
      </c>
      <c r="J383" s="195">
        <v>16</v>
      </c>
      <c r="K383" s="260" t="str">
        <f>VLOOKUP(Ruimtestaat[[#This Row],[Ruimte code]],Ruimtegroepen[#All],2,FALSE)</f>
        <v>Lokaal</v>
      </c>
      <c r="L383" s="195" t="s">
        <v>112</v>
      </c>
      <c r="M383" s="195" t="s">
        <v>130</v>
      </c>
      <c r="N383" s="197">
        <v>133.59</v>
      </c>
      <c r="O383" s="209"/>
      <c r="P383" s="241" t="str">
        <f>VLOOKUP(Ruimtestaat[[#This Row],[Ruimte code]],Ruimtegroepen[#All],4,FALSE)</f>
        <v>L  (Lesruimte)</v>
      </c>
      <c r="Q383" s="210"/>
      <c r="R383" s="211">
        <v>40</v>
      </c>
      <c r="S383" s="211" t="s">
        <v>2</v>
      </c>
      <c r="T383" s="211">
        <f>IF(R383&gt;0,IF(RIGHT(Ruimtestaat[[#This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83" s="211">
        <f>IF(T383&gt;0,VLOOKUP($J383,Ruimtegroepen[],3,FALSE)*VLOOKUP($L383,Vloersoorten[],3,FALSE)*VLOOKUP($S383,Frequenties[],3,FALSE)*VLOOKUP($A383,Locaties[],3,FALSE),0)</f>
        <v>100</v>
      </c>
      <c r="V383" s="211">
        <f>Ruimtestaat[[#This Row],[Uitvoeringen werkdagen]]*Ruimtestaat[[#This Row],[Oppervlak (netto)]]</f>
        <v>26718</v>
      </c>
      <c r="W383" s="257">
        <f>IF(U383&gt;0,Ruimtestaat[[#This Row],[Prest. (m2 /jaar) werkdagen]]/Ruimtestaat[[#This Row],[Norm (m2/uur) werkdagen]],0)</f>
        <v>267.18</v>
      </c>
      <c r="X383" s="258">
        <f>Ruimtestaat[[#This Row],[uren / jaar werkdagen]]*Tariefsopbouw!$D$38</f>
        <v>6679.5</v>
      </c>
      <c r="Y383" s="33"/>
      <c r="Z383" s="33">
        <f>IF(Ruimtestaat[[#This Row],[Frequentie weekend]]&gt;0,VALUE(LEFT(Y383,1))*R383,0)</f>
        <v>0</v>
      </c>
      <c r="AA383" s="33">
        <f>IF($Z383&gt;0,VLOOKUP($J383,Ruimtegroepen[],3,FALSE)*VLOOKUP($L383,Vloersoorten[],3,FALSE)*VLOOKUP($Y383,Frequenties[],3,FALSE)*VLOOKUP(#REF!,Locaties[],3,FALSE),0)</f>
        <v>0</v>
      </c>
      <c r="AB383" s="33"/>
      <c r="AC383" s="33"/>
      <c r="AD383" s="33">
        <f>Ruimtestaat[[#This Row],[uren / jaar weekend]]*Tariefsopbouw!$D$40</f>
        <v>0</v>
      </c>
      <c r="AE383" s="88">
        <f>Ruimtestaat[[#This Row],[Prest. (m2 /jaar) weekend]]+Ruimtestaat[[#This Row],[Prest. (m2 /jaar) werkdagen]]</f>
        <v>26718</v>
      </c>
      <c r="AF383" s="88">
        <f>Ruimtestaat[[#This Row],[uren / jaar weekend]]+Ruimtestaat[[#This Row],[uren / jaar werkdagen]]</f>
        <v>267.18</v>
      </c>
      <c r="AG383" s="89">
        <f>Ruimtestaat[[#This Row],[kosten / jaar weekend]]+Ruimtestaat[[#This Row],[kosten / jaar werkdagen]]</f>
        <v>6679.5</v>
      </c>
    </row>
    <row r="384" spans="1:33" ht="15" customHeight="1">
      <c r="A384" s="195">
        <v>4</v>
      </c>
      <c r="B384" s="195" t="str">
        <f>VLOOKUP(Ruimtestaat[[#This Row],[Code]],Locaties[#All],2,FALSE)</f>
        <v>Lichtenvoorde gebouw 3</v>
      </c>
      <c r="C384" s="241" t="str">
        <f>VLOOKUP(Ruimtestaat[[#This Row],[Code]],Locaties[#All],4,FALSE)</f>
        <v>Dr Ariensstraat 3</v>
      </c>
      <c r="D384" s="241" t="str">
        <f>VLOOKUP(Ruimtestaat[[#This Row],[Code]],Locaties[#All],5,FALSE)</f>
        <v>7131 XM </v>
      </c>
      <c r="E384" s="241" t="str">
        <f>VLOOKUP(Ruimtestaat[[#This Row],[Code]],Locaties[#All],6,FALSE)</f>
        <v>Lichtenvoorde</v>
      </c>
      <c r="F384" s="195" t="s">
        <v>780</v>
      </c>
      <c r="G384" s="195">
        <v>1</v>
      </c>
      <c r="H384" s="195">
        <v>409</v>
      </c>
      <c r="I384" s="242" t="s">
        <v>382</v>
      </c>
      <c r="J384" s="195">
        <v>6</v>
      </c>
      <c r="K384" s="260" t="str">
        <f>VLOOKUP(Ruimtestaat[[#This Row],[Ruimte code]],Ruimtegroepen[#All],2,FALSE)</f>
        <v>Gangen/hallen</v>
      </c>
      <c r="L384" s="195" t="s">
        <v>111</v>
      </c>
      <c r="M384" s="195" t="s">
        <v>693</v>
      </c>
      <c r="N384" s="197">
        <v>117.12</v>
      </c>
      <c r="O384" s="209"/>
      <c r="P384" s="241" t="str">
        <f>VLOOKUP(Ruimtestaat[[#This Row],[Ruimte code]],Ruimtegroepen[#All],4,FALSE)</f>
        <v>V  (Verkeersruimte)</v>
      </c>
      <c r="Q384" s="210"/>
      <c r="R384" s="211">
        <v>40</v>
      </c>
      <c r="S384" s="211" t="s">
        <v>2</v>
      </c>
      <c r="T384" s="211">
        <f>IF(R384&gt;0,IF(RIGHT(Ruimtestaat[[#This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84" s="211">
        <f>IF(T384&gt;0,VLOOKUP($J384,Ruimtegroepen[],3,FALSE)*VLOOKUP($L384,Vloersoorten[],3,FALSE)*VLOOKUP($S384,Frequenties[],3,FALSE)*VLOOKUP($A384,Locaties[],3,FALSE),0)</f>
        <v>100</v>
      </c>
      <c r="V384" s="211">
        <f>Ruimtestaat[[#This Row],[Uitvoeringen werkdagen]]*Ruimtestaat[[#This Row],[Oppervlak (netto)]]</f>
        <v>23424</v>
      </c>
      <c r="W384" s="257">
        <f>IF(U384&gt;0,Ruimtestaat[[#This Row],[Prest. (m2 /jaar) werkdagen]]/Ruimtestaat[[#This Row],[Norm (m2/uur) werkdagen]],0)</f>
        <v>234.24</v>
      </c>
      <c r="X384" s="258">
        <f>Ruimtestaat[[#This Row],[uren / jaar werkdagen]]*Tariefsopbouw!$D$38</f>
        <v>5856</v>
      </c>
      <c r="Y384" s="33"/>
      <c r="Z384" s="33">
        <f>IF(Ruimtestaat[[#This Row],[Frequentie weekend]]&gt;0,VALUE(LEFT(Y384,1))*R384,0)</f>
        <v>0</v>
      </c>
      <c r="AA384" s="33">
        <f>IF($Z384&gt;0,VLOOKUP($J384,Ruimtegroepen[],3,FALSE)*VLOOKUP($L384,Vloersoorten[],3,FALSE)*VLOOKUP($Y384,Frequenties[],3,FALSE)*VLOOKUP(#REF!,Locaties[],3,FALSE),0)</f>
        <v>0</v>
      </c>
      <c r="AB384" s="33"/>
      <c r="AC384" s="33"/>
      <c r="AD384" s="33">
        <f>Ruimtestaat[[#This Row],[uren / jaar weekend]]*Tariefsopbouw!$D$40</f>
        <v>0</v>
      </c>
      <c r="AE384" s="88">
        <f>Ruimtestaat[[#This Row],[Prest. (m2 /jaar) weekend]]+Ruimtestaat[[#This Row],[Prest. (m2 /jaar) werkdagen]]</f>
        <v>23424</v>
      </c>
      <c r="AF384" s="88">
        <f>Ruimtestaat[[#This Row],[uren / jaar weekend]]+Ruimtestaat[[#This Row],[uren / jaar werkdagen]]</f>
        <v>234.24</v>
      </c>
      <c r="AG384" s="89">
        <f>Ruimtestaat[[#This Row],[kosten / jaar weekend]]+Ruimtestaat[[#This Row],[kosten / jaar werkdagen]]</f>
        <v>5856</v>
      </c>
    </row>
    <row r="385" spans="1:33" ht="15" customHeight="1">
      <c r="A385" s="195">
        <v>4</v>
      </c>
      <c r="B385" s="195" t="str">
        <f>VLOOKUP(Ruimtestaat[[#This Row],[Code]],Locaties[#All],2,FALSE)</f>
        <v>Lichtenvoorde gebouw 3</v>
      </c>
      <c r="C385" s="241" t="str">
        <f>VLOOKUP(Ruimtestaat[[#This Row],[Code]],Locaties[#All],4,FALSE)</f>
        <v>Dr Ariensstraat 3</v>
      </c>
      <c r="D385" s="241" t="str">
        <f>VLOOKUP(Ruimtestaat[[#This Row],[Code]],Locaties[#All],5,FALSE)</f>
        <v>7131 XM </v>
      </c>
      <c r="E385" s="241" t="str">
        <f>VLOOKUP(Ruimtestaat[[#This Row],[Code]],Locaties[#All],6,FALSE)</f>
        <v>Lichtenvoorde</v>
      </c>
      <c r="F385" s="195" t="s">
        <v>780</v>
      </c>
      <c r="G385" s="195">
        <v>1</v>
      </c>
      <c r="H385" s="195">
        <v>410</v>
      </c>
      <c r="I385" s="242" t="s">
        <v>382</v>
      </c>
      <c r="J385" s="241">
        <v>6</v>
      </c>
      <c r="K385" s="260" t="str">
        <f>VLOOKUP(Ruimtestaat[[#This Row],[Ruimte code]],Ruimtegroepen[#All],2,FALSE)</f>
        <v>Gangen/hallen</v>
      </c>
      <c r="L385" s="195" t="s">
        <v>111</v>
      </c>
      <c r="M385" s="195" t="s">
        <v>693</v>
      </c>
      <c r="N385" s="197">
        <v>52.93</v>
      </c>
      <c r="O385" s="209"/>
      <c r="P385" s="241" t="str">
        <f>VLOOKUP(Ruimtestaat[[#This Row],[Ruimte code]],Ruimtegroepen[#All],4,FALSE)</f>
        <v>V  (Verkeersruimte)</v>
      </c>
      <c r="Q385" s="210"/>
      <c r="R385" s="211">
        <v>40</v>
      </c>
      <c r="S385" s="211" t="s">
        <v>2</v>
      </c>
      <c r="T385" s="211">
        <f>IF(R385&gt;0,IF(RIGHT(Ruimtestaat[[#This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85" s="211">
        <f>IF(T385&gt;0,VLOOKUP($J385,Ruimtegroepen[],3,FALSE)*VLOOKUP($L385,Vloersoorten[],3,FALSE)*VLOOKUP($S385,Frequenties[],3,FALSE)*VLOOKUP($A385,Locaties[],3,FALSE),0)</f>
        <v>100</v>
      </c>
      <c r="V385" s="211">
        <f>Ruimtestaat[[#This Row],[Uitvoeringen werkdagen]]*Ruimtestaat[[#This Row],[Oppervlak (netto)]]</f>
        <v>10586</v>
      </c>
      <c r="W385" s="257">
        <f>IF(U385&gt;0,Ruimtestaat[[#This Row],[Prest. (m2 /jaar) werkdagen]]/Ruimtestaat[[#This Row],[Norm (m2/uur) werkdagen]],0)</f>
        <v>105.86</v>
      </c>
      <c r="X385" s="258">
        <f>Ruimtestaat[[#This Row],[uren / jaar werkdagen]]*Tariefsopbouw!$D$38</f>
        <v>2646.5</v>
      </c>
      <c r="Y385" s="33"/>
      <c r="Z385" s="33">
        <f>IF(Ruimtestaat[[#This Row],[Frequentie weekend]]&gt;0,VALUE(LEFT(Y385,1))*R385,0)</f>
        <v>0</v>
      </c>
      <c r="AA385" s="33">
        <f>IF($Z385&gt;0,VLOOKUP($J385,Ruimtegroepen[],3,FALSE)*VLOOKUP($L385,Vloersoorten[],3,FALSE)*VLOOKUP($Y385,Frequenties[],3,FALSE)*VLOOKUP(#REF!,Locaties[],3,FALSE),0)</f>
        <v>0</v>
      </c>
      <c r="AB385" s="33"/>
      <c r="AC385" s="33"/>
      <c r="AD385" s="33">
        <f>Ruimtestaat[[#This Row],[uren / jaar weekend]]*Tariefsopbouw!$D$40</f>
        <v>0</v>
      </c>
      <c r="AE385" s="88">
        <f>Ruimtestaat[[#This Row],[Prest. (m2 /jaar) weekend]]+Ruimtestaat[[#This Row],[Prest. (m2 /jaar) werkdagen]]</f>
        <v>10586</v>
      </c>
      <c r="AF385" s="88">
        <f>Ruimtestaat[[#This Row],[uren / jaar weekend]]+Ruimtestaat[[#This Row],[uren / jaar werkdagen]]</f>
        <v>105.86</v>
      </c>
      <c r="AG385" s="89">
        <f>Ruimtestaat[[#This Row],[kosten / jaar weekend]]+Ruimtestaat[[#This Row],[kosten / jaar werkdagen]]</f>
        <v>2646.5</v>
      </c>
    </row>
    <row r="386" spans="1:33" ht="15" customHeight="1">
      <c r="A386" s="195">
        <v>4</v>
      </c>
      <c r="B386" s="195" t="str">
        <f>VLOOKUP(Ruimtestaat[[#This Row],[Code]],Locaties[#All],2,FALSE)</f>
        <v>Lichtenvoorde gebouw 3</v>
      </c>
      <c r="C386" s="241" t="str">
        <f>VLOOKUP(Ruimtestaat[[#This Row],[Code]],Locaties[#All],4,FALSE)</f>
        <v>Dr Ariensstraat 3</v>
      </c>
      <c r="D386" s="241" t="str">
        <f>VLOOKUP(Ruimtestaat[[#This Row],[Code]],Locaties[#All],5,FALSE)</f>
        <v>7131 XM </v>
      </c>
      <c r="E386" s="241" t="str">
        <f>VLOOKUP(Ruimtestaat[[#This Row],[Code]],Locaties[#All],6,FALSE)</f>
        <v>Lichtenvoorde</v>
      </c>
      <c r="F386" s="195" t="s">
        <v>780</v>
      </c>
      <c r="G386" s="195">
        <v>1</v>
      </c>
      <c r="H386" s="195">
        <v>411</v>
      </c>
      <c r="I386" s="242" t="s">
        <v>382</v>
      </c>
      <c r="J386" s="195">
        <v>9</v>
      </c>
      <c r="K386" s="260" t="str">
        <f>VLOOKUP(Ruimtestaat[[#This Row],[Ruimte code]],Ruimtegroepen[#All],2,FALSE)</f>
        <v>Garderobe</v>
      </c>
      <c r="L386" s="195" t="s">
        <v>112</v>
      </c>
      <c r="M386" s="195" t="s">
        <v>130</v>
      </c>
      <c r="N386" s="197">
        <v>26.83</v>
      </c>
      <c r="O386" s="209"/>
      <c r="P386" s="241" t="str">
        <f>VLOOKUP(Ruimtestaat[[#This Row],[Ruimte code]],Ruimtegroepen[#All],4,FALSE)</f>
        <v>V  (Verkeersruimte)</v>
      </c>
      <c r="Q386" s="210"/>
      <c r="R386" s="211">
        <v>40</v>
      </c>
      <c r="S386" s="211" t="s">
        <v>2</v>
      </c>
      <c r="T386" s="211">
        <f>IF(R386&gt;0,IF(RIGHT(Ruimtestaat[[#This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86" s="211">
        <f>IF(T386&gt;0,VLOOKUP($J386,Ruimtegroepen[],3,FALSE)*VLOOKUP($L386,Vloersoorten[],3,FALSE)*VLOOKUP($S386,Frequenties[],3,FALSE)*VLOOKUP($A386,Locaties[],3,FALSE),0)</f>
        <v>100</v>
      </c>
      <c r="V386" s="211">
        <f>Ruimtestaat[[#This Row],[Uitvoeringen werkdagen]]*Ruimtestaat[[#This Row],[Oppervlak (netto)]]</f>
        <v>5366</v>
      </c>
      <c r="W386" s="257">
        <f>IF(U386&gt;0,Ruimtestaat[[#This Row],[Prest. (m2 /jaar) werkdagen]]/Ruimtestaat[[#This Row],[Norm (m2/uur) werkdagen]],0)</f>
        <v>53.66</v>
      </c>
      <c r="X386" s="258">
        <f>Ruimtestaat[[#This Row],[uren / jaar werkdagen]]*Tariefsopbouw!$D$38</f>
        <v>1341.5</v>
      </c>
      <c r="Y386" s="33"/>
      <c r="Z386" s="33">
        <f>IF(Ruimtestaat[[#This Row],[Frequentie weekend]]&gt;0,VALUE(LEFT(Y386,1))*R386,0)</f>
        <v>0</v>
      </c>
      <c r="AA386" s="33">
        <f>IF($Z386&gt;0,VLOOKUP($J386,Ruimtegroepen[],3,FALSE)*VLOOKUP($L386,Vloersoorten[],3,FALSE)*VLOOKUP($Y386,Frequenties[],3,FALSE)*VLOOKUP(#REF!,Locaties[],3,FALSE),0)</f>
        <v>0</v>
      </c>
      <c r="AB386" s="33"/>
      <c r="AC386" s="33"/>
      <c r="AD386" s="33">
        <f>Ruimtestaat[[#This Row],[uren / jaar weekend]]*Tariefsopbouw!$D$40</f>
        <v>0</v>
      </c>
      <c r="AE386" s="88">
        <f>Ruimtestaat[[#This Row],[Prest. (m2 /jaar) weekend]]+Ruimtestaat[[#This Row],[Prest. (m2 /jaar) werkdagen]]</f>
        <v>5366</v>
      </c>
      <c r="AF386" s="88">
        <f>Ruimtestaat[[#This Row],[uren / jaar weekend]]+Ruimtestaat[[#This Row],[uren / jaar werkdagen]]</f>
        <v>53.66</v>
      </c>
      <c r="AG386" s="89">
        <f>Ruimtestaat[[#This Row],[kosten / jaar weekend]]+Ruimtestaat[[#This Row],[kosten / jaar werkdagen]]</f>
        <v>1341.5</v>
      </c>
    </row>
    <row r="387" spans="1:33" ht="15" customHeight="1">
      <c r="A387" s="195">
        <v>4</v>
      </c>
      <c r="B387" s="195" t="str">
        <f>VLOOKUP(Ruimtestaat[[#This Row],[Code]],Locaties[#All],2,FALSE)</f>
        <v>Lichtenvoorde gebouw 3</v>
      </c>
      <c r="C387" s="241" t="str">
        <f>VLOOKUP(Ruimtestaat[[#This Row],[Code]],Locaties[#All],4,FALSE)</f>
        <v>Dr Ariensstraat 3</v>
      </c>
      <c r="D387" s="241" t="str">
        <f>VLOOKUP(Ruimtestaat[[#This Row],[Code]],Locaties[#All],5,FALSE)</f>
        <v>7131 XM </v>
      </c>
      <c r="E387" s="241" t="str">
        <f>VLOOKUP(Ruimtestaat[[#This Row],[Code]],Locaties[#All],6,FALSE)</f>
        <v>Lichtenvoorde</v>
      </c>
      <c r="F387" s="195" t="s">
        <v>780</v>
      </c>
      <c r="G387" s="195">
        <v>1</v>
      </c>
      <c r="H387" s="195">
        <v>412</v>
      </c>
      <c r="I387" s="242" t="s">
        <v>22</v>
      </c>
      <c r="J387" s="195">
        <v>5</v>
      </c>
      <c r="K387" s="260" t="str">
        <f>VLOOKUP(Ruimtestaat[[#This Row],[Ruimte code]],Ruimtegroepen[#All],2,FALSE)</f>
        <v>Sanitair</v>
      </c>
      <c r="L387" s="211" t="s">
        <v>111</v>
      </c>
      <c r="M387" s="195" t="s">
        <v>693</v>
      </c>
      <c r="N387" s="197">
        <v>9.64</v>
      </c>
      <c r="O387" s="209"/>
      <c r="P387" s="241" t="str">
        <f>VLOOKUP(Ruimtestaat[[#This Row],[Ruimte code]],Ruimtegroepen[#All],4,FALSE)</f>
        <v>S  (Sanitair)</v>
      </c>
      <c r="Q387" s="210"/>
      <c r="R387" s="211">
        <v>40</v>
      </c>
      <c r="S387" s="211" t="s">
        <v>2</v>
      </c>
      <c r="T387" s="211">
        <f>IF(R387&gt;0,IF(RIGHT(Ruimtestaat[[#This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87" s="211">
        <f>IF(T387&gt;0,VLOOKUP($J387,Ruimtegroepen[],3,FALSE)*VLOOKUP($L387,Vloersoorten[],3,FALSE)*VLOOKUP($S387,Frequenties[],3,FALSE)*VLOOKUP($A387,Locaties[],3,FALSE),0)</f>
        <v>100</v>
      </c>
      <c r="V387" s="211">
        <f>Ruimtestaat[[#This Row],[Uitvoeringen werkdagen]]*Ruimtestaat[[#This Row],[Oppervlak (netto)]]</f>
        <v>1928</v>
      </c>
      <c r="W387" s="257">
        <f>IF(U387&gt;0,Ruimtestaat[[#This Row],[Prest. (m2 /jaar) werkdagen]]/Ruimtestaat[[#This Row],[Norm (m2/uur) werkdagen]],0)</f>
        <v>19.28</v>
      </c>
      <c r="X387" s="258">
        <f>Ruimtestaat[[#This Row],[uren / jaar werkdagen]]*Tariefsopbouw!$D$38</f>
        <v>482</v>
      </c>
      <c r="Y387" s="33"/>
      <c r="Z387" s="33">
        <f>IF(Ruimtestaat[[#This Row],[Frequentie weekend]]&gt;0,VALUE(LEFT(Y387,1))*R387,0)</f>
        <v>0</v>
      </c>
      <c r="AA387" s="33">
        <f>IF($Z387&gt;0,VLOOKUP($J387,Ruimtegroepen[],3,FALSE)*VLOOKUP($L387,Vloersoorten[],3,FALSE)*VLOOKUP($Y387,Frequenties[],3,FALSE)*VLOOKUP(#REF!,Locaties[],3,FALSE),0)</f>
        <v>0</v>
      </c>
      <c r="AB387" s="33"/>
      <c r="AC387" s="33"/>
      <c r="AD387" s="33">
        <f>Ruimtestaat[[#This Row],[uren / jaar weekend]]*Tariefsopbouw!$D$40</f>
        <v>0</v>
      </c>
      <c r="AE387" s="88">
        <f>Ruimtestaat[[#This Row],[Prest. (m2 /jaar) weekend]]+Ruimtestaat[[#This Row],[Prest. (m2 /jaar) werkdagen]]</f>
        <v>1928</v>
      </c>
      <c r="AF387" s="88">
        <f>Ruimtestaat[[#This Row],[uren / jaar weekend]]+Ruimtestaat[[#This Row],[uren / jaar werkdagen]]</f>
        <v>19.28</v>
      </c>
      <c r="AG387" s="89">
        <f>Ruimtestaat[[#This Row],[kosten / jaar weekend]]+Ruimtestaat[[#This Row],[kosten / jaar werkdagen]]</f>
        <v>482</v>
      </c>
    </row>
    <row r="388" spans="1:33" ht="15" customHeight="1">
      <c r="A388" s="195">
        <v>4</v>
      </c>
      <c r="B388" s="195" t="str">
        <f>VLOOKUP(Ruimtestaat[[#This Row],[Code]],Locaties[#All],2,FALSE)</f>
        <v>Lichtenvoorde gebouw 3</v>
      </c>
      <c r="C388" s="241" t="str">
        <f>VLOOKUP(Ruimtestaat[[#This Row],[Code]],Locaties[#All],4,FALSE)</f>
        <v>Dr Ariensstraat 3</v>
      </c>
      <c r="D388" s="241" t="str">
        <f>VLOOKUP(Ruimtestaat[[#This Row],[Code]],Locaties[#All],5,FALSE)</f>
        <v>7131 XM </v>
      </c>
      <c r="E388" s="241" t="str">
        <f>VLOOKUP(Ruimtestaat[[#This Row],[Code]],Locaties[#All],6,FALSE)</f>
        <v>Lichtenvoorde</v>
      </c>
      <c r="F388" s="195" t="s">
        <v>780</v>
      </c>
      <c r="G388" s="195">
        <v>1</v>
      </c>
      <c r="H388" s="195">
        <v>413</v>
      </c>
      <c r="I388" s="242" t="s">
        <v>820</v>
      </c>
      <c r="J388" s="195">
        <v>16</v>
      </c>
      <c r="K388" s="260" t="str">
        <f>VLOOKUP(Ruimtestaat[[#This Row],[Ruimte code]],Ruimtegroepen[#All],2,FALSE)</f>
        <v>Lokaal</v>
      </c>
      <c r="L388" s="195" t="s">
        <v>112</v>
      </c>
      <c r="M388" s="195" t="s">
        <v>130</v>
      </c>
      <c r="N388" s="197">
        <v>74.83</v>
      </c>
      <c r="O388" s="209"/>
      <c r="P388" s="241" t="str">
        <f>VLOOKUP(Ruimtestaat[[#This Row],[Ruimte code]],Ruimtegroepen[#All],4,FALSE)</f>
        <v>L  (Lesruimte)</v>
      </c>
      <c r="Q388" s="210"/>
      <c r="R388" s="211">
        <v>40</v>
      </c>
      <c r="S388" s="211" t="s">
        <v>2</v>
      </c>
      <c r="T388" s="211">
        <f>IF(R388&gt;0,IF(RIGHT(Ruimtestaat[[#This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88" s="211">
        <f>IF(T388&gt;0,VLOOKUP($J388,Ruimtegroepen[],3,FALSE)*VLOOKUP($L388,Vloersoorten[],3,FALSE)*VLOOKUP($S388,Frequenties[],3,FALSE)*VLOOKUP($A388,Locaties[],3,FALSE),0)</f>
        <v>100</v>
      </c>
      <c r="V388" s="211">
        <f>Ruimtestaat[[#This Row],[Uitvoeringen werkdagen]]*Ruimtestaat[[#This Row],[Oppervlak (netto)]]</f>
        <v>14966</v>
      </c>
      <c r="W388" s="257">
        <f>IF(U388&gt;0,Ruimtestaat[[#This Row],[Prest. (m2 /jaar) werkdagen]]/Ruimtestaat[[#This Row],[Norm (m2/uur) werkdagen]],0)</f>
        <v>149.66</v>
      </c>
      <c r="X388" s="258">
        <f>Ruimtestaat[[#This Row],[uren / jaar werkdagen]]*Tariefsopbouw!$D$38</f>
        <v>3741.5</v>
      </c>
      <c r="Y388" s="33"/>
      <c r="Z388" s="33">
        <f>IF(Ruimtestaat[[#This Row],[Frequentie weekend]]&gt;0,VALUE(LEFT(Y388,1))*R388,0)</f>
        <v>0</v>
      </c>
      <c r="AA388" s="33">
        <f>IF($Z388&gt;0,VLOOKUP($J388,Ruimtegroepen[],3,FALSE)*VLOOKUP($L388,Vloersoorten[],3,FALSE)*VLOOKUP($Y388,Frequenties[],3,FALSE)*VLOOKUP(#REF!,Locaties[],3,FALSE),0)</f>
        <v>0</v>
      </c>
      <c r="AB388" s="33"/>
      <c r="AC388" s="33"/>
      <c r="AD388" s="33">
        <f>Ruimtestaat[[#This Row],[uren / jaar weekend]]*Tariefsopbouw!$D$40</f>
        <v>0</v>
      </c>
      <c r="AE388" s="88">
        <f>Ruimtestaat[[#This Row],[Prest. (m2 /jaar) weekend]]+Ruimtestaat[[#This Row],[Prest. (m2 /jaar) werkdagen]]</f>
        <v>14966</v>
      </c>
      <c r="AF388" s="88">
        <f>Ruimtestaat[[#This Row],[uren / jaar weekend]]+Ruimtestaat[[#This Row],[uren / jaar werkdagen]]</f>
        <v>149.66</v>
      </c>
      <c r="AG388" s="89">
        <f>Ruimtestaat[[#This Row],[kosten / jaar weekend]]+Ruimtestaat[[#This Row],[kosten / jaar werkdagen]]</f>
        <v>3741.5</v>
      </c>
    </row>
    <row r="389" spans="1:33" ht="15" customHeight="1">
      <c r="A389" s="195">
        <v>4</v>
      </c>
      <c r="B389" s="195" t="str">
        <f>VLOOKUP(Ruimtestaat[[#This Row],[Code]],Locaties[#All],2,FALSE)</f>
        <v>Lichtenvoorde gebouw 3</v>
      </c>
      <c r="C389" s="241" t="str">
        <f>VLOOKUP(Ruimtestaat[[#This Row],[Code]],Locaties[#All],4,FALSE)</f>
        <v>Dr Ariensstraat 3</v>
      </c>
      <c r="D389" s="241" t="str">
        <f>VLOOKUP(Ruimtestaat[[#This Row],[Code]],Locaties[#All],5,FALSE)</f>
        <v>7131 XM </v>
      </c>
      <c r="E389" s="241" t="str">
        <f>VLOOKUP(Ruimtestaat[[#This Row],[Code]],Locaties[#All],6,FALSE)</f>
        <v>Lichtenvoorde</v>
      </c>
      <c r="F389" s="195" t="s">
        <v>780</v>
      </c>
      <c r="G389" s="195">
        <v>1</v>
      </c>
      <c r="H389" s="195">
        <v>416</v>
      </c>
      <c r="I389" s="242" t="s">
        <v>765</v>
      </c>
      <c r="J389" s="241">
        <v>16</v>
      </c>
      <c r="K389" s="260" t="str">
        <f>VLOOKUP(Ruimtestaat[[#This Row],[Ruimte code]],Ruimtegroepen[#All],2,FALSE)</f>
        <v>Lokaal</v>
      </c>
      <c r="L389" s="195" t="s">
        <v>112</v>
      </c>
      <c r="M389" s="195" t="s">
        <v>130</v>
      </c>
      <c r="N389" s="197">
        <v>52.06</v>
      </c>
      <c r="O389" s="209"/>
      <c r="P389" s="241" t="str">
        <f>VLOOKUP(Ruimtestaat[[#This Row],[Ruimte code]],Ruimtegroepen[#All],4,FALSE)</f>
        <v>L  (Lesruimte)</v>
      </c>
      <c r="Q389" s="210"/>
      <c r="R389" s="211">
        <v>40</v>
      </c>
      <c r="S389" s="211" t="s">
        <v>2</v>
      </c>
      <c r="T389" s="211">
        <f>IF(R389&gt;0,IF(RIGHT(Ruimtestaat[[#This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89" s="211">
        <f>IF(T389&gt;0,VLOOKUP($J389,Ruimtegroepen[],3,FALSE)*VLOOKUP($L389,Vloersoorten[],3,FALSE)*VLOOKUP($S389,Frequenties[],3,FALSE)*VLOOKUP($A389,Locaties[],3,FALSE),0)</f>
        <v>100</v>
      </c>
      <c r="V389" s="211">
        <f>Ruimtestaat[[#This Row],[Uitvoeringen werkdagen]]*Ruimtestaat[[#This Row],[Oppervlak (netto)]]</f>
        <v>10412</v>
      </c>
      <c r="W389" s="257">
        <f>IF(U389&gt;0,Ruimtestaat[[#This Row],[Prest. (m2 /jaar) werkdagen]]/Ruimtestaat[[#This Row],[Norm (m2/uur) werkdagen]],0)</f>
        <v>104.12</v>
      </c>
      <c r="X389" s="258">
        <f>Ruimtestaat[[#This Row],[uren / jaar werkdagen]]*Tariefsopbouw!$D$38</f>
        <v>2603</v>
      </c>
      <c r="Y389" s="33"/>
      <c r="Z389" s="33">
        <f>IF(Ruimtestaat[[#This Row],[Frequentie weekend]]&gt;0,VALUE(LEFT(Y389,1))*R389,0)</f>
        <v>0</v>
      </c>
      <c r="AA389" s="33">
        <f>IF($Z389&gt;0,VLOOKUP($J389,Ruimtegroepen[],3,FALSE)*VLOOKUP($L389,Vloersoorten[],3,FALSE)*VLOOKUP($Y389,Frequenties[],3,FALSE)*VLOOKUP(#REF!,Locaties[],3,FALSE),0)</f>
        <v>0</v>
      </c>
      <c r="AB389" s="33"/>
      <c r="AC389" s="33"/>
      <c r="AD389" s="33">
        <f>Ruimtestaat[[#This Row],[uren / jaar weekend]]*Tariefsopbouw!$D$40</f>
        <v>0</v>
      </c>
      <c r="AE389" s="88">
        <f>Ruimtestaat[[#This Row],[Prest. (m2 /jaar) weekend]]+Ruimtestaat[[#This Row],[Prest. (m2 /jaar) werkdagen]]</f>
        <v>10412</v>
      </c>
      <c r="AF389" s="88">
        <f>Ruimtestaat[[#This Row],[uren / jaar weekend]]+Ruimtestaat[[#This Row],[uren / jaar werkdagen]]</f>
        <v>104.12</v>
      </c>
      <c r="AG389" s="89">
        <f>Ruimtestaat[[#This Row],[kosten / jaar weekend]]+Ruimtestaat[[#This Row],[kosten / jaar werkdagen]]</f>
        <v>2603</v>
      </c>
    </row>
    <row r="390" spans="1:33" ht="15" customHeight="1">
      <c r="A390" s="195">
        <v>4</v>
      </c>
      <c r="B390" s="195" t="str">
        <f>VLOOKUP(Ruimtestaat[[#This Row],[Code]],Locaties[#All],2,FALSE)</f>
        <v>Lichtenvoorde gebouw 3</v>
      </c>
      <c r="C390" s="241" t="str">
        <f>VLOOKUP(Ruimtestaat[[#This Row],[Code]],Locaties[#All],4,FALSE)</f>
        <v>Dr Ariensstraat 3</v>
      </c>
      <c r="D390" s="241" t="str">
        <f>VLOOKUP(Ruimtestaat[[#This Row],[Code]],Locaties[#All],5,FALSE)</f>
        <v>7131 XM </v>
      </c>
      <c r="E390" s="241" t="str">
        <f>VLOOKUP(Ruimtestaat[[#This Row],[Code]],Locaties[#All],6,FALSE)</f>
        <v>Lichtenvoorde</v>
      </c>
      <c r="F390" s="195" t="s">
        <v>780</v>
      </c>
      <c r="G390" s="195">
        <v>1</v>
      </c>
      <c r="H390" s="195">
        <v>417</v>
      </c>
      <c r="I390" s="242" t="s">
        <v>765</v>
      </c>
      <c r="J390" s="195">
        <v>16</v>
      </c>
      <c r="K390" s="260" t="str">
        <f>VLOOKUP(Ruimtestaat[[#This Row],[Ruimte code]],Ruimtegroepen[#All],2,FALSE)</f>
        <v>Lokaal</v>
      </c>
      <c r="L390" s="195" t="s">
        <v>112</v>
      </c>
      <c r="M390" s="195" t="s">
        <v>130</v>
      </c>
      <c r="N390" s="197">
        <v>77.56</v>
      </c>
      <c r="O390" s="209"/>
      <c r="P390" s="241" t="str">
        <f>VLOOKUP(Ruimtestaat[[#This Row],[Ruimte code]],Ruimtegroepen[#All],4,FALSE)</f>
        <v>L  (Lesruimte)</v>
      </c>
      <c r="Q390" s="210"/>
      <c r="R390" s="211">
        <v>40</v>
      </c>
      <c r="S390" s="211" t="s">
        <v>2</v>
      </c>
      <c r="T390" s="211">
        <f>IF(R390&gt;0,IF(RIGHT(Ruimtestaat[[#This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90" s="211">
        <f>IF(T390&gt;0,VLOOKUP($J390,Ruimtegroepen[],3,FALSE)*VLOOKUP($L390,Vloersoorten[],3,FALSE)*VLOOKUP($S390,Frequenties[],3,FALSE)*VLOOKUP($A390,Locaties[],3,FALSE),0)</f>
        <v>100</v>
      </c>
      <c r="V390" s="211">
        <f>Ruimtestaat[[#This Row],[Uitvoeringen werkdagen]]*Ruimtestaat[[#This Row],[Oppervlak (netto)]]</f>
        <v>15512</v>
      </c>
      <c r="W390" s="257">
        <f>IF(U390&gt;0,Ruimtestaat[[#This Row],[Prest. (m2 /jaar) werkdagen]]/Ruimtestaat[[#This Row],[Norm (m2/uur) werkdagen]],0)</f>
        <v>155.12</v>
      </c>
      <c r="X390" s="258">
        <f>Ruimtestaat[[#This Row],[uren / jaar werkdagen]]*Tariefsopbouw!$D$38</f>
        <v>3878</v>
      </c>
      <c r="Y390" s="33"/>
      <c r="Z390" s="33">
        <f>IF(Ruimtestaat[[#This Row],[Frequentie weekend]]&gt;0,VALUE(LEFT(Y390,1))*R390,0)</f>
        <v>0</v>
      </c>
      <c r="AA390" s="33">
        <f>IF($Z390&gt;0,VLOOKUP($J390,Ruimtegroepen[],3,FALSE)*VLOOKUP($L390,Vloersoorten[],3,FALSE)*VLOOKUP($Y390,Frequenties[],3,FALSE)*VLOOKUP(#REF!,Locaties[],3,FALSE),0)</f>
        <v>0</v>
      </c>
      <c r="AB390" s="33"/>
      <c r="AC390" s="33"/>
      <c r="AD390" s="33">
        <f>Ruimtestaat[[#This Row],[uren / jaar weekend]]*Tariefsopbouw!$D$40</f>
        <v>0</v>
      </c>
      <c r="AE390" s="88">
        <f>Ruimtestaat[[#This Row],[Prest. (m2 /jaar) weekend]]+Ruimtestaat[[#This Row],[Prest. (m2 /jaar) werkdagen]]</f>
        <v>15512</v>
      </c>
      <c r="AF390" s="88">
        <f>Ruimtestaat[[#This Row],[uren / jaar weekend]]+Ruimtestaat[[#This Row],[uren / jaar werkdagen]]</f>
        <v>155.12</v>
      </c>
      <c r="AG390" s="89">
        <f>Ruimtestaat[[#This Row],[kosten / jaar weekend]]+Ruimtestaat[[#This Row],[kosten / jaar werkdagen]]</f>
        <v>3878</v>
      </c>
    </row>
    <row r="391" spans="1:33" ht="15" customHeight="1">
      <c r="A391" s="195">
        <v>4</v>
      </c>
      <c r="B391" s="195" t="str">
        <f>VLOOKUP(Ruimtestaat[[#This Row],[Code]],Locaties[#All],2,FALSE)</f>
        <v>Lichtenvoorde gebouw 3</v>
      </c>
      <c r="C391" s="241" t="str">
        <f>VLOOKUP(Ruimtestaat[[#This Row],[Code]],Locaties[#All],4,FALSE)</f>
        <v>Dr Ariensstraat 3</v>
      </c>
      <c r="D391" s="241" t="str">
        <f>VLOOKUP(Ruimtestaat[[#This Row],[Code]],Locaties[#All],5,FALSE)</f>
        <v>7131 XM </v>
      </c>
      <c r="E391" s="241" t="str">
        <f>VLOOKUP(Ruimtestaat[[#This Row],[Code]],Locaties[#All],6,FALSE)</f>
        <v>Lichtenvoorde</v>
      </c>
      <c r="F391" s="195" t="s">
        <v>780</v>
      </c>
      <c r="G391" s="195">
        <v>1</v>
      </c>
      <c r="H391" s="195">
        <v>436</v>
      </c>
      <c r="I391" s="242" t="s">
        <v>22</v>
      </c>
      <c r="J391" s="195">
        <v>5</v>
      </c>
      <c r="K391" s="260" t="str">
        <f>VLOOKUP(Ruimtestaat[[#This Row],[Ruimte code]],Ruimtegroepen[#All],2,FALSE)</f>
        <v>Sanitair</v>
      </c>
      <c r="L391" s="211" t="s">
        <v>111</v>
      </c>
      <c r="M391" s="195" t="s">
        <v>693</v>
      </c>
      <c r="N391" s="197">
        <v>61.2</v>
      </c>
      <c r="O391" s="209"/>
      <c r="P391" s="241" t="str">
        <f>VLOOKUP(Ruimtestaat[[#This Row],[Ruimte code]],Ruimtegroepen[#All],4,FALSE)</f>
        <v>S  (Sanitair)</v>
      </c>
      <c r="Q391" s="210"/>
      <c r="R391" s="211">
        <v>40</v>
      </c>
      <c r="S391" s="211" t="s">
        <v>2</v>
      </c>
      <c r="T391" s="211">
        <f>IF(R391&gt;0,IF(RIGHT(Ruimtestaat[[#This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91" s="211">
        <f>IF(T391&gt;0,VLOOKUP($J391,Ruimtegroepen[],3,FALSE)*VLOOKUP($L391,Vloersoorten[],3,FALSE)*VLOOKUP($S391,Frequenties[],3,FALSE)*VLOOKUP($A391,Locaties[],3,FALSE),0)</f>
        <v>100</v>
      </c>
      <c r="V391" s="211">
        <f>Ruimtestaat[[#This Row],[Uitvoeringen werkdagen]]*Ruimtestaat[[#This Row],[Oppervlak (netto)]]</f>
        <v>12240</v>
      </c>
      <c r="W391" s="257">
        <f>IF(U391&gt;0,Ruimtestaat[[#This Row],[Prest. (m2 /jaar) werkdagen]]/Ruimtestaat[[#This Row],[Norm (m2/uur) werkdagen]],0)</f>
        <v>122.4</v>
      </c>
      <c r="X391" s="258">
        <f>Ruimtestaat[[#This Row],[uren / jaar werkdagen]]*Tariefsopbouw!$D$38</f>
        <v>3060</v>
      </c>
      <c r="Y391" s="33"/>
      <c r="Z391" s="33">
        <f>IF(Ruimtestaat[[#This Row],[Frequentie weekend]]&gt;0,VALUE(LEFT(Y391,1))*R391,0)</f>
        <v>0</v>
      </c>
      <c r="AA391" s="33">
        <f>IF($Z391&gt;0,VLOOKUP($J391,Ruimtegroepen[],3,FALSE)*VLOOKUP($L391,Vloersoorten[],3,FALSE)*VLOOKUP($Y391,Frequenties[],3,FALSE)*VLOOKUP(#REF!,Locaties[],3,FALSE),0)</f>
        <v>0</v>
      </c>
      <c r="AB391" s="33"/>
      <c r="AC391" s="33"/>
      <c r="AD391" s="33">
        <f>Ruimtestaat[[#This Row],[uren / jaar weekend]]*Tariefsopbouw!$D$40</f>
        <v>0</v>
      </c>
      <c r="AE391" s="88">
        <f>Ruimtestaat[[#This Row],[Prest. (m2 /jaar) weekend]]+Ruimtestaat[[#This Row],[Prest. (m2 /jaar) werkdagen]]</f>
        <v>12240</v>
      </c>
      <c r="AF391" s="88">
        <f>Ruimtestaat[[#This Row],[uren / jaar weekend]]+Ruimtestaat[[#This Row],[uren / jaar werkdagen]]</f>
        <v>122.4</v>
      </c>
      <c r="AG391" s="89">
        <f>Ruimtestaat[[#This Row],[kosten / jaar weekend]]+Ruimtestaat[[#This Row],[kosten / jaar werkdagen]]</f>
        <v>3060</v>
      </c>
    </row>
    <row r="392" spans="1:33" ht="15" customHeight="1">
      <c r="A392" s="195">
        <v>4</v>
      </c>
      <c r="B392" s="195" t="str">
        <f>VLOOKUP(Ruimtestaat[[#This Row],[Code]],Locaties[#All],2,FALSE)</f>
        <v>Lichtenvoorde gebouw 3</v>
      </c>
      <c r="C392" s="241" t="str">
        <f>VLOOKUP(Ruimtestaat[[#This Row],[Code]],Locaties[#All],4,FALSE)</f>
        <v>Dr Ariensstraat 3</v>
      </c>
      <c r="D392" s="241" t="str">
        <f>VLOOKUP(Ruimtestaat[[#This Row],[Code]],Locaties[#All],5,FALSE)</f>
        <v>7131 XM </v>
      </c>
      <c r="E392" s="241" t="str">
        <f>VLOOKUP(Ruimtestaat[[#This Row],[Code]],Locaties[#All],6,FALSE)</f>
        <v>Lichtenvoorde</v>
      </c>
      <c r="F392" s="195" t="s">
        <v>780</v>
      </c>
      <c r="G392" s="195">
        <v>1</v>
      </c>
      <c r="H392" s="195">
        <v>449</v>
      </c>
      <c r="I392" s="242" t="s">
        <v>449</v>
      </c>
      <c r="J392" s="195">
        <v>2</v>
      </c>
      <c r="K392" s="260" t="str">
        <f>VLOOKUP(Ruimtestaat[[#This Row],[Ruimte code]],Ruimtegroepen[#All],2,FALSE)</f>
        <v>Kantoren</v>
      </c>
      <c r="L392" s="211" t="s">
        <v>109</v>
      </c>
      <c r="M392" s="195" t="s">
        <v>38</v>
      </c>
      <c r="N392" s="197">
        <v>28.9</v>
      </c>
      <c r="O392" s="209"/>
      <c r="P392" s="241" t="str">
        <f>VLOOKUP(Ruimtestaat[[#This Row],[Ruimte code]],Ruimtegroepen[#All],4,FALSE)</f>
        <v>B  (Bureauruimte)</v>
      </c>
      <c r="Q392" s="210"/>
      <c r="R392" s="211">
        <v>40</v>
      </c>
      <c r="S392" s="211" t="s">
        <v>2</v>
      </c>
      <c r="T392" s="211">
        <f>IF(R392&gt;0,IF(RIGHT(Ruimtestaat[[#This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92" s="211">
        <f>IF(T392&gt;0,VLOOKUP($J392,Ruimtegroepen[],3,FALSE)*VLOOKUP($L392,Vloersoorten[],3,FALSE)*VLOOKUP($S392,Frequenties[],3,FALSE)*VLOOKUP($A392,Locaties[],3,FALSE),0)</f>
        <v>100</v>
      </c>
      <c r="V392" s="211">
        <f>Ruimtestaat[[#This Row],[Uitvoeringen werkdagen]]*Ruimtestaat[[#This Row],[Oppervlak (netto)]]</f>
        <v>5780</v>
      </c>
      <c r="W392" s="257">
        <f>IF(U392&gt;0,Ruimtestaat[[#This Row],[Prest. (m2 /jaar) werkdagen]]/Ruimtestaat[[#This Row],[Norm (m2/uur) werkdagen]],0)</f>
        <v>57.8</v>
      </c>
      <c r="X392" s="258">
        <f>Ruimtestaat[[#This Row],[uren / jaar werkdagen]]*Tariefsopbouw!$D$38</f>
        <v>1445</v>
      </c>
      <c r="Y392" s="33"/>
      <c r="Z392" s="33">
        <f>IF(Ruimtestaat[[#This Row],[Frequentie weekend]]&gt;0,VALUE(LEFT(Y392,1))*R392,0)</f>
        <v>0</v>
      </c>
      <c r="AA392" s="33">
        <f>IF($Z392&gt;0,VLOOKUP($J392,Ruimtegroepen[],3,FALSE)*VLOOKUP($L392,Vloersoorten[],3,FALSE)*VLOOKUP($Y392,Frequenties[],3,FALSE)*VLOOKUP(#REF!,Locaties[],3,FALSE),0)</f>
        <v>0</v>
      </c>
      <c r="AB392" s="33"/>
      <c r="AC392" s="33"/>
      <c r="AD392" s="33">
        <f>Ruimtestaat[[#This Row],[uren / jaar weekend]]*Tariefsopbouw!$D$40</f>
        <v>0</v>
      </c>
      <c r="AE392" s="88">
        <f>Ruimtestaat[[#This Row],[Prest. (m2 /jaar) weekend]]+Ruimtestaat[[#This Row],[Prest. (m2 /jaar) werkdagen]]</f>
        <v>5780</v>
      </c>
      <c r="AF392" s="88">
        <f>Ruimtestaat[[#This Row],[uren / jaar weekend]]+Ruimtestaat[[#This Row],[uren / jaar werkdagen]]</f>
        <v>57.8</v>
      </c>
      <c r="AG392" s="89">
        <f>Ruimtestaat[[#This Row],[kosten / jaar weekend]]+Ruimtestaat[[#This Row],[kosten / jaar werkdagen]]</f>
        <v>1445</v>
      </c>
    </row>
    <row r="393" spans="1:33" ht="15" customHeight="1">
      <c r="A393" s="195">
        <v>4</v>
      </c>
      <c r="B393" s="195" t="str">
        <f>VLOOKUP(Ruimtestaat[[#This Row],[Code]],Locaties[#All],2,FALSE)</f>
        <v>Lichtenvoorde gebouw 3</v>
      </c>
      <c r="C393" s="241" t="str">
        <f>VLOOKUP(Ruimtestaat[[#This Row],[Code]],Locaties[#All],4,FALSE)</f>
        <v>Dr Ariensstraat 3</v>
      </c>
      <c r="D393" s="241" t="str">
        <f>VLOOKUP(Ruimtestaat[[#This Row],[Code]],Locaties[#All],5,FALSE)</f>
        <v>7131 XM </v>
      </c>
      <c r="E393" s="241" t="str">
        <f>VLOOKUP(Ruimtestaat[[#This Row],[Code]],Locaties[#All],6,FALSE)</f>
        <v>Lichtenvoorde</v>
      </c>
      <c r="F393" s="195" t="s">
        <v>780</v>
      </c>
      <c r="G393" s="195">
        <v>1</v>
      </c>
      <c r="H393" s="195">
        <v>450</v>
      </c>
      <c r="I393" s="242" t="s">
        <v>449</v>
      </c>
      <c r="J393" s="195">
        <v>2</v>
      </c>
      <c r="K393" s="260" t="str">
        <f>VLOOKUP(Ruimtestaat[[#This Row],[Ruimte code]],Ruimtegroepen[#All],2,FALSE)</f>
        <v>Kantoren</v>
      </c>
      <c r="L393" s="195" t="s">
        <v>109</v>
      </c>
      <c r="M393" s="195" t="s">
        <v>38</v>
      </c>
      <c r="N393" s="197">
        <v>19.8</v>
      </c>
      <c r="O393" s="209"/>
      <c r="P393" s="241" t="str">
        <f>VLOOKUP(Ruimtestaat[[#This Row],[Ruimte code]],Ruimtegroepen[#All],4,FALSE)</f>
        <v>B  (Bureauruimte)</v>
      </c>
      <c r="Q393" s="210"/>
      <c r="R393" s="211">
        <v>40</v>
      </c>
      <c r="S393" s="211" t="s">
        <v>2</v>
      </c>
      <c r="T393" s="211">
        <f>IF(R393&gt;0,IF(RIGHT(Ruimtestaat[[#This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93" s="211">
        <f>IF(T393&gt;0,VLOOKUP($J393,Ruimtegroepen[],3,FALSE)*VLOOKUP($L393,Vloersoorten[],3,FALSE)*VLOOKUP($S393,Frequenties[],3,FALSE)*VLOOKUP($A393,Locaties[],3,FALSE),0)</f>
        <v>100</v>
      </c>
      <c r="V393" s="211">
        <f>Ruimtestaat[[#This Row],[Uitvoeringen werkdagen]]*Ruimtestaat[[#This Row],[Oppervlak (netto)]]</f>
        <v>3960</v>
      </c>
      <c r="W393" s="257">
        <f>IF(U393&gt;0,Ruimtestaat[[#This Row],[Prest. (m2 /jaar) werkdagen]]/Ruimtestaat[[#This Row],[Norm (m2/uur) werkdagen]],0)</f>
        <v>39.6</v>
      </c>
      <c r="X393" s="258">
        <f>Ruimtestaat[[#This Row],[uren / jaar werkdagen]]*Tariefsopbouw!$D$38</f>
        <v>990</v>
      </c>
      <c r="Y393" s="33"/>
      <c r="Z393" s="33">
        <f>IF(Ruimtestaat[[#This Row],[Frequentie weekend]]&gt;0,VALUE(LEFT(Y393,1))*R393,0)</f>
        <v>0</v>
      </c>
      <c r="AA393" s="33">
        <f>IF($Z393&gt;0,VLOOKUP($J393,Ruimtegroepen[],3,FALSE)*VLOOKUP($L393,Vloersoorten[],3,FALSE)*VLOOKUP($Y393,Frequenties[],3,FALSE)*VLOOKUP(#REF!,Locaties[],3,FALSE),0)</f>
        <v>0</v>
      </c>
      <c r="AB393" s="33"/>
      <c r="AC393" s="33"/>
      <c r="AD393" s="33">
        <f>Ruimtestaat[[#This Row],[uren / jaar weekend]]*Tariefsopbouw!$D$40</f>
        <v>0</v>
      </c>
      <c r="AE393" s="88">
        <f>Ruimtestaat[[#This Row],[Prest. (m2 /jaar) weekend]]+Ruimtestaat[[#This Row],[Prest. (m2 /jaar) werkdagen]]</f>
        <v>3960</v>
      </c>
      <c r="AF393" s="88">
        <f>Ruimtestaat[[#This Row],[uren / jaar weekend]]+Ruimtestaat[[#This Row],[uren / jaar werkdagen]]</f>
        <v>39.6</v>
      </c>
      <c r="AG393" s="89">
        <f>Ruimtestaat[[#This Row],[kosten / jaar weekend]]+Ruimtestaat[[#This Row],[kosten / jaar werkdagen]]</f>
        <v>990</v>
      </c>
    </row>
    <row r="394" spans="1:33" ht="15" customHeight="1">
      <c r="A394" s="195">
        <v>4</v>
      </c>
      <c r="B394" s="195" t="str">
        <f>VLOOKUP(Ruimtestaat[[#This Row],[Code]],Locaties[#All],2,FALSE)</f>
        <v>Lichtenvoorde gebouw 3</v>
      </c>
      <c r="C394" s="241" t="str">
        <f>VLOOKUP(Ruimtestaat[[#This Row],[Code]],Locaties[#All],4,FALSE)</f>
        <v>Dr Ariensstraat 3</v>
      </c>
      <c r="D394" s="241" t="str">
        <f>VLOOKUP(Ruimtestaat[[#This Row],[Code]],Locaties[#All],5,FALSE)</f>
        <v>7131 XM </v>
      </c>
      <c r="E394" s="241" t="str">
        <f>VLOOKUP(Ruimtestaat[[#This Row],[Code]],Locaties[#All],6,FALSE)</f>
        <v>Lichtenvoorde</v>
      </c>
      <c r="F394" s="195" t="s">
        <v>780</v>
      </c>
      <c r="G394" s="195">
        <v>1</v>
      </c>
      <c r="H394" s="195">
        <v>451</v>
      </c>
      <c r="I394" s="242" t="s">
        <v>782</v>
      </c>
      <c r="J394" s="195">
        <v>6</v>
      </c>
      <c r="K394" s="260" t="str">
        <f>VLOOKUP(Ruimtestaat[[#This Row],[Ruimte code]],Ruimtegroepen[#All],2,FALSE)</f>
        <v>Gangen/hallen</v>
      </c>
      <c r="L394" s="195" t="s">
        <v>112</v>
      </c>
      <c r="M394" s="195" t="s">
        <v>130</v>
      </c>
      <c r="N394" s="197">
        <v>2.8</v>
      </c>
      <c r="O394" s="209"/>
      <c r="P394" s="241" t="str">
        <f>VLOOKUP(Ruimtestaat[[#This Row],[Ruimte code]],Ruimtegroepen[#All],4,FALSE)</f>
        <v>V  (Verkeersruimte)</v>
      </c>
      <c r="Q394" s="210"/>
      <c r="R394" s="211">
        <v>40</v>
      </c>
      <c r="S394" s="211" t="s">
        <v>2</v>
      </c>
      <c r="T394" s="211">
        <f>IF(R394&gt;0,IF(RIGHT(Ruimtestaat[[#This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94" s="211">
        <f>IF(T394&gt;0,VLOOKUP($J394,Ruimtegroepen[],3,FALSE)*VLOOKUP($L394,Vloersoorten[],3,FALSE)*VLOOKUP($S394,Frequenties[],3,FALSE)*VLOOKUP($A394,Locaties[],3,FALSE),0)</f>
        <v>100</v>
      </c>
      <c r="V394" s="211">
        <f>Ruimtestaat[[#This Row],[Uitvoeringen werkdagen]]*Ruimtestaat[[#This Row],[Oppervlak (netto)]]</f>
        <v>560</v>
      </c>
      <c r="W394" s="257">
        <f>IF(U394&gt;0,Ruimtestaat[[#This Row],[Prest. (m2 /jaar) werkdagen]]/Ruimtestaat[[#This Row],[Norm (m2/uur) werkdagen]],0)</f>
        <v>5.6</v>
      </c>
      <c r="X394" s="258">
        <f>Ruimtestaat[[#This Row],[uren / jaar werkdagen]]*Tariefsopbouw!$D$38</f>
        <v>140</v>
      </c>
      <c r="Y394" s="33"/>
      <c r="Z394" s="33">
        <f>IF(Ruimtestaat[[#This Row],[Frequentie weekend]]&gt;0,VALUE(LEFT(Y394,1))*R394,0)</f>
        <v>0</v>
      </c>
      <c r="AA394" s="33">
        <f>IF($Z394&gt;0,VLOOKUP($J394,Ruimtegroepen[],3,FALSE)*VLOOKUP($L394,Vloersoorten[],3,FALSE)*VLOOKUP($Y394,Frequenties[],3,FALSE)*VLOOKUP(#REF!,Locaties[],3,FALSE),0)</f>
        <v>0</v>
      </c>
      <c r="AB394" s="33"/>
      <c r="AC394" s="33"/>
      <c r="AD394" s="33">
        <f>Ruimtestaat[[#This Row],[uren / jaar weekend]]*Tariefsopbouw!$D$40</f>
        <v>0</v>
      </c>
      <c r="AE394" s="88">
        <f>Ruimtestaat[[#This Row],[Prest. (m2 /jaar) weekend]]+Ruimtestaat[[#This Row],[Prest. (m2 /jaar) werkdagen]]</f>
        <v>560</v>
      </c>
      <c r="AF394" s="88">
        <f>Ruimtestaat[[#This Row],[uren / jaar weekend]]+Ruimtestaat[[#This Row],[uren / jaar werkdagen]]</f>
        <v>5.6</v>
      </c>
      <c r="AG394" s="89">
        <f>Ruimtestaat[[#This Row],[kosten / jaar weekend]]+Ruimtestaat[[#This Row],[kosten / jaar werkdagen]]</f>
        <v>140</v>
      </c>
    </row>
    <row r="395" spans="1:33" ht="15" customHeight="1">
      <c r="A395" s="195">
        <v>4</v>
      </c>
      <c r="B395" s="195" t="str">
        <f>VLOOKUP(Ruimtestaat[[#This Row],[Code]],Locaties[#All],2,FALSE)</f>
        <v>Lichtenvoorde gebouw 3</v>
      </c>
      <c r="C395" s="241" t="str">
        <f>VLOOKUP(Ruimtestaat[[#This Row],[Code]],Locaties[#All],4,FALSE)</f>
        <v>Dr Ariensstraat 3</v>
      </c>
      <c r="D395" s="241" t="str">
        <f>VLOOKUP(Ruimtestaat[[#This Row],[Code]],Locaties[#All],5,FALSE)</f>
        <v>7131 XM </v>
      </c>
      <c r="E395" s="241" t="str">
        <f>VLOOKUP(Ruimtestaat[[#This Row],[Code]],Locaties[#All],6,FALSE)</f>
        <v>Lichtenvoorde</v>
      </c>
      <c r="F395" s="195" t="s">
        <v>780</v>
      </c>
      <c r="G395" s="195">
        <v>1</v>
      </c>
      <c r="H395" s="195">
        <v>452</v>
      </c>
      <c r="I395" s="242" t="s">
        <v>449</v>
      </c>
      <c r="J395" s="195">
        <v>2</v>
      </c>
      <c r="K395" s="260" t="str">
        <f>VLOOKUP(Ruimtestaat[[#This Row],[Ruimte code]],Ruimtegroepen[#All],2,FALSE)</f>
        <v>Kantoren</v>
      </c>
      <c r="L395" s="195" t="s">
        <v>109</v>
      </c>
      <c r="M395" s="195" t="s">
        <v>38</v>
      </c>
      <c r="N395" s="197">
        <v>18.399999999999999</v>
      </c>
      <c r="O395" s="209"/>
      <c r="P395" s="241" t="str">
        <f>VLOOKUP(Ruimtestaat[[#This Row],[Ruimte code]],Ruimtegroepen[#All],4,FALSE)</f>
        <v>B  (Bureauruimte)</v>
      </c>
      <c r="Q395" s="210"/>
      <c r="R395" s="211">
        <v>40</v>
      </c>
      <c r="S395" s="211" t="s">
        <v>2</v>
      </c>
      <c r="T395" s="211">
        <f>IF(R395&gt;0,IF(RIGHT(Ruimtestaat[[#This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95" s="211">
        <f>IF(T395&gt;0,VLOOKUP($J395,Ruimtegroepen[],3,FALSE)*VLOOKUP($L395,Vloersoorten[],3,FALSE)*VLOOKUP($S395,Frequenties[],3,FALSE)*VLOOKUP($A395,Locaties[],3,FALSE),0)</f>
        <v>100</v>
      </c>
      <c r="V395" s="211">
        <f>Ruimtestaat[[#This Row],[Uitvoeringen werkdagen]]*Ruimtestaat[[#This Row],[Oppervlak (netto)]]</f>
        <v>3679.9999999999995</v>
      </c>
      <c r="W395" s="257">
        <f>IF(U395&gt;0,Ruimtestaat[[#This Row],[Prest. (m2 /jaar) werkdagen]]/Ruimtestaat[[#This Row],[Norm (m2/uur) werkdagen]],0)</f>
        <v>36.799999999999997</v>
      </c>
      <c r="X395" s="258">
        <f>Ruimtestaat[[#This Row],[uren / jaar werkdagen]]*Tariefsopbouw!$D$38</f>
        <v>919.99999999999989</v>
      </c>
      <c r="Y395" s="33"/>
      <c r="Z395" s="33">
        <f>IF(Ruimtestaat[[#This Row],[Frequentie weekend]]&gt;0,VALUE(LEFT(Y395,1))*R395,0)</f>
        <v>0</v>
      </c>
      <c r="AA395" s="33">
        <f>IF($Z395&gt;0,VLOOKUP($J395,Ruimtegroepen[],3,FALSE)*VLOOKUP($L395,Vloersoorten[],3,FALSE)*VLOOKUP($Y395,Frequenties[],3,FALSE)*VLOOKUP(#REF!,Locaties[],3,FALSE),0)</f>
        <v>0</v>
      </c>
      <c r="AB395" s="33"/>
      <c r="AC395" s="33"/>
      <c r="AD395" s="33">
        <f>Ruimtestaat[[#This Row],[uren / jaar weekend]]*Tariefsopbouw!$D$40</f>
        <v>0</v>
      </c>
      <c r="AE395" s="88">
        <f>Ruimtestaat[[#This Row],[Prest. (m2 /jaar) weekend]]+Ruimtestaat[[#This Row],[Prest. (m2 /jaar) werkdagen]]</f>
        <v>3679.9999999999995</v>
      </c>
      <c r="AF395" s="88">
        <f>Ruimtestaat[[#This Row],[uren / jaar weekend]]+Ruimtestaat[[#This Row],[uren / jaar werkdagen]]</f>
        <v>36.799999999999997</v>
      </c>
      <c r="AG395" s="89">
        <f>Ruimtestaat[[#This Row],[kosten / jaar weekend]]+Ruimtestaat[[#This Row],[kosten / jaar werkdagen]]</f>
        <v>919.99999999999989</v>
      </c>
    </row>
    <row r="396" spans="1:33" ht="15" customHeight="1">
      <c r="A396" s="195">
        <v>4</v>
      </c>
      <c r="B396" s="195" t="str">
        <f>VLOOKUP(Ruimtestaat[[#This Row],[Code]],Locaties[#All],2,FALSE)</f>
        <v>Lichtenvoorde gebouw 3</v>
      </c>
      <c r="C396" s="241" t="str">
        <f>VLOOKUP(Ruimtestaat[[#This Row],[Code]],Locaties[#All],4,FALSE)</f>
        <v>Dr Ariensstraat 3</v>
      </c>
      <c r="D396" s="241" t="str">
        <f>VLOOKUP(Ruimtestaat[[#This Row],[Code]],Locaties[#All],5,FALSE)</f>
        <v>7131 XM </v>
      </c>
      <c r="E396" s="241" t="str">
        <f>VLOOKUP(Ruimtestaat[[#This Row],[Code]],Locaties[#All],6,FALSE)</f>
        <v>Lichtenvoorde</v>
      </c>
      <c r="F396" s="195" t="s">
        <v>780</v>
      </c>
      <c r="G396" s="195">
        <v>1</v>
      </c>
      <c r="H396" s="195">
        <v>453</v>
      </c>
      <c r="I396" s="242" t="s">
        <v>449</v>
      </c>
      <c r="J396" s="195">
        <v>2</v>
      </c>
      <c r="K396" s="260" t="str">
        <f>VLOOKUP(Ruimtestaat[[#This Row],[Ruimte code]],Ruimtegroepen[#All],2,FALSE)</f>
        <v>Kantoren</v>
      </c>
      <c r="L396" s="195" t="s">
        <v>109</v>
      </c>
      <c r="M396" s="195" t="s">
        <v>38</v>
      </c>
      <c r="N396" s="197">
        <v>33.6</v>
      </c>
      <c r="O396" s="209"/>
      <c r="P396" s="241" t="str">
        <f>VLOOKUP(Ruimtestaat[[#This Row],[Ruimte code]],Ruimtegroepen[#All],4,FALSE)</f>
        <v>B  (Bureauruimte)</v>
      </c>
      <c r="Q396" s="210"/>
      <c r="R396" s="211">
        <v>40</v>
      </c>
      <c r="S396" s="211" t="s">
        <v>2</v>
      </c>
      <c r="T396" s="211">
        <f>IF(R396&gt;0,IF(RIGHT(Ruimtestaat[[#This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396" s="211">
        <f>IF(T396&gt;0,VLOOKUP($J396,Ruimtegroepen[],3,FALSE)*VLOOKUP($L396,Vloersoorten[],3,FALSE)*VLOOKUP($S396,Frequenties[],3,FALSE)*VLOOKUP($A396,Locaties[],3,FALSE),0)</f>
        <v>100</v>
      </c>
      <c r="V396" s="211">
        <f>Ruimtestaat[[#This Row],[Uitvoeringen werkdagen]]*Ruimtestaat[[#This Row],[Oppervlak (netto)]]</f>
        <v>6720</v>
      </c>
      <c r="W396" s="257">
        <f>IF(U396&gt;0,Ruimtestaat[[#This Row],[Prest. (m2 /jaar) werkdagen]]/Ruimtestaat[[#This Row],[Norm (m2/uur) werkdagen]],0)</f>
        <v>67.2</v>
      </c>
      <c r="X396" s="258">
        <f>Ruimtestaat[[#This Row],[uren / jaar werkdagen]]*Tariefsopbouw!$D$38</f>
        <v>1680</v>
      </c>
      <c r="Y396" s="33"/>
      <c r="Z396" s="33">
        <f>IF(Ruimtestaat[[#This Row],[Frequentie weekend]]&gt;0,VALUE(LEFT(Y396,1))*R396,0)</f>
        <v>0</v>
      </c>
      <c r="AA396" s="33">
        <f>IF($Z396&gt;0,VLOOKUP($J396,Ruimtegroepen[],3,FALSE)*VLOOKUP($L396,Vloersoorten[],3,FALSE)*VLOOKUP($Y396,Frequenties[],3,FALSE)*VLOOKUP(#REF!,Locaties[],3,FALSE),0)</f>
        <v>0</v>
      </c>
      <c r="AB396" s="33"/>
      <c r="AC396" s="33"/>
      <c r="AD396" s="33">
        <f>Ruimtestaat[[#This Row],[uren / jaar weekend]]*Tariefsopbouw!$D$40</f>
        <v>0</v>
      </c>
      <c r="AE396" s="88">
        <f>Ruimtestaat[[#This Row],[Prest. (m2 /jaar) weekend]]+Ruimtestaat[[#This Row],[Prest. (m2 /jaar) werkdagen]]</f>
        <v>6720</v>
      </c>
      <c r="AF396" s="88">
        <f>Ruimtestaat[[#This Row],[uren / jaar weekend]]+Ruimtestaat[[#This Row],[uren / jaar werkdagen]]</f>
        <v>67.2</v>
      </c>
      <c r="AG396" s="89">
        <f>Ruimtestaat[[#This Row],[kosten / jaar weekend]]+Ruimtestaat[[#This Row],[kosten / jaar werkdagen]]</f>
        <v>1680</v>
      </c>
    </row>
    <row r="397" spans="1:33" ht="15" customHeight="1">
      <c r="A397" s="195">
        <v>4</v>
      </c>
      <c r="B397" s="195" t="str">
        <f>VLOOKUP(Ruimtestaat[[#This Row],[Code]],Locaties[#All],2,FALSE)</f>
        <v>Lichtenvoorde gebouw 3</v>
      </c>
      <c r="C397" s="241" t="str">
        <f>VLOOKUP(Ruimtestaat[[#This Row],[Code]],Locaties[#All],4,FALSE)</f>
        <v>Dr Ariensstraat 3</v>
      </c>
      <c r="D397" s="241" t="str">
        <f>VLOOKUP(Ruimtestaat[[#This Row],[Code]],Locaties[#All],5,FALSE)</f>
        <v>7131 XM </v>
      </c>
      <c r="E397" s="241" t="str">
        <f>VLOOKUP(Ruimtestaat[[#This Row],[Code]],Locaties[#All],6,FALSE)</f>
        <v>Lichtenvoorde</v>
      </c>
      <c r="F397" s="195" t="s">
        <v>780</v>
      </c>
      <c r="G397" s="195">
        <v>1</v>
      </c>
      <c r="H397" s="195">
        <v>454</v>
      </c>
      <c r="I397" s="242" t="s">
        <v>820</v>
      </c>
      <c r="J397" s="195">
        <v>2</v>
      </c>
      <c r="K397" s="260" t="str">
        <f>VLOOKUP(Ruimtestaat[[#This Row],[Ruimte code]],Ruimtegroepen[#All],2,FALSE)</f>
        <v>Kantoren</v>
      </c>
      <c r="L397" s="211" t="s">
        <v>109</v>
      </c>
      <c r="M397" s="195" t="s">
        <v>38</v>
      </c>
      <c r="N397" s="197">
        <v>43.4</v>
      </c>
      <c r="O397" s="209"/>
      <c r="P397" s="241" t="str">
        <f>VLOOKUP(Ruimtestaat[[#This Row],[Ruimte code]],Ruimtegroepen[#All],4,FALSE)</f>
        <v>B  (Bureauruimte)</v>
      </c>
      <c r="Q397" s="210"/>
      <c r="R397" s="211">
        <v>40</v>
      </c>
      <c r="S397" s="211" t="s">
        <v>18</v>
      </c>
      <c r="T397" s="211">
        <f>IF(R397&gt;0,IF(RIGHT(Ruimtestaat[[#This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U397" s="211">
        <f>IF(T397&gt;0,VLOOKUP($J397,Ruimtegroepen[],3,FALSE)*VLOOKUP($L397,Vloersoorten[],3,FALSE)*VLOOKUP($S397,Frequenties[],3,FALSE)*VLOOKUP($A397,Locaties[],3,FALSE),0)</f>
        <v>100</v>
      </c>
      <c r="V397" s="211">
        <f>Ruimtestaat[[#This Row],[Uitvoeringen werkdagen]]*Ruimtestaat[[#This Row],[Oppervlak (netto)]]</f>
        <v>5208</v>
      </c>
      <c r="W397" s="257">
        <f>IF(U397&gt;0,Ruimtestaat[[#This Row],[Prest. (m2 /jaar) werkdagen]]/Ruimtestaat[[#This Row],[Norm (m2/uur) werkdagen]],0)</f>
        <v>52.08</v>
      </c>
      <c r="X397" s="258">
        <f>Ruimtestaat[[#This Row],[uren / jaar werkdagen]]*Tariefsopbouw!$D$38</f>
        <v>1302</v>
      </c>
      <c r="Y397" s="33"/>
      <c r="Z397" s="33">
        <f>IF(Ruimtestaat[[#This Row],[Frequentie weekend]]&gt;0,VALUE(LEFT(Y397,1))*R397,0)</f>
        <v>0</v>
      </c>
      <c r="AA397" s="33">
        <f>IF($Z397&gt;0,VLOOKUP($J397,Ruimtegroepen[],3,FALSE)*VLOOKUP($L397,Vloersoorten[],3,FALSE)*VLOOKUP($Y397,Frequenties[],3,FALSE)*VLOOKUP(#REF!,Locaties[],3,FALSE),0)</f>
        <v>0</v>
      </c>
      <c r="AB397" s="33"/>
      <c r="AC397" s="33"/>
      <c r="AD397" s="33">
        <f>Ruimtestaat[[#This Row],[uren / jaar weekend]]*Tariefsopbouw!$D$40</f>
        <v>0</v>
      </c>
      <c r="AE397" s="88">
        <f>Ruimtestaat[[#This Row],[Prest. (m2 /jaar) weekend]]+Ruimtestaat[[#This Row],[Prest. (m2 /jaar) werkdagen]]</f>
        <v>5208</v>
      </c>
      <c r="AF397" s="88">
        <f>Ruimtestaat[[#This Row],[uren / jaar weekend]]+Ruimtestaat[[#This Row],[uren / jaar werkdagen]]</f>
        <v>52.08</v>
      </c>
      <c r="AG397" s="89">
        <f>Ruimtestaat[[#This Row],[kosten / jaar weekend]]+Ruimtestaat[[#This Row],[kosten / jaar werkdagen]]</f>
        <v>1302</v>
      </c>
    </row>
    <row r="398" spans="1:33" ht="15" customHeight="1">
      <c r="A398" s="195">
        <v>4</v>
      </c>
      <c r="B398" s="195" t="str">
        <f>VLOOKUP(Ruimtestaat[[#This Row],[Code]],Locaties[#All],2,FALSE)</f>
        <v>Lichtenvoorde gebouw 3</v>
      </c>
      <c r="C398" s="241" t="str">
        <f>VLOOKUP(Ruimtestaat[[#This Row],[Code]],Locaties[#All],4,FALSE)</f>
        <v>Dr Ariensstraat 3</v>
      </c>
      <c r="D398" s="241" t="str">
        <f>VLOOKUP(Ruimtestaat[[#This Row],[Code]],Locaties[#All],5,FALSE)</f>
        <v>7131 XM </v>
      </c>
      <c r="E398" s="241" t="str">
        <f>VLOOKUP(Ruimtestaat[[#This Row],[Code]],Locaties[#All],6,FALSE)</f>
        <v>Lichtenvoorde</v>
      </c>
      <c r="F398" s="195" t="s">
        <v>780</v>
      </c>
      <c r="G398" s="195" t="s">
        <v>776</v>
      </c>
      <c r="H398" s="195" t="s">
        <v>640</v>
      </c>
      <c r="I398" s="242" t="s">
        <v>832</v>
      </c>
      <c r="J398" s="195">
        <v>3</v>
      </c>
      <c r="K398" s="260" t="str">
        <f>VLOOKUP(Ruimtestaat[[#This Row],[Ruimte code]],Ruimtegroepen[#All],2,FALSE)</f>
        <v>Reproruimte</v>
      </c>
      <c r="L398" s="195" t="s">
        <v>112</v>
      </c>
      <c r="M398" s="195" t="s">
        <v>130</v>
      </c>
      <c r="N398" s="197">
        <v>9.9600000000000009</v>
      </c>
      <c r="O398" s="209"/>
      <c r="P398" s="241" t="str">
        <f>VLOOKUP(Ruimtestaat[[#This Row],[Ruimte code]],Ruimtegroepen[#All],4,FALSE)</f>
        <v>V  (Verkeersruimte)</v>
      </c>
      <c r="Q398" s="210"/>
      <c r="R398" s="211">
        <v>40</v>
      </c>
      <c r="S398" s="211" t="s">
        <v>18</v>
      </c>
      <c r="T398" s="211">
        <f>IF(R398&gt;0,IF(RIGHT(Ruimtestaat[[#This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U398" s="211">
        <f>IF(T398&gt;0,VLOOKUP($J398,Ruimtegroepen[],3,FALSE)*VLOOKUP($L398,Vloersoorten[],3,FALSE)*VLOOKUP($S398,Frequenties[],3,FALSE)*VLOOKUP($A398,Locaties[],3,FALSE),0)</f>
        <v>100</v>
      </c>
      <c r="V398" s="211">
        <f>Ruimtestaat[[#This Row],[Uitvoeringen werkdagen]]*Ruimtestaat[[#This Row],[Oppervlak (netto)]]</f>
        <v>1195.2</v>
      </c>
      <c r="W398" s="257">
        <f>IF(U398&gt;0,Ruimtestaat[[#This Row],[Prest. (m2 /jaar) werkdagen]]/Ruimtestaat[[#This Row],[Norm (m2/uur) werkdagen]],0)</f>
        <v>11.952</v>
      </c>
      <c r="X398" s="258">
        <f>Ruimtestaat[[#This Row],[uren / jaar werkdagen]]*Tariefsopbouw!$D$38</f>
        <v>298.8</v>
      </c>
      <c r="Y398" s="33"/>
      <c r="Z398" s="33">
        <f>IF(Ruimtestaat[[#This Row],[Frequentie weekend]]&gt;0,VALUE(LEFT(Y398,1))*R398,0)</f>
        <v>0</v>
      </c>
      <c r="AA398" s="33">
        <f>IF($Z398&gt;0,VLOOKUP($J398,Ruimtegroepen[],3,FALSE)*VLOOKUP($L398,Vloersoorten[],3,FALSE)*VLOOKUP($Y398,Frequenties[],3,FALSE)*VLOOKUP(#REF!,Locaties[],3,FALSE),0)</f>
        <v>0</v>
      </c>
      <c r="AB398" s="33"/>
      <c r="AC398" s="33"/>
      <c r="AD398" s="33">
        <f>Ruimtestaat[[#This Row],[uren / jaar weekend]]*Tariefsopbouw!$D$40</f>
        <v>0</v>
      </c>
      <c r="AE398" s="88">
        <f>Ruimtestaat[[#This Row],[Prest. (m2 /jaar) weekend]]+Ruimtestaat[[#This Row],[Prest. (m2 /jaar) werkdagen]]</f>
        <v>1195.2</v>
      </c>
      <c r="AF398" s="88">
        <f>Ruimtestaat[[#This Row],[uren / jaar weekend]]+Ruimtestaat[[#This Row],[uren / jaar werkdagen]]</f>
        <v>11.952</v>
      </c>
      <c r="AG398" s="89">
        <f>Ruimtestaat[[#This Row],[kosten / jaar weekend]]+Ruimtestaat[[#This Row],[kosten / jaar werkdagen]]</f>
        <v>298.8</v>
      </c>
    </row>
    <row r="399" spans="1:33" ht="15" customHeight="1">
      <c r="A399" s="195">
        <v>4</v>
      </c>
      <c r="B399" s="195" t="str">
        <f>VLOOKUP(Ruimtestaat[[#This Row],[Code]],Locaties[#All],2,FALSE)</f>
        <v>Lichtenvoorde gebouw 3</v>
      </c>
      <c r="C399" s="241" t="str">
        <f>VLOOKUP(Ruimtestaat[[#This Row],[Code]],Locaties[#All],4,FALSE)</f>
        <v>Dr Ariensstraat 3</v>
      </c>
      <c r="D399" s="241" t="str">
        <f>VLOOKUP(Ruimtestaat[[#This Row],[Code]],Locaties[#All],5,FALSE)</f>
        <v>7131 XM </v>
      </c>
      <c r="E399" s="241" t="str">
        <f>VLOOKUP(Ruimtestaat[[#This Row],[Code]],Locaties[#All],6,FALSE)</f>
        <v>Lichtenvoorde</v>
      </c>
      <c r="F399" s="195" t="s">
        <v>780</v>
      </c>
      <c r="G399" s="195" t="s">
        <v>776</v>
      </c>
      <c r="H399" s="195" t="s">
        <v>641</v>
      </c>
      <c r="I399" s="242" t="s">
        <v>820</v>
      </c>
      <c r="J399" s="195">
        <v>2</v>
      </c>
      <c r="K399" s="260" t="str">
        <f>VLOOKUP(Ruimtestaat[[#This Row],[Ruimte code]],Ruimtegroepen[#All],2,FALSE)</f>
        <v>Kantoren</v>
      </c>
      <c r="L399" s="211" t="s">
        <v>112</v>
      </c>
      <c r="M399" s="195" t="s">
        <v>130</v>
      </c>
      <c r="N399" s="197">
        <v>19.579999999999998</v>
      </c>
      <c r="O399" s="209"/>
      <c r="P399" s="241" t="str">
        <f>VLOOKUP(Ruimtestaat[[#This Row],[Ruimte code]],Ruimtegroepen[#All],4,FALSE)</f>
        <v>B  (Bureauruimte)</v>
      </c>
      <c r="Q399" s="210"/>
      <c r="R399" s="211">
        <v>40</v>
      </c>
      <c r="S399" s="211" t="s">
        <v>18</v>
      </c>
      <c r="T399" s="211">
        <f>IF(R399&gt;0,IF(RIGHT(Ruimtestaat[[#This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U399" s="211">
        <f>IF(T399&gt;0,VLOOKUP($J399,Ruimtegroepen[],3,FALSE)*VLOOKUP($L399,Vloersoorten[],3,FALSE)*VLOOKUP($S399,Frequenties[],3,FALSE)*VLOOKUP($A399,Locaties[],3,FALSE),0)</f>
        <v>100</v>
      </c>
      <c r="V399" s="211">
        <f>Ruimtestaat[[#This Row],[Uitvoeringen werkdagen]]*Ruimtestaat[[#This Row],[Oppervlak (netto)]]</f>
        <v>2349.6</v>
      </c>
      <c r="W399" s="257">
        <f>IF(U399&gt;0,Ruimtestaat[[#This Row],[Prest. (m2 /jaar) werkdagen]]/Ruimtestaat[[#This Row],[Norm (m2/uur) werkdagen]],0)</f>
        <v>23.495999999999999</v>
      </c>
      <c r="X399" s="258">
        <f>Ruimtestaat[[#This Row],[uren / jaar werkdagen]]*Tariefsopbouw!$D$38</f>
        <v>587.4</v>
      </c>
      <c r="Y399" s="33"/>
      <c r="Z399" s="33">
        <f>IF(Ruimtestaat[[#This Row],[Frequentie weekend]]&gt;0,VALUE(LEFT(Y399,1))*R399,0)</f>
        <v>0</v>
      </c>
      <c r="AA399" s="33">
        <f>IF($Z399&gt;0,VLOOKUP($J399,Ruimtegroepen[],3,FALSE)*VLOOKUP($L399,Vloersoorten[],3,FALSE)*VLOOKUP($Y399,Frequenties[],3,FALSE)*VLOOKUP(#REF!,Locaties[],3,FALSE),0)</f>
        <v>0</v>
      </c>
      <c r="AB399" s="33"/>
      <c r="AC399" s="33"/>
      <c r="AD399" s="33">
        <f>Ruimtestaat[[#This Row],[uren / jaar weekend]]*Tariefsopbouw!$D$40</f>
        <v>0</v>
      </c>
      <c r="AE399" s="88">
        <f>Ruimtestaat[[#This Row],[Prest. (m2 /jaar) weekend]]+Ruimtestaat[[#This Row],[Prest. (m2 /jaar) werkdagen]]</f>
        <v>2349.6</v>
      </c>
      <c r="AF399" s="88">
        <f>Ruimtestaat[[#This Row],[uren / jaar weekend]]+Ruimtestaat[[#This Row],[uren / jaar werkdagen]]</f>
        <v>23.495999999999999</v>
      </c>
      <c r="AG399" s="89">
        <f>Ruimtestaat[[#This Row],[kosten / jaar weekend]]+Ruimtestaat[[#This Row],[kosten / jaar werkdagen]]</f>
        <v>587.4</v>
      </c>
    </row>
    <row r="400" spans="1:33" ht="15" customHeight="1">
      <c r="A400" s="195">
        <v>4</v>
      </c>
      <c r="B400" s="195" t="str">
        <f>VLOOKUP(Ruimtestaat[[#This Row],[Code]],Locaties[#All],2,FALSE)</f>
        <v>Lichtenvoorde gebouw 3</v>
      </c>
      <c r="C400" s="241" t="str">
        <f>VLOOKUP(Ruimtestaat[[#This Row],[Code]],Locaties[#All],4,FALSE)</f>
        <v>Dr Ariensstraat 3</v>
      </c>
      <c r="D400" s="241" t="str">
        <f>VLOOKUP(Ruimtestaat[[#This Row],[Code]],Locaties[#All],5,FALSE)</f>
        <v>7131 XM </v>
      </c>
      <c r="E400" s="241" t="str">
        <f>VLOOKUP(Ruimtestaat[[#This Row],[Code]],Locaties[#All],6,FALSE)</f>
        <v>Lichtenvoorde</v>
      </c>
      <c r="F400" s="195" t="s">
        <v>780</v>
      </c>
      <c r="G400" s="195" t="s">
        <v>776</v>
      </c>
      <c r="H400" s="195" t="s">
        <v>642</v>
      </c>
      <c r="I400" s="242" t="s">
        <v>441</v>
      </c>
      <c r="J400" s="195">
        <v>1</v>
      </c>
      <c r="K400" s="260" t="str">
        <f>VLOOKUP(Ruimtestaat[[#This Row],[Ruimte code]],Ruimtegroepen[#All],2,FALSE)</f>
        <v>Magazijnen/bergingen</v>
      </c>
      <c r="L400" s="195" t="s">
        <v>112</v>
      </c>
      <c r="M400" s="195" t="s">
        <v>130</v>
      </c>
      <c r="N400" s="197">
        <v>6.58</v>
      </c>
      <c r="O400" s="209"/>
      <c r="P400" s="241" t="str">
        <f>VLOOKUP(Ruimtestaat[[#This Row],[Ruimte code]],Ruimtegroepen[#All],4,FALSE)</f>
        <v>V  (Verkeersruimte)</v>
      </c>
      <c r="Q400" s="210"/>
      <c r="R400" s="211">
        <v>40</v>
      </c>
      <c r="S400" s="211" t="s">
        <v>16</v>
      </c>
      <c r="T400" s="211">
        <f>IF(R400&gt;0,IF(RIGHT(Ruimtestaat[[#This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U400" s="211">
        <f>IF(T400&gt;0,VLOOKUP($J400,Ruimtegroepen[],3,FALSE)*VLOOKUP($L400,Vloersoorten[],3,FALSE)*VLOOKUP($S400,Frequenties[],3,FALSE)*VLOOKUP($A400,Locaties[],3,FALSE),0)</f>
        <v>100</v>
      </c>
      <c r="V400" s="211">
        <f>Ruimtestaat[[#This Row],[Uitvoeringen werkdagen]]*Ruimtestaat[[#This Row],[Oppervlak (netto)]]</f>
        <v>78.960000000000008</v>
      </c>
      <c r="W400" s="257">
        <f>IF(U400&gt;0,Ruimtestaat[[#This Row],[Prest. (m2 /jaar) werkdagen]]/Ruimtestaat[[#This Row],[Norm (m2/uur) werkdagen]],0)</f>
        <v>0.78960000000000008</v>
      </c>
      <c r="X400" s="258">
        <f>Ruimtestaat[[#This Row],[uren / jaar werkdagen]]*Tariefsopbouw!$D$38</f>
        <v>19.740000000000002</v>
      </c>
      <c r="Y400" s="33"/>
      <c r="Z400" s="33">
        <f>IF(Ruimtestaat[[#This Row],[Frequentie weekend]]&gt;0,VALUE(LEFT(Y400,1))*R400,0)</f>
        <v>0</v>
      </c>
      <c r="AA400" s="33">
        <f>IF($Z400&gt;0,VLOOKUP($J400,Ruimtegroepen[],3,FALSE)*VLOOKUP($L400,Vloersoorten[],3,FALSE)*VLOOKUP($Y400,Frequenties[],3,FALSE)*VLOOKUP(#REF!,Locaties[],3,FALSE),0)</f>
        <v>0</v>
      </c>
      <c r="AB400" s="33"/>
      <c r="AC400" s="33"/>
      <c r="AD400" s="33">
        <f>Ruimtestaat[[#This Row],[uren / jaar weekend]]*Tariefsopbouw!$D$40</f>
        <v>0</v>
      </c>
      <c r="AE400" s="88">
        <f>Ruimtestaat[[#This Row],[Prest. (m2 /jaar) weekend]]+Ruimtestaat[[#This Row],[Prest. (m2 /jaar) werkdagen]]</f>
        <v>78.960000000000008</v>
      </c>
      <c r="AF400" s="88">
        <f>Ruimtestaat[[#This Row],[uren / jaar weekend]]+Ruimtestaat[[#This Row],[uren / jaar werkdagen]]</f>
        <v>0.78960000000000008</v>
      </c>
      <c r="AG400" s="89">
        <f>Ruimtestaat[[#This Row],[kosten / jaar weekend]]+Ruimtestaat[[#This Row],[kosten / jaar werkdagen]]</f>
        <v>19.740000000000002</v>
      </c>
    </row>
    <row r="401" spans="1:33" ht="15" customHeight="1">
      <c r="A401" s="195">
        <v>4</v>
      </c>
      <c r="B401" s="195" t="str">
        <f>VLOOKUP(Ruimtestaat[[#This Row],[Code]],Locaties[#All],2,FALSE)</f>
        <v>Lichtenvoorde gebouw 3</v>
      </c>
      <c r="C401" s="241" t="str">
        <f>VLOOKUP(Ruimtestaat[[#This Row],[Code]],Locaties[#All],4,FALSE)</f>
        <v>Dr Ariensstraat 3</v>
      </c>
      <c r="D401" s="241" t="str">
        <f>VLOOKUP(Ruimtestaat[[#This Row],[Code]],Locaties[#All],5,FALSE)</f>
        <v>7131 XM </v>
      </c>
      <c r="E401" s="241" t="str">
        <f>VLOOKUP(Ruimtestaat[[#This Row],[Code]],Locaties[#All],6,FALSE)</f>
        <v>Lichtenvoorde</v>
      </c>
      <c r="F401" s="195" t="s">
        <v>780</v>
      </c>
      <c r="G401" s="195" t="s">
        <v>776</v>
      </c>
      <c r="H401" s="195" t="s">
        <v>781</v>
      </c>
      <c r="I401" s="242" t="s">
        <v>441</v>
      </c>
      <c r="J401" s="195">
        <v>1</v>
      </c>
      <c r="K401" s="260" t="str">
        <f>VLOOKUP(Ruimtestaat[[#This Row],[Ruimte code]],Ruimtegroepen[#All],2,FALSE)</f>
        <v>Magazijnen/bergingen</v>
      </c>
      <c r="L401" s="195" t="s">
        <v>109</v>
      </c>
      <c r="M401" s="195" t="s">
        <v>38</v>
      </c>
      <c r="N401" s="197">
        <v>8.4</v>
      </c>
      <c r="O401" s="209"/>
      <c r="P401" s="241" t="str">
        <f>VLOOKUP(Ruimtestaat[[#This Row],[Ruimte code]],Ruimtegroepen[#All],4,FALSE)</f>
        <v>V  (Verkeersruimte)</v>
      </c>
      <c r="Q401" s="210"/>
      <c r="R401" s="211">
        <v>40</v>
      </c>
      <c r="S401" s="211" t="s">
        <v>16</v>
      </c>
      <c r="T401" s="211">
        <f>IF(R401&gt;0,IF(RIGHT(Ruimtestaat[[#This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U401" s="211">
        <f>IF(T401&gt;0,VLOOKUP($J401,Ruimtegroepen[],3,FALSE)*VLOOKUP($L401,Vloersoorten[],3,FALSE)*VLOOKUP($S401,Frequenties[],3,FALSE)*VLOOKUP($A401,Locaties[],3,FALSE),0)</f>
        <v>100</v>
      </c>
      <c r="V401" s="211">
        <f>Ruimtestaat[[#This Row],[Uitvoeringen werkdagen]]*Ruimtestaat[[#This Row],[Oppervlak (netto)]]</f>
        <v>100.80000000000001</v>
      </c>
      <c r="W401" s="257">
        <f>IF(U401&gt;0,Ruimtestaat[[#This Row],[Prest. (m2 /jaar) werkdagen]]/Ruimtestaat[[#This Row],[Norm (m2/uur) werkdagen]],0)</f>
        <v>1.008</v>
      </c>
      <c r="X401" s="258">
        <f>Ruimtestaat[[#This Row],[uren / jaar werkdagen]]*Tariefsopbouw!$D$38</f>
        <v>25.2</v>
      </c>
      <c r="Y401" s="33"/>
      <c r="Z401" s="33">
        <f>IF(Ruimtestaat[[#This Row],[Frequentie weekend]]&gt;0,VALUE(LEFT(Y401,1))*R401,0)</f>
        <v>0</v>
      </c>
      <c r="AA401" s="33">
        <f>IF($Z401&gt;0,VLOOKUP($J401,Ruimtegroepen[],3,FALSE)*VLOOKUP($L401,Vloersoorten[],3,FALSE)*VLOOKUP($Y401,Frequenties[],3,FALSE)*VLOOKUP(#REF!,Locaties[],3,FALSE),0)</f>
        <v>0</v>
      </c>
      <c r="AB401" s="33"/>
      <c r="AC401" s="33"/>
      <c r="AD401" s="33">
        <f>Ruimtestaat[[#This Row],[uren / jaar weekend]]*Tariefsopbouw!$D$40</f>
        <v>0</v>
      </c>
      <c r="AE401" s="88">
        <f>Ruimtestaat[[#This Row],[Prest. (m2 /jaar) weekend]]+Ruimtestaat[[#This Row],[Prest. (m2 /jaar) werkdagen]]</f>
        <v>100.80000000000001</v>
      </c>
      <c r="AF401" s="88">
        <f>Ruimtestaat[[#This Row],[uren / jaar weekend]]+Ruimtestaat[[#This Row],[uren / jaar werkdagen]]</f>
        <v>1.008</v>
      </c>
      <c r="AG401" s="89">
        <f>Ruimtestaat[[#This Row],[kosten / jaar weekend]]+Ruimtestaat[[#This Row],[kosten / jaar werkdagen]]</f>
        <v>25.2</v>
      </c>
    </row>
    <row r="402" spans="1:33" ht="15" customHeight="1">
      <c r="A402" s="195">
        <v>4</v>
      </c>
      <c r="B402" s="195" t="str">
        <f>VLOOKUP(Ruimtestaat[[#This Row],[Code]],Locaties[#All],2,FALSE)</f>
        <v>Lichtenvoorde gebouw 3</v>
      </c>
      <c r="C402" s="241" t="str">
        <f>VLOOKUP(Ruimtestaat[[#This Row],[Code]],Locaties[#All],4,FALSE)</f>
        <v>Dr Ariensstraat 3</v>
      </c>
      <c r="D402" s="241" t="str">
        <f>VLOOKUP(Ruimtestaat[[#This Row],[Code]],Locaties[#All],5,FALSE)</f>
        <v>7131 XM </v>
      </c>
      <c r="E402" s="241" t="str">
        <f>VLOOKUP(Ruimtestaat[[#This Row],[Code]],Locaties[#All],6,FALSE)</f>
        <v>Lichtenvoorde</v>
      </c>
      <c r="F402" s="195" t="s">
        <v>780</v>
      </c>
      <c r="G402" s="195" t="s">
        <v>776</v>
      </c>
      <c r="H402" s="195" t="s">
        <v>644</v>
      </c>
      <c r="I402" s="242" t="s">
        <v>441</v>
      </c>
      <c r="J402" s="241">
        <v>1</v>
      </c>
      <c r="K402" s="260" t="str">
        <f>VLOOKUP(Ruimtestaat[[#This Row],[Ruimte code]],Ruimtegroepen[#All],2,FALSE)</f>
        <v>Magazijnen/bergingen</v>
      </c>
      <c r="L402" s="195" t="s">
        <v>112</v>
      </c>
      <c r="M402" s="195" t="s">
        <v>130</v>
      </c>
      <c r="N402" s="197">
        <v>6.52</v>
      </c>
      <c r="O402" s="209"/>
      <c r="P402" s="241" t="str">
        <f>VLOOKUP(Ruimtestaat[[#This Row],[Ruimte code]],Ruimtegroepen[#All],4,FALSE)</f>
        <v>V  (Verkeersruimte)</v>
      </c>
      <c r="Q402" s="210"/>
      <c r="R402" s="211">
        <v>40</v>
      </c>
      <c r="S402" s="211" t="s">
        <v>16</v>
      </c>
      <c r="T402" s="211">
        <f>IF(R402&gt;0,IF(RIGHT(Ruimtestaat[[#This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U402" s="211">
        <f>IF(T402&gt;0,VLOOKUP($J402,Ruimtegroepen[],3,FALSE)*VLOOKUP($L402,Vloersoorten[],3,FALSE)*VLOOKUP($S402,Frequenties[],3,FALSE)*VLOOKUP($A402,Locaties[],3,FALSE),0)</f>
        <v>100</v>
      </c>
      <c r="V402" s="211">
        <f>Ruimtestaat[[#This Row],[Uitvoeringen werkdagen]]*Ruimtestaat[[#This Row],[Oppervlak (netto)]]</f>
        <v>78.239999999999995</v>
      </c>
      <c r="W402" s="257">
        <f>IF(U402&gt;0,Ruimtestaat[[#This Row],[Prest. (m2 /jaar) werkdagen]]/Ruimtestaat[[#This Row],[Norm (m2/uur) werkdagen]],0)</f>
        <v>0.78239999999999998</v>
      </c>
      <c r="X402" s="258">
        <f>Ruimtestaat[[#This Row],[uren / jaar werkdagen]]*Tariefsopbouw!$D$38</f>
        <v>19.559999999999999</v>
      </c>
      <c r="Y402" s="33"/>
      <c r="Z402" s="33">
        <f>IF(Ruimtestaat[[#This Row],[Frequentie weekend]]&gt;0,VALUE(LEFT(Y402,1))*R402,0)</f>
        <v>0</v>
      </c>
      <c r="AA402" s="33">
        <f>IF($Z402&gt;0,VLOOKUP($J402,Ruimtegroepen[],3,FALSE)*VLOOKUP($L402,Vloersoorten[],3,FALSE)*VLOOKUP($Y402,Frequenties[],3,FALSE)*VLOOKUP(#REF!,Locaties[],3,FALSE),0)</f>
        <v>0</v>
      </c>
      <c r="AB402" s="33"/>
      <c r="AC402" s="33"/>
      <c r="AD402" s="33">
        <f>Ruimtestaat[[#This Row],[uren / jaar weekend]]*Tariefsopbouw!$D$40</f>
        <v>0</v>
      </c>
      <c r="AE402" s="88">
        <f>Ruimtestaat[[#This Row],[Prest. (m2 /jaar) weekend]]+Ruimtestaat[[#This Row],[Prest. (m2 /jaar) werkdagen]]</f>
        <v>78.239999999999995</v>
      </c>
      <c r="AF402" s="88">
        <f>Ruimtestaat[[#This Row],[uren / jaar weekend]]+Ruimtestaat[[#This Row],[uren / jaar werkdagen]]</f>
        <v>0.78239999999999998</v>
      </c>
      <c r="AG402" s="89">
        <f>Ruimtestaat[[#This Row],[kosten / jaar weekend]]+Ruimtestaat[[#This Row],[kosten / jaar werkdagen]]</f>
        <v>19.559999999999999</v>
      </c>
    </row>
    <row r="403" spans="1:33" ht="15" customHeight="1">
      <c r="A403" s="195">
        <v>4</v>
      </c>
      <c r="B403" s="195" t="str">
        <f>VLOOKUP(Ruimtestaat[[#This Row],[Code]],Locaties[#All],2,FALSE)</f>
        <v>Lichtenvoorde gebouw 3</v>
      </c>
      <c r="C403" s="241" t="str">
        <f>VLOOKUP(Ruimtestaat[[#This Row],[Code]],Locaties[#All],4,FALSE)</f>
        <v>Dr Ariensstraat 3</v>
      </c>
      <c r="D403" s="241" t="str">
        <f>VLOOKUP(Ruimtestaat[[#This Row],[Code]],Locaties[#All],5,FALSE)</f>
        <v>7131 XM </v>
      </c>
      <c r="E403" s="241" t="str">
        <f>VLOOKUP(Ruimtestaat[[#This Row],[Code]],Locaties[#All],6,FALSE)</f>
        <v>Lichtenvoorde</v>
      </c>
      <c r="F403" s="195" t="s">
        <v>780</v>
      </c>
      <c r="G403" s="195" t="s">
        <v>776</v>
      </c>
      <c r="H403" s="195" t="s">
        <v>645</v>
      </c>
      <c r="I403" s="242" t="s">
        <v>820</v>
      </c>
      <c r="J403" s="195">
        <v>2</v>
      </c>
      <c r="K403" s="260" t="str">
        <f>VLOOKUP(Ruimtestaat[[#This Row],[Ruimte code]],Ruimtegroepen[#All],2,FALSE)</f>
        <v>Kantoren</v>
      </c>
      <c r="L403" s="211" t="s">
        <v>112</v>
      </c>
      <c r="M403" s="195" t="s">
        <v>130</v>
      </c>
      <c r="N403" s="197">
        <v>24.28</v>
      </c>
      <c r="O403" s="209"/>
      <c r="P403" s="241" t="str">
        <f>VLOOKUP(Ruimtestaat[[#This Row],[Ruimte code]],Ruimtegroepen[#All],4,FALSE)</f>
        <v>B  (Bureauruimte)</v>
      </c>
      <c r="Q403" s="210"/>
      <c r="R403" s="211">
        <v>40</v>
      </c>
      <c r="S403" s="211" t="s">
        <v>18</v>
      </c>
      <c r="T403" s="211">
        <f>IF(R403&gt;0,IF(RIGHT(Ruimtestaat[[#This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U403" s="211">
        <f>IF(T403&gt;0,VLOOKUP($J403,Ruimtegroepen[],3,FALSE)*VLOOKUP($L403,Vloersoorten[],3,FALSE)*VLOOKUP($S403,Frequenties[],3,FALSE)*VLOOKUP($A403,Locaties[],3,FALSE),0)</f>
        <v>100</v>
      </c>
      <c r="V403" s="211">
        <f>Ruimtestaat[[#This Row],[Uitvoeringen werkdagen]]*Ruimtestaat[[#This Row],[Oppervlak (netto)]]</f>
        <v>2913.6000000000004</v>
      </c>
      <c r="W403" s="257">
        <f>IF(U403&gt;0,Ruimtestaat[[#This Row],[Prest. (m2 /jaar) werkdagen]]/Ruimtestaat[[#This Row],[Norm (m2/uur) werkdagen]],0)</f>
        <v>29.136000000000003</v>
      </c>
      <c r="X403" s="258">
        <f>Ruimtestaat[[#This Row],[uren / jaar werkdagen]]*Tariefsopbouw!$D$38</f>
        <v>728.40000000000009</v>
      </c>
      <c r="Y403" s="33"/>
      <c r="Z403" s="33">
        <f>IF(Ruimtestaat[[#This Row],[Frequentie weekend]]&gt;0,VALUE(LEFT(Y403,1))*R403,0)</f>
        <v>0</v>
      </c>
      <c r="AA403" s="33">
        <f>IF($Z403&gt;0,VLOOKUP($J403,Ruimtegroepen[],3,FALSE)*VLOOKUP($L403,Vloersoorten[],3,FALSE)*VLOOKUP($Y403,Frequenties[],3,FALSE)*VLOOKUP(#REF!,Locaties[],3,FALSE),0)</f>
        <v>0</v>
      </c>
      <c r="AB403" s="33"/>
      <c r="AC403" s="33"/>
      <c r="AD403" s="33">
        <f>Ruimtestaat[[#This Row],[uren / jaar weekend]]*Tariefsopbouw!$D$40</f>
        <v>0</v>
      </c>
      <c r="AE403" s="88">
        <f>Ruimtestaat[[#This Row],[Prest. (m2 /jaar) weekend]]+Ruimtestaat[[#This Row],[Prest. (m2 /jaar) werkdagen]]</f>
        <v>2913.6000000000004</v>
      </c>
      <c r="AF403" s="88">
        <f>Ruimtestaat[[#This Row],[uren / jaar weekend]]+Ruimtestaat[[#This Row],[uren / jaar werkdagen]]</f>
        <v>29.136000000000003</v>
      </c>
      <c r="AG403" s="89">
        <f>Ruimtestaat[[#This Row],[kosten / jaar weekend]]+Ruimtestaat[[#This Row],[kosten / jaar werkdagen]]</f>
        <v>728.40000000000009</v>
      </c>
    </row>
    <row r="404" spans="1:33" ht="15" customHeight="1">
      <c r="A404" s="195">
        <v>4</v>
      </c>
      <c r="B404" s="195" t="str">
        <f>VLOOKUP(Ruimtestaat[[#This Row],[Code]],Locaties[#All],2,FALSE)</f>
        <v>Lichtenvoorde gebouw 3</v>
      </c>
      <c r="C404" s="241" t="str">
        <f>VLOOKUP(Ruimtestaat[[#This Row],[Code]],Locaties[#All],4,FALSE)</f>
        <v>Dr Ariensstraat 3</v>
      </c>
      <c r="D404" s="241" t="str">
        <f>VLOOKUP(Ruimtestaat[[#This Row],[Code]],Locaties[#All],5,FALSE)</f>
        <v>7131 XM </v>
      </c>
      <c r="E404" s="241" t="str">
        <f>VLOOKUP(Ruimtestaat[[#This Row],[Code]],Locaties[#All],6,FALSE)</f>
        <v>Lichtenvoorde</v>
      </c>
      <c r="F404" s="195" t="s">
        <v>780</v>
      </c>
      <c r="G404" s="195" t="s">
        <v>776</v>
      </c>
      <c r="H404" s="195" t="s">
        <v>646</v>
      </c>
      <c r="I404" s="242" t="s">
        <v>600</v>
      </c>
      <c r="J404" s="195">
        <v>15</v>
      </c>
      <c r="K404" s="260" t="str">
        <f>VLOOKUP(Ruimtestaat[[#This Row],[Ruimte code]],Ruimtegroepen[#All],2,FALSE)</f>
        <v>Keuken/pantry</v>
      </c>
      <c r="L404" s="211" t="s">
        <v>112</v>
      </c>
      <c r="M404" s="195" t="s">
        <v>130</v>
      </c>
      <c r="N404" s="197">
        <v>15.65</v>
      </c>
      <c r="O404" s="209"/>
      <c r="P404" s="241" t="str">
        <f>VLOOKUP(Ruimtestaat[[#This Row],[Ruimte code]],Ruimtegroepen[#All],4,FALSE)</f>
        <v>V  (Verkeersruimte)</v>
      </c>
      <c r="Q404" s="210"/>
      <c r="R404" s="211">
        <v>40</v>
      </c>
      <c r="S404" s="211" t="s">
        <v>2</v>
      </c>
      <c r="T404" s="211">
        <f>IF(R404&gt;0,IF(RIGHT(Ruimtestaat[[#This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404" s="211">
        <f>IF(T404&gt;0,VLOOKUP($J404,Ruimtegroepen[],3,FALSE)*VLOOKUP($L404,Vloersoorten[],3,FALSE)*VLOOKUP($S404,Frequenties[],3,FALSE)*VLOOKUP($A404,Locaties[],3,FALSE),0)</f>
        <v>100</v>
      </c>
      <c r="V404" s="211">
        <f>Ruimtestaat[[#This Row],[Uitvoeringen werkdagen]]*Ruimtestaat[[#This Row],[Oppervlak (netto)]]</f>
        <v>3130</v>
      </c>
      <c r="W404" s="257">
        <f>IF(U404&gt;0,Ruimtestaat[[#This Row],[Prest. (m2 /jaar) werkdagen]]/Ruimtestaat[[#This Row],[Norm (m2/uur) werkdagen]],0)</f>
        <v>31.3</v>
      </c>
      <c r="X404" s="258">
        <f>Ruimtestaat[[#This Row],[uren / jaar werkdagen]]*Tariefsopbouw!$D$38</f>
        <v>782.5</v>
      </c>
      <c r="Y404" s="33"/>
      <c r="Z404" s="33">
        <f>IF(Ruimtestaat[[#This Row],[Frequentie weekend]]&gt;0,VALUE(LEFT(Y404,1))*R404,0)</f>
        <v>0</v>
      </c>
      <c r="AA404" s="33">
        <f>IF($Z404&gt;0,VLOOKUP($J404,Ruimtegroepen[],3,FALSE)*VLOOKUP($L404,Vloersoorten[],3,FALSE)*VLOOKUP($Y404,Frequenties[],3,FALSE)*VLOOKUP(#REF!,Locaties[],3,FALSE),0)</f>
        <v>0</v>
      </c>
      <c r="AB404" s="33"/>
      <c r="AC404" s="33"/>
      <c r="AD404" s="33">
        <f>Ruimtestaat[[#This Row],[uren / jaar weekend]]*Tariefsopbouw!$D$40</f>
        <v>0</v>
      </c>
      <c r="AE404" s="88">
        <f>Ruimtestaat[[#This Row],[Prest. (m2 /jaar) weekend]]+Ruimtestaat[[#This Row],[Prest. (m2 /jaar) werkdagen]]</f>
        <v>3130</v>
      </c>
      <c r="AF404" s="88">
        <f>Ruimtestaat[[#This Row],[uren / jaar weekend]]+Ruimtestaat[[#This Row],[uren / jaar werkdagen]]</f>
        <v>31.3</v>
      </c>
      <c r="AG404" s="89">
        <f>Ruimtestaat[[#This Row],[kosten / jaar weekend]]+Ruimtestaat[[#This Row],[kosten / jaar werkdagen]]</f>
        <v>782.5</v>
      </c>
    </row>
    <row r="405" spans="1:33" ht="15" customHeight="1">
      <c r="A405" s="195">
        <v>4</v>
      </c>
      <c r="B405" s="195" t="str">
        <f>VLOOKUP(Ruimtestaat[[#This Row],[Code]],Locaties[#All],2,FALSE)</f>
        <v>Lichtenvoorde gebouw 3</v>
      </c>
      <c r="C405" s="241" t="str">
        <f>VLOOKUP(Ruimtestaat[[#This Row],[Code]],Locaties[#All],4,FALSE)</f>
        <v>Dr Ariensstraat 3</v>
      </c>
      <c r="D405" s="241" t="str">
        <f>VLOOKUP(Ruimtestaat[[#This Row],[Code]],Locaties[#All],5,FALSE)</f>
        <v>7131 XM </v>
      </c>
      <c r="E405" s="241" t="str">
        <f>VLOOKUP(Ruimtestaat[[#This Row],[Code]],Locaties[#All],6,FALSE)</f>
        <v>Lichtenvoorde</v>
      </c>
      <c r="F405" s="195" t="s">
        <v>780</v>
      </c>
      <c r="G405" s="195" t="s">
        <v>776</v>
      </c>
      <c r="H405" s="195" t="s">
        <v>647</v>
      </c>
      <c r="I405" s="242" t="s">
        <v>820</v>
      </c>
      <c r="J405" s="195">
        <v>2</v>
      </c>
      <c r="K405" s="260" t="str">
        <f>VLOOKUP(Ruimtestaat[[#This Row],[Ruimte code]],Ruimtegroepen[#All],2,FALSE)</f>
        <v>Kantoren</v>
      </c>
      <c r="L405" s="211" t="s">
        <v>109</v>
      </c>
      <c r="M405" s="195" t="s">
        <v>38</v>
      </c>
      <c r="N405" s="197">
        <v>8.43</v>
      </c>
      <c r="O405" s="209"/>
      <c r="P405" s="241" t="str">
        <f>VLOOKUP(Ruimtestaat[[#This Row],[Ruimte code]],Ruimtegroepen[#All],4,FALSE)</f>
        <v>B  (Bureauruimte)</v>
      </c>
      <c r="Q405" s="210"/>
      <c r="R405" s="211">
        <v>40</v>
      </c>
      <c r="S405" s="211" t="s">
        <v>18</v>
      </c>
      <c r="T405" s="211">
        <f>IF(R405&gt;0,IF(RIGHT(Ruimtestaat[[#This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U405" s="211">
        <f>IF(T405&gt;0,VLOOKUP($J405,Ruimtegroepen[],3,FALSE)*VLOOKUP($L405,Vloersoorten[],3,FALSE)*VLOOKUP($S405,Frequenties[],3,FALSE)*VLOOKUP($A405,Locaties[],3,FALSE),0)</f>
        <v>100</v>
      </c>
      <c r="V405" s="211">
        <f>Ruimtestaat[[#This Row],[Uitvoeringen werkdagen]]*Ruimtestaat[[#This Row],[Oppervlak (netto)]]</f>
        <v>1011.5999999999999</v>
      </c>
      <c r="W405" s="257">
        <f>IF(U405&gt;0,Ruimtestaat[[#This Row],[Prest. (m2 /jaar) werkdagen]]/Ruimtestaat[[#This Row],[Norm (m2/uur) werkdagen]],0)</f>
        <v>10.116</v>
      </c>
      <c r="X405" s="258">
        <f>Ruimtestaat[[#This Row],[uren / jaar werkdagen]]*Tariefsopbouw!$D$38</f>
        <v>252.89999999999998</v>
      </c>
      <c r="Y405" s="33"/>
      <c r="Z405" s="33">
        <f>IF(Ruimtestaat[[#This Row],[Frequentie weekend]]&gt;0,VALUE(LEFT(Y405,1))*R405,0)</f>
        <v>0</v>
      </c>
      <c r="AA405" s="33">
        <f>IF($Z405&gt;0,VLOOKUP($J405,Ruimtegroepen[],3,FALSE)*VLOOKUP($L405,Vloersoorten[],3,FALSE)*VLOOKUP($Y405,Frequenties[],3,FALSE)*VLOOKUP(#REF!,Locaties[],3,FALSE),0)</f>
        <v>0</v>
      </c>
      <c r="AB405" s="33"/>
      <c r="AC405" s="33"/>
      <c r="AD405" s="33">
        <f>Ruimtestaat[[#This Row],[uren / jaar weekend]]*Tariefsopbouw!$D$40</f>
        <v>0</v>
      </c>
      <c r="AE405" s="88">
        <f>Ruimtestaat[[#This Row],[Prest. (m2 /jaar) weekend]]+Ruimtestaat[[#This Row],[Prest. (m2 /jaar) werkdagen]]</f>
        <v>1011.5999999999999</v>
      </c>
      <c r="AF405" s="88">
        <f>Ruimtestaat[[#This Row],[uren / jaar weekend]]+Ruimtestaat[[#This Row],[uren / jaar werkdagen]]</f>
        <v>10.116</v>
      </c>
      <c r="AG405" s="89">
        <f>Ruimtestaat[[#This Row],[kosten / jaar weekend]]+Ruimtestaat[[#This Row],[kosten / jaar werkdagen]]</f>
        <v>252.89999999999998</v>
      </c>
    </row>
    <row r="406" spans="1:33" ht="15" customHeight="1">
      <c r="A406" s="195">
        <v>4</v>
      </c>
      <c r="B406" s="195" t="str">
        <f>VLOOKUP(Ruimtestaat[[#This Row],[Code]],Locaties[#All],2,FALSE)</f>
        <v>Lichtenvoorde gebouw 3</v>
      </c>
      <c r="C406" s="241" t="str">
        <f>VLOOKUP(Ruimtestaat[[#This Row],[Code]],Locaties[#All],4,FALSE)</f>
        <v>Dr Ariensstraat 3</v>
      </c>
      <c r="D406" s="279" t="str">
        <f>VLOOKUP(Ruimtestaat[[#This Row],[Code]],Locaties[#All],5,FALSE)</f>
        <v>7131 XM </v>
      </c>
      <c r="E406" s="279" t="str">
        <f>VLOOKUP(Ruimtestaat[[#This Row],[Code]],Locaties[#All],6,FALSE)</f>
        <v>Lichtenvoorde</v>
      </c>
      <c r="F406" s="278" t="s">
        <v>780</v>
      </c>
      <c r="G406" s="278" t="s">
        <v>776</v>
      </c>
      <c r="H406" s="278" t="s">
        <v>648</v>
      </c>
      <c r="I406" s="280" t="s">
        <v>441</v>
      </c>
      <c r="J406" s="195">
        <v>1</v>
      </c>
      <c r="K406" s="260" t="str">
        <f>VLOOKUP(Ruimtestaat[[#This Row],[Ruimte code]],Ruimtegroepen[#All],2,FALSE)</f>
        <v>Magazijnen/bergingen</v>
      </c>
      <c r="L406" s="211" t="s">
        <v>110</v>
      </c>
      <c r="M406" s="278" t="s">
        <v>133</v>
      </c>
      <c r="N406" s="197">
        <v>6.52</v>
      </c>
      <c r="O406" s="209"/>
      <c r="P406" s="241" t="str">
        <f>VLOOKUP(Ruimtestaat[[#This Row],[Ruimte code]],Ruimtegroepen[#All],4,FALSE)</f>
        <v>V  (Verkeersruimte)</v>
      </c>
      <c r="Q406" s="210"/>
      <c r="R406" s="211">
        <v>40</v>
      </c>
      <c r="S406" s="211" t="s">
        <v>16</v>
      </c>
      <c r="T406" s="211">
        <f>IF(R406&gt;0,IF(RIGHT(Ruimtestaat[[#This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U406" s="211">
        <f>IF(T406&gt;0,VLOOKUP($J406,Ruimtegroepen[],3,FALSE)*VLOOKUP($L406,Vloersoorten[],3,FALSE)*VLOOKUP($S406,Frequenties[],3,FALSE)*VLOOKUP($A406,Locaties[],3,FALSE),0)</f>
        <v>100</v>
      </c>
      <c r="V406" s="211">
        <f>Ruimtestaat[[#This Row],[Uitvoeringen werkdagen]]*Ruimtestaat[[#This Row],[Oppervlak (netto)]]</f>
        <v>78.239999999999995</v>
      </c>
      <c r="W406" s="257">
        <f>IF(U406&gt;0,Ruimtestaat[[#This Row],[Prest. (m2 /jaar) werkdagen]]/Ruimtestaat[[#This Row],[Norm (m2/uur) werkdagen]],0)</f>
        <v>0.78239999999999998</v>
      </c>
      <c r="X406" s="258">
        <f>Ruimtestaat[[#This Row],[uren / jaar werkdagen]]*Tariefsopbouw!$D$38</f>
        <v>19.559999999999999</v>
      </c>
      <c r="Y406" s="33"/>
      <c r="Z406" s="33">
        <f>IF(Ruimtestaat[[#This Row],[Frequentie weekend]]&gt;0,VALUE(LEFT(Y406,1))*R406,0)</f>
        <v>0</v>
      </c>
      <c r="AA406" s="33">
        <f>IF($Z406&gt;0,VLOOKUP($J406,Ruimtegroepen[],3,FALSE)*VLOOKUP($L406,Vloersoorten[],3,FALSE)*VLOOKUP($Y406,Frequenties[],3,FALSE)*VLOOKUP(#REF!,Locaties[],3,FALSE),0)</f>
        <v>0</v>
      </c>
      <c r="AB406" s="33"/>
      <c r="AC406" s="33"/>
      <c r="AD406" s="33">
        <f>Ruimtestaat[[#This Row],[uren / jaar weekend]]*Tariefsopbouw!$D$40</f>
        <v>0</v>
      </c>
      <c r="AE406" s="88">
        <f>Ruimtestaat[[#This Row],[Prest. (m2 /jaar) weekend]]+Ruimtestaat[[#This Row],[Prest. (m2 /jaar) werkdagen]]</f>
        <v>78.239999999999995</v>
      </c>
      <c r="AF406" s="88">
        <f>Ruimtestaat[[#This Row],[uren / jaar weekend]]+Ruimtestaat[[#This Row],[uren / jaar werkdagen]]</f>
        <v>0.78239999999999998</v>
      </c>
      <c r="AG406" s="89">
        <f>Ruimtestaat[[#This Row],[kosten / jaar weekend]]+Ruimtestaat[[#This Row],[kosten / jaar werkdagen]]</f>
        <v>19.559999999999999</v>
      </c>
    </row>
    <row r="407" spans="1:33" ht="15" customHeight="1">
      <c r="A407" s="195">
        <v>4</v>
      </c>
      <c r="B407" s="195" t="str">
        <f>VLOOKUP(Ruimtestaat[[#This Row],[Code]],Locaties[#All],2,FALSE)</f>
        <v>Lichtenvoorde gebouw 3</v>
      </c>
      <c r="C407" s="241" t="str">
        <f>VLOOKUP(Ruimtestaat[[#This Row],[Code]],Locaties[#All],4,FALSE)</f>
        <v>Dr Ariensstraat 3</v>
      </c>
      <c r="D407" s="279" t="str">
        <f>VLOOKUP(Ruimtestaat[[#This Row],[Code]],Locaties[#All],5,FALSE)</f>
        <v>7131 XM </v>
      </c>
      <c r="E407" s="279" t="str">
        <f>VLOOKUP(Ruimtestaat[[#This Row],[Code]],Locaties[#All],6,FALSE)</f>
        <v>Lichtenvoorde</v>
      </c>
      <c r="F407" s="278" t="s">
        <v>780</v>
      </c>
      <c r="G407" s="278" t="s">
        <v>776</v>
      </c>
      <c r="H407" s="278" t="s">
        <v>649</v>
      </c>
      <c r="I407" s="280" t="s">
        <v>830</v>
      </c>
      <c r="J407" s="195">
        <v>16</v>
      </c>
      <c r="K407" s="260" t="str">
        <f>VLOOKUP(Ruimtestaat[[#This Row],[Ruimte code]],Ruimtegroepen[#All],2,FALSE)</f>
        <v>Lokaal</v>
      </c>
      <c r="L407" s="211" t="s">
        <v>112</v>
      </c>
      <c r="M407" s="278" t="s">
        <v>130</v>
      </c>
      <c r="N407" s="197">
        <v>70.400000000000006</v>
      </c>
      <c r="O407" s="209"/>
      <c r="P407" s="241" t="str">
        <f>VLOOKUP(Ruimtestaat[[#This Row],[Ruimte code]],Ruimtegroepen[#All],4,FALSE)</f>
        <v>L  (Lesruimte)</v>
      </c>
      <c r="Q407" s="210"/>
      <c r="R407" s="211">
        <v>40</v>
      </c>
      <c r="S407" s="211" t="s">
        <v>2</v>
      </c>
      <c r="T407" s="211">
        <f>IF(R407&gt;0,IF(RIGHT(Ruimtestaat[[#This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407" s="211">
        <f>IF(T407&gt;0,VLOOKUP($J407,Ruimtegroepen[],3,FALSE)*VLOOKUP($L407,Vloersoorten[],3,FALSE)*VLOOKUP($S407,Frequenties[],3,FALSE)*VLOOKUP($A407,Locaties[],3,FALSE),0)</f>
        <v>100</v>
      </c>
      <c r="V407" s="211">
        <f>Ruimtestaat[[#This Row],[Uitvoeringen werkdagen]]*Ruimtestaat[[#This Row],[Oppervlak (netto)]]</f>
        <v>14080.000000000002</v>
      </c>
      <c r="W407" s="257">
        <f>IF(U407&gt;0,Ruimtestaat[[#This Row],[Prest. (m2 /jaar) werkdagen]]/Ruimtestaat[[#This Row],[Norm (m2/uur) werkdagen]],0)</f>
        <v>140.80000000000001</v>
      </c>
      <c r="X407" s="258">
        <f>Ruimtestaat[[#This Row],[uren / jaar werkdagen]]*Tariefsopbouw!$D$38</f>
        <v>3520.0000000000005</v>
      </c>
      <c r="Y407" s="33"/>
      <c r="Z407" s="33">
        <f>IF(Ruimtestaat[[#This Row],[Frequentie weekend]]&gt;0,VALUE(LEFT(Y407,1))*R407,0)</f>
        <v>0</v>
      </c>
      <c r="AA407" s="33">
        <f>IF($Z407&gt;0,VLOOKUP($J407,Ruimtegroepen[],3,FALSE)*VLOOKUP($L407,Vloersoorten[],3,FALSE)*VLOOKUP($Y407,Frequenties[],3,FALSE)*VLOOKUP(#REF!,Locaties[],3,FALSE),0)</f>
        <v>0</v>
      </c>
      <c r="AB407" s="33"/>
      <c r="AC407" s="33"/>
      <c r="AD407" s="33">
        <f>Ruimtestaat[[#This Row],[uren / jaar weekend]]*Tariefsopbouw!$D$40</f>
        <v>0</v>
      </c>
      <c r="AE407" s="88">
        <f>Ruimtestaat[[#This Row],[Prest. (m2 /jaar) weekend]]+Ruimtestaat[[#This Row],[Prest. (m2 /jaar) werkdagen]]</f>
        <v>14080.000000000002</v>
      </c>
      <c r="AF407" s="88">
        <f>Ruimtestaat[[#This Row],[uren / jaar weekend]]+Ruimtestaat[[#This Row],[uren / jaar werkdagen]]</f>
        <v>140.80000000000001</v>
      </c>
      <c r="AG407" s="89">
        <f>Ruimtestaat[[#This Row],[kosten / jaar weekend]]+Ruimtestaat[[#This Row],[kosten / jaar werkdagen]]</f>
        <v>3520.0000000000005</v>
      </c>
    </row>
    <row r="408" spans="1:33" ht="15" customHeight="1">
      <c r="A408" s="195">
        <v>4</v>
      </c>
      <c r="B408" s="195" t="str">
        <f>VLOOKUP(Ruimtestaat[[#This Row],[Code]],Locaties[#All],2,FALSE)</f>
        <v>Lichtenvoorde gebouw 3</v>
      </c>
      <c r="C408" s="241" t="str">
        <f>VLOOKUP(Ruimtestaat[[#This Row],[Code]],Locaties[#All],4,FALSE)</f>
        <v>Dr Ariensstraat 3</v>
      </c>
      <c r="D408" s="279" t="str">
        <f>VLOOKUP(Ruimtestaat[[#This Row],[Code]],Locaties[#All],5,FALSE)</f>
        <v>7131 XM </v>
      </c>
      <c r="E408" s="279" t="str">
        <f>VLOOKUP(Ruimtestaat[[#This Row],[Code]],Locaties[#All],6,FALSE)</f>
        <v>Lichtenvoorde</v>
      </c>
      <c r="F408" s="278" t="s">
        <v>780</v>
      </c>
      <c r="G408" s="278" t="s">
        <v>776</v>
      </c>
      <c r="H408" s="278" t="s">
        <v>650</v>
      </c>
      <c r="I408" s="280" t="s">
        <v>830</v>
      </c>
      <c r="J408" s="195">
        <v>16</v>
      </c>
      <c r="K408" s="260" t="str">
        <f>VLOOKUP(Ruimtestaat[[#This Row],[Ruimte code]],Ruimtegroepen[#All],2,FALSE)</f>
        <v>Lokaal</v>
      </c>
      <c r="L408" s="211" t="s">
        <v>112</v>
      </c>
      <c r="M408" s="278" t="s">
        <v>130</v>
      </c>
      <c r="N408" s="197">
        <v>60.46</v>
      </c>
      <c r="O408" s="209"/>
      <c r="P408" s="241" t="str">
        <f>VLOOKUP(Ruimtestaat[[#This Row],[Ruimte code]],Ruimtegroepen[#All],4,FALSE)</f>
        <v>L  (Lesruimte)</v>
      </c>
      <c r="Q408" s="210"/>
      <c r="R408" s="211">
        <v>40</v>
      </c>
      <c r="S408" s="211" t="s">
        <v>2</v>
      </c>
      <c r="T408" s="211">
        <f>IF(R408&gt;0,IF(RIGHT(Ruimtestaat[[#This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408" s="211">
        <f>IF(T408&gt;0,VLOOKUP($J408,Ruimtegroepen[],3,FALSE)*VLOOKUP($L408,Vloersoorten[],3,FALSE)*VLOOKUP($S408,Frequenties[],3,FALSE)*VLOOKUP($A408,Locaties[],3,FALSE),0)</f>
        <v>100</v>
      </c>
      <c r="V408" s="211">
        <f>Ruimtestaat[[#This Row],[Uitvoeringen werkdagen]]*Ruimtestaat[[#This Row],[Oppervlak (netto)]]</f>
        <v>12092</v>
      </c>
      <c r="W408" s="257">
        <f>IF(U408&gt;0,Ruimtestaat[[#This Row],[Prest. (m2 /jaar) werkdagen]]/Ruimtestaat[[#This Row],[Norm (m2/uur) werkdagen]],0)</f>
        <v>120.92</v>
      </c>
      <c r="X408" s="258">
        <f>Ruimtestaat[[#This Row],[uren / jaar werkdagen]]*Tariefsopbouw!$D$38</f>
        <v>3023</v>
      </c>
      <c r="Y408" s="33"/>
      <c r="Z408" s="33">
        <f>IF(Ruimtestaat[[#This Row],[Frequentie weekend]]&gt;0,VALUE(LEFT(Y408,1))*R408,0)</f>
        <v>0</v>
      </c>
      <c r="AA408" s="33">
        <f>IF($Z408&gt;0,VLOOKUP($J408,Ruimtegroepen[],3,FALSE)*VLOOKUP($L408,Vloersoorten[],3,FALSE)*VLOOKUP($Y408,Frequenties[],3,FALSE)*VLOOKUP(#REF!,Locaties[],3,FALSE),0)</f>
        <v>0</v>
      </c>
      <c r="AB408" s="33"/>
      <c r="AC408" s="33"/>
      <c r="AD408" s="33">
        <f>Ruimtestaat[[#This Row],[uren / jaar weekend]]*Tariefsopbouw!$D$40</f>
        <v>0</v>
      </c>
      <c r="AE408" s="88">
        <f>Ruimtestaat[[#This Row],[Prest. (m2 /jaar) weekend]]+Ruimtestaat[[#This Row],[Prest. (m2 /jaar) werkdagen]]</f>
        <v>12092</v>
      </c>
      <c r="AF408" s="88">
        <f>Ruimtestaat[[#This Row],[uren / jaar weekend]]+Ruimtestaat[[#This Row],[uren / jaar werkdagen]]</f>
        <v>120.92</v>
      </c>
      <c r="AG408" s="89">
        <f>Ruimtestaat[[#This Row],[kosten / jaar weekend]]+Ruimtestaat[[#This Row],[kosten / jaar werkdagen]]</f>
        <v>3023</v>
      </c>
    </row>
    <row r="409" spans="1:33" ht="15" customHeight="1">
      <c r="A409" s="195">
        <v>4</v>
      </c>
      <c r="B409" s="195" t="str">
        <f>VLOOKUP(Ruimtestaat[[#This Row],[Code]],Locaties[#All],2,FALSE)</f>
        <v>Lichtenvoorde gebouw 3</v>
      </c>
      <c r="C409" s="241" t="str">
        <f>VLOOKUP(Ruimtestaat[[#This Row],[Code]],Locaties[#All],4,FALSE)</f>
        <v>Dr Ariensstraat 3</v>
      </c>
      <c r="D409" s="279" t="str">
        <f>VLOOKUP(Ruimtestaat[[#This Row],[Code]],Locaties[#All],5,FALSE)</f>
        <v>7131 XM </v>
      </c>
      <c r="E409" s="279" t="str">
        <f>VLOOKUP(Ruimtestaat[[#This Row],[Code]],Locaties[#All],6,FALSE)</f>
        <v>Lichtenvoorde</v>
      </c>
      <c r="F409" s="278" t="s">
        <v>780</v>
      </c>
      <c r="G409" s="278" t="s">
        <v>776</v>
      </c>
      <c r="H409" s="278" t="s">
        <v>651</v>
      </c>
      <c r="I409" s="280" t="s">
        <v>765</v>
      </c>
      <c r="J409" s="195">
        <v>11</v>
      </c>
      <c r="K409" s="260" t="str">
        <f>VLOOKUP(Ruimtestaat[[#This Row],[Ruimte code]],Ruimtegroepen[#All],2,FALSE)</f>
        <v>Praktijklokaal</v>
      </c>
      <c r="L409" s="195" t="s">
        <v>112</v>
      </c>
      <c r="M409" s="278" t="s">
        <v>130</v>
      </c>
      <c r="N409" s="197">
        <v>121.57</v>
      </c>
      <c r="O409" s="209"/>
      <c r="P409" s="241" t="str">
        <f>VLOOKUP(Ruimtestaat[[#This Row],[Ruimte code]],Ruimtegroepen[#All],4,FALSE)</f>
        <v>L  (Lesruimte)</v>
      </c>
      <c r="Q409" s="210"/>
      <c r="R409" s="211">
        <v>40</v>
      </c>
      <c r="S409" s="211" t="s">
        <v>2</v>
      </c>
      <c r="T409" s="211">
        <f>IF(R409&gt;0,IF(RIGHT(Ruimtestaat[[#This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409" s="211">
        <f>IF(T409&gt;0,VLOOKUP($J409,Ruimtegroepen[],3,FALSE)*VLOOKUP($L409,Vloersoorten[],3,FALSE)*VLOOKUP($S409,Frequenties[],3,FALSE)*VLOOKUP($A409,Locaties[],3,FALSE),0)</f>
        <v>100</v>
      </c>
      <c r="V409" s="211">
        <f>Ruimtestaat[[#This Row],[Uitvoeringen werkdagen]]*Ruimtestaat[[#This Row],[Oppervlak (netto)]]</f>
        <v>24314</v>
      </c>
      <c r="W409" s="257">
        <f>IF(U409&gt;0,Ruimtestaat[[#This Row],[Prest. (m2 /jaar) werkdagen]]/Ruimtestaat[[#This Row],[Norm (m2/uur) werkdagen]],0)</f>
        <v>243.14</v>
      </c>
      <c r="X409" s="258">
        <f>Ruimtestaat[[#This Row],[uren / jaar werkdagen]]*Tariefsopbouw!$D$38</f>
        <v>6078.5</v>
      </c>
      <c r="Y409" s="33"/>
      <c r="Z409" s="33">
        <f>IF(Ruimtestaat[[#This Row],[Frequentie weekend]]&gt;0,VALUE(LEFT(Y409,1))*R409,0)</f>
        <v>0</v>
      </c>
      <c r="AA409" s="33">
        <f>IF($Z409&gt;0,VLOOKUP($J409,Ruimtegroepen[],3,FALSE)*VLOOKUP($L409,Vloersoorten[],3,FALSE)*VLOOKUP($Y409,Frequenties[],3,FALSE)*VLOOKUP(#REF!,Locaties[],3,FALSE),0)</f>
        <v>0</v>
      </c>
      <c r="AB409" s="33"/>
      <c r="AC409" s="33"/>
      <c r="AD409" s="33">
        <f>Ruimtestaat[[#This Row],[uren / jaar weekend]]*Tariefsopbouw!$D$40</f>
        <v>0</v>
      </c>
      <c r="AE409" s="88">
        <f>Ruimtestaat[[#This Row],[Prest. (m2 /jaar) weekend]]+Ruimtestaat[[#This Row],[Prest. (m2 /jaar) werkdagen]]</f>
        <v>24314</v>
      </c>
      <c r="AF409" s="88">
        <f>Ruimtestaat[[#This Row],[uren / jaar weekend]]+Ruimtestaat[[#This Row],[uren / jaar werkdagen]]</f>
        <v>243.14</v>
      </c>
      <c r="AG409" s="89">
        <f>Ruimtestaat[[#This Row],[kosten / jaar weekend]]+Ruimtestaat[[#This Row],[kosten / jaar werkdagen]]</f>
        <v>6078.5</v>
      </c>
    </row>
    <row r="410" spans="1:33" ht="15" customHeight="1">
      <c r="A410" s="195">
        <v>4</v>
      </c>
      <c r="B410" s="195" t="str">
        <f>VLOOKUP(Ruimtestaat[[#This Row],[Code]],Locaties[#All],2,FALSE)</f>
        <v>Lichtenvoorde gebouw 3</v>
      </c>
      <c r="C410" s="241" t="str">
        <f>VLOOKUP(Ruimtestaat[[#This Row],[Code]],Locaties[#All],4,FALSE)</f>
        <v>Dr Ariensstraat 3</v>
      </c>
      <c r="D410" s="279" t="str">
        <f>VLOOKUP(Ruimtestaat[[#This Row],[Code]],Locaties[#All],5,FALSE)</f>
        <v>7131 XM </v>
      </c>
      <c r="E410" s="279" t="str">
        <f>VLOOKUP(Ruimtestaat[[#This Row],[Code]],Locaties[#All],6,FALSE)</f>
        <v>Lichtenvoorde</v>
      </c>
      <c r="F410" s="278" t="s">
        <v>780</v>
      </c>
      <c r="G410" s="278" t="s">
        <v>776</v>
      </c>
      <c r="H410" s="278" t="s">
        <v>652</v>
      </c>
      <c r="I410" s="280" t="s">
        <v>441</v>
      </c>
      <c r="J410" s="195">
        <v>1</v>
      </c>
      <c r="K410" s="260" t="str">
        <f>VLOOKUP(Ruimtestaat[[#This Row],[Ruimte code]],Ruimtegroepen[#All],2,FALSE)</f>
        <v>Magazijnen/bergingen</v>
      </c>
      <c r="L410" s="195" t="s">
        <v>112</v>
      </c>
      <c r="M410" s="278" t="s">
        <v>130</v>
      </c>
      <c r="N410" s="197">
        <v>9.9</v>
      </c>
      <c r="O410" s="209"/>
      <c r="P410" s="241" t="str">
        <f>VLOOKUP(Ruimtestaat[[#This Row],[Ruimte code]],Ruimtegroepen[#All],4,FALSE)</f>
        <v>V  (Verkeersruimte)</v>
      </c>
      <c r="Q410" s="210"/>
      <c r="R410" s="211">
        <v>40</v>
      </c>
      <c r="S410" s="211" t="s">
        <v>16</v>
      </c>
      <c r="T410" s="211">
        <f>IF(R410&gt;0,IF(RIGHT(Ruimtestaat[[#This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U410" s="211">
        <f>IF(T410&gt;0,VLOOKUP($J410,Ruimtegroepen[],3,FALSE)*VLOOKUP($L410,Vloersoorten[],3,FALSE)*VLOOKUP($S410,Frequenties[],3,FALSE)*VLOOKUP($A410,Locaties[],3,FALSE),0)</f>
        <v>100</v>
      </c>
      <c r="V410" s="211">
        <f>Ruimtestaat[[#This Row],[Uitvoeringen werkdagen]]*Ruimtestaat[[#This Row],[Oppervlak (netto)]]</f>
        <v>118.80000000000001</v>
      </c>
      <c r="W410" s="257">
        <f>IF(U410&gt;0,Ruimtestaat[[#This Row],[Prest. (m2 /jaar) werkdagen]]/Ruimtestaat[[#This Row],[Norm (m2/uur) werkdagen]],0)</f>
        <v>1.1880000000000002</v>
      </c>
      <c r="X410" s="258">
        <f>Ruimtestaat[[#This Row],[uren / jaar werkdagen]]*Tariefsopbouw!$D$38</f>
        <v>29.700000000000003</v>
      </c>
      <c r="Y410" s="33"/>
      <c r="Z410" s="33">
        <f>IF(Ruimtestaat[[#This Row],[Frequentie weekend]]&gt;0,VALUE(LEFT(Y410,1))*R410,0)</f>
        <v>0</v>
      </c>
      <c r="AA410" s="33">
        <f>IF($Z410&gt;0,VLOOKUP($J410,Ruimtegroepen[],3,FALSE)*VLOOKUP($L410,Vloersoorten[],3,FALSE)*VLOOKUP($Y410,Frequenties[],3,FALSE)*VLOOKUP(#REF!,Locaties[],3,FALSE),0)</f>
        <v>0</v>
      </c>
      <c r="AB410" s="33"/>
      <c r="AC410" s="33"/>
      <c r="AD410" s="33">
        <f>Ruimtestaat[[#This Row],[uren / jaar weekend]]*Tariefsopbouw!$D$40</f>
        <v>0</v>
      </c>
      <c r="AE410" s="88">
        <f>Ruimtestaat[[#This Row],[Prest. (m2 /jaar) weekend]]+Ruimtestaat[[#This Row],[Prest. (m2 /jaar) werkdagen]]</f>
        <v>118.80000000000001</v>
      </c>
      <c r="AF410" s="88">
        <f>Ruimtestaat[[#This Row],[uren / jaar weekend]]+Ruimtestaat[[#This Row],[uren / jaar werkdagen]]</f>
        <v>1.1880000000000002</v>
      </c>
      <c r="AG410" s="89">
        <f>Ruimtestaat[[#This Row],[kosten / jaar weekend]]+Ruimtestaat[[#This Row],[kosten / jaar werkdagen]]</f>
        <v>29.700000000000003</v>
      </c>
    </row>
    <row r="411" spans="1:33" ht="15" customHeight="1">
      <c r="A411" s="195">
        <v>4</v>
      </c>
      <c r="B411" s="195" t="str">
        <f>VLOOKUP(Ruimtestaat[[#This Row],[Code]],Locaties[#All],2,FALSE)</f>
        <v>Lichtenvoorde gebouw 3</v>
      </c>
      <c r="C411" s="241" t="str">
        <f>VLOOKUP(Ruimtestaat[[#This Row],[Code]],Locaties[#All],4,FALSE)</f>
        <v>Dr Ariensstraat 3</v>
      </c>
      <c r="D411" s="279" t="str">
        <f>VLOOKUP(Ruimtestaat[[#This Row],[Code]],Locaties[#All],5,FALSE)</f>
        <v>7131 XM </v>
      </c>
      <c r="E411" s="279" t="str">
        <f>VLOOKUP(Ruimtestaat[[#This Row],[Code]],Locaties[#All],6,FALSE)</f>
        <v>Lichtenvoorde</v>
      </c>
      <c r="F411" s="278" t="s">
        <v>780</v>
      </c>
      <c r="G411" s="278" t="s">
        <v>776</v>
      </c>
      <c r="H411" s="278" t="s">
        <v>653</v>
      </c>
      <c r="I411" s="280" t="s">
        <v>441</v>
      </c>
      <c r="J411" s="195">
        <v>1</v>
      </c>
      <c r="K411" s="260" t="str">
        <f>VLOOKUP(Ruimtestaat[[#This Row],[Ruimte code]],Ruimtegroepen[#All],2,FALSE)</f>
        <v>Magazijnen/bergingen</v>
      </c>
      <c r="L411" s="211" t="s">
        <v>112</v>
      </c>
      <c r="M411" s="278" t="s">
        <v>130</v>
      </c>
      <c r="N411" s="197">
        <v>24.56</v>
      </c>
      <c r="O411" s="209"/>
      <c r="P411" s="241" t="str">
        <f>VLOOKUP(Ruimtestaat[[#This Row],[Ruimte code]],Ruimtegroepen[#All],4,FALSE)</f>
        <v>V  (Verkeersruimte)</v>
      </c>
      <c r="Q411" s="210"/>
      <c r="R411" s="211">
        <v>40</v>
      </c>
      <c r="S411" s="211" t="s">
        <v>16</v>
      </c>
      <c r="T411" s="211">
        <f>IF(R411&gt;0,IF(RIGHT(Ruimtestaat[[#This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U411" s="211">
        <f>IF(T411&gt;0,VLOOKUP($J411,Ruimtegroepen[],3,FALSE)*VLOOKUP($L411,Vloersoorten[],3,FALSE)*VLOOKUP($S411,Frequenties[],3,FALSE)*VLOOKUP($A411,Locaties[],3,FALSE),0)</f>
        <v>100</v>
      </c>
      <c r="V411" s="211">
        <f>Ruimtestaat[[#This Row],[Uitvoeringen werkdagen]]*Ruimtestaat[[#This Row],[Oppervlak (netto)]]</f>
        <v>294.71999999999997</v>
      </c>
      <c r="W411" s="257">
        <f>IF(U411&gt;0,Ruimtestaat[[#This Row],[Prest. (m2 /jaar) werkdagen]]/Ruimtestaat[[#This Row],[Norm (m2/uur) werkdagen]],0)</f>
        <v>2.9471999999999996</v>
      </c>
      <c r="X411" s="258">
        <f>Ruimtestaat[[#This Row],[uren / jaar werkdagen]]*Tariefsopbouw!$D$38</f>
        <v>73.679999999999993</v>
      </c>
      <c r="Y411" s="33"/>
      <c r="Z411" s="33">
        <f>IF(Ruimtestaat[[#This Row],[Frequentie weekend]]&gt;0,VALUE(LEFT(Y411,1))*R411,0)</f>
        <v>0</v>
      </c>
      <c r="AA411" s="33">
        <f>IF($Z411&gt;0,VLOOKUP($J411,Ruimtegroepen[],3,FALSE)*VLOOKUP($L411,Vloersoorten[],3,FALSE)*VLOOKUP($Y411,Frequenties[],3,FALSE)*VLOOKUP(#REF!,Locaties[],3,FALSE),0)</f>
        <v>0</v>
      </c>
      <c r="AB411" s="33"/>
      <c r="AC411" s="33"/>
      <c r="AD411" s="33">
        <f>Ruimtestaat[[#This Row],[uren / jaar weekend]]*Tariefsopbouw!$D$40</f>
        <v>0</v>
      </c>
      <c r="AE411" s="88">
        <f>Ruimtestaat[[#This Row],[Prest. (m2 /jaar) weekend]]+Ruimtestaat[[#This Row],[Prest. (m2 /jaar) werkdagen]]</f>
        <v>294.71999999999997</v>
      </c>
      <c r="AF411" s="88">
        <f>Ruimtestaat[[#This Row],[uren / jaar weekend]]+Ruimtestaat[[#This Row],[uren / jaar werkdagen]]</f>
        <v>2.9471999999999996</v>
      </c>
      <c r="AG411" s="89">
        <f>Ruimtestaat[[#This Row],[kosten / jaar weekend]]+Ruimtestaat[[#This Row],[kosten / jaar werkdagen]]</f>
        <v>73.679999999999993</v>
      </c>
    </row>
    <row r="412" spans="1:33" ht="15" customHeight="1">
      <c r="A412" s="195">
        <v>4</v>
      </c>
      <c r="B412" s="195" t="str">
        <f>VLOOKUP(Ruimtestaat[[#This Row],[Code]],Locaties[#All],2,FALSE)</f>
        <v>Lichtenvoorde gebouw 3</v>
      </c>
      <c r="C412" s="241" t="str">
        <f>VLOOKUP(Ruimtestaat[[#This Row],[Code]],Locaties[#All],4,FALSE)</f>
        <v>Dr Ariensstraat 3</v>
      </c>
      <c r="D412" s="279" t="str">
        <f>VLOOKUP(Ruimtestaat[[#This Row],[Code]],Locaties[#All],5,FALSE)</f>
        <v>7131 XM </v>
      </c>
      <c r="E412" s="279" t="str">
        <f>VLOOKUP(Ruimtestaat[[#This Row],[Code]],Locaties[#All],6,FALSE)</f>
        <v>Lichtenvoorde</v>
      </c>
      <c r="F412" s="278" t="s">
        <v>780</v>
      </c>
      <c r="G412" s="278" t="s">
        <v>776</v>
      </c>
      <c r="H412" s="278" t="s">
        <v>654</v>
      </c>
      <c r="I412" s="280" t="s">
        <v>601</v>
      </c>
      <c r="J412" s="195">
        <v>21</v>
      </c>
      <c r="K412" s="260" t="str">
        <f>VLOOKUP(Ruimtestaat[[#This Row],[Ruimte code]],Ruimtegroepen[#All],2,FALSE)</f>
        <v>Niet in onderhoud</v>
      </c>
      <c r="L412" s="195" t="s">
        <v>111</v>
      </c>
      <c r="M412" s="278" t="s">
        <v>693</v>
      </c>
      <c r="N412" s="197"/>
      <c r="O412" s="209">
        <v>0.68</v>
      </c>
      <c r="P412" s="241" t="str">
        <f>VLOOKUP(Ruimtestaat[[#This Row],[Ruimte code]],Ruimtegroepen[#All],4,FALSE)</f>
        <v>Niet in onderhoud</v>
      </c>
      <c r="Q412" s="210"/>
      <c r="R412" s="211"/>
      <c r="S412" s="211"/>
      <c r="T412" s="211">
        <f>IF(R412&gt;0,IF(RIGHT(Ruimtestaat[[#This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412" s="211">
        <f>IF(T412&gt;0,VLOOKUP($J412,Ruimtegroepen[],3,FALSE)*VLOOKUP($L412,Vloersoorten[],3,FALSE)*VLOOKUP($S412,Frequenties[],3,FALSE)*VLOOKUP($A412,Locaties[],3,FALSE),0)</f>
        <v>0</v>
      </c>
      <c r="V412" s="211">
        <f>Ruimtestaat[[#This Row],[Uitvoeringen werkdagen]]*Ruimtestaat[[#This Row],[Oppervlak (netto)]]</f>
        <v>0</v>
      </c>
      <c r="W412" s="257">
        <f>IF(U412&gt;0,Ruimtestaat[[#This Row],[Prest. (m2 /jaar) werkdagen]]/Ruimtestaat[[#This Row],[Norm (m2/uur) werkdagen]],0)</f>
        <v>0</v>
      </c>
      <c r="X412" s="258">
        <f>Ruimtestaat[[#This Row],[uren / jaar werkdagen]]*Tariefsopbouw!$D$38</f>
        <v>0</v>
      </c>
      <c r="Y412" s="33"/>
      <c r="Z412" s="33">
        <f>IF(Ruimtestaat[[#This Row],[Frequentie weekend]]&gt;0,VALUE(LEFT(Y412,1))*R412,0)</f>
        <v>0</v>
      </c>
      <c r="AA412" s="33">
        <f>IF($Z412&gt;0,VLOOKUP($J412,Ruimtegroepen[],3,FALSE)*VLOOKUP($L412,Vloersoorten[],3,FALSE)*VLOOKUP($Y412,Frequenties[],3,FALSE)*VLOOKUP(#REF!,Locaties[],3,FALSE),0)</f>
        <v>0</v>
      </c>
      <c r="AB412" s="33"/>
      <c r="AC412" s="33"/>
      <c r="AD412" s="33">
        <f>Ruimtestaat[[#This Row],[uren / jaar weekend]]*Tariefsopbouw!$D$40</f>
        <v>0</v>
      </c>
      <c r="AE412" s="88">
        <f>Ruimtestaat[[#This Row],[Prest. (m2 /jaar) weekend]]+Ruimtestaat[[#This Row],[Prest. (m2 /jaar) werkdagen]]</f>
        <v>0</v>
      </c>
      <c r="AF412" s="88">
        <f>Ruimtestaat[[#This Row],[uren / jaar weekend]]+Ruimtestaat[[#This Row],[uren / jaar werkdagen]]</f>
        <v>0</v>
      </c>
      <c r="AG412" s="89">
        <f>Ruimtestaat[[#This Row],[kosten / jaar weekend]]+Ruimtestaat[[#This Row],[kosten / jaar werkdagen]]</f>
        <v>0</v>
      </c>
    </row>
    <row r="413" spans="1:33" ht="15" customHeight="1">
      <c r="A413" s="195">
        <v>4</v>
      </c>
      <c r="B413" s="195" t="str">
        <f>VLOOKUP(Ruimtestaat[[#This Row],[Code]],Locaties[#All],2,FALSE)</f>
        <v>Lichtenvoorde gebouw 3</v>
      </c>
      <c r="C413" s="241" t="str">
        <f>VLOOKUP(Ruimtestaat[[#This Row],[Code]],Locaties[#All],4,FALSE)</f>
        <v>Dr Ariensstraat 3</v>
      </c>
      <c r="D413" s="279" t="str">
        <f>VLOOKUP(Ruimtestaat[[#This Row],[Code]],Locaties[#All],5,FALSE)</f>
        <v>7131 XM </v>
      </c>
      <c r="E413" s="279" t="str">
        <f>VLOOKUP(Ruimtestaat[[#This Row],[Code]],Locaties[#All],6,FALSE)</f>
        <v>Lichtenvoorde</v>
      </c>
      <c r="F413" s="278" t="s">
        <v>780</v>
      </c>
      <c r="G413" s="278" t="s">
        <v>776</v>
      </c>
      <c r="H413" s="278" t="s">
        <v>656</v>
      </c>
      <c r="I413" s="280" t="s">
        <v>441</v>
      </c>
      <c r="J413" s="195">
        <v>1</v>
      </c>
      <c r="K413" s="260" t="str">
        <f>VLOOKUP(Ruimtestaat[[#This Row],[Ruimte code]],Ruimtegroepen[#All],2,FALSE)</f>
        <v>Magazijnen/bergingen</v>
      </c>
      <c r="L413" s="211" t="s">
        <v>111</v>
      </c>
      <c r="M413" s="278" t="s">
        <v>693</v>
      </c>
      <c r="N413" s="197">
        <v>7.88</v>
      </c>
      <c r="O413" s="209"/>
      <c r="P413" s="241" t="str">
        <f>VLOOKUP(Ruimtestaat[[#This Row],[Ruimte code]],Ruimtegroepen[#All],4,FALSE)</f>
        <v>V  (Verkeersruimte)</v>
      </c>
      <c r="Q413" s="210"/>
      <c r="R413" s="211">
        <v>40</v>
      </c>
      <c r="S413" s="211" t="s">
        <v>16</v>
      </c>
      <c r="T413" s="211">
        <f>IF(R413&gt;0,IF(RIGHT(Ruimtestaat[[#This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U413" s="211">
        <f>IF(T413&gt;0,VLOOKUP($J413,Ruimtegroepen[],3,FALSE)*VLOOKUP($L413,Vloersoorten[],3,FALSE)*VLOOKUP($S413,Frequenties[],3,FALSE)*VLOOKUP($A413,Locaties[],3,FALSE),0)</f>
        <v>100</v>
      </c>
      <c r="V413" s="211">
        <f>Ruimtestaat[[#This Row],[Uitvoeringen werkdagen]]*Ruimtestaat[[#This Row],[Oppervlak (netto)]]</f>
        <v>94.56</v>
      </c>
      <c r="W413" s="257">
        <f>IF(U413&gt;0,Ruimtestaat[[#This Row],[Prest. (m2 /jaar) werkdagen]]/Ruimtestaat[[#This Row],[Norm (m2/uur) werkdagen]],0)</f>
        <v>0.9456</v>
      </c>
      <c r="X413" s="258">
        <f>Ruimtestaat[[#This Row],[uren / jaar werkdagen]]*Tariefsopbouw!$D$38</f>
        <v>23.64</v>
      </c>
      <c r="Y413" s="33"/>
      <c r="Z413" s="33">
        <f>IF(Ruimtestaat[[#This Row],[Frequentie weekend]]&gt;0,VALUE(LEFT(Y413,1))*R413,0)</f>
        <v>0</v>
      </c>
      <c r="AA413" s="33">
        <f>IF($Z413&gt;0,VLOOKUP($J413,Ruimtegroepen[],3,FALSE)*VLOOKUP($L413,Vloersoorten[],3,FALSE)*VLOOKUP($Y413,Frequenties[],3,FALSE)*VLOOKUP(#REF!,Locaties[],3,FALSE),0)</f>
        <v>0</v>
      </c>
      <c r="AB413" s="33"/>
      <c r="AC413" s="33"/>
      <c r="AD413" s="33">
        <f>Ruimtestaat[[#This Row],[uren / jaar weekend]]*Tariefsopbouw!$D$40</f>
        <v>0</v>
      </c>
      <c r="AE413" s="88">
        <f>Ruimtestaat[[#This Row],[Prest. (m2 /jaar) weekend]]+Ruimtestaat[[#This Row],[Prest. (m2 /jaar) werkdagen]]</f>
        <v>94.56</v>
      </c>
      <c r="AF413" s="88">
        <f>Ruimtestaat[[#This Row],[uren / jaar weekend]]+Ruimtestaat[[#This Row],[uren / jaar werkdagen]]</f>
        <v>0.9456</v>
      </c>
      <c r="AG413" s="89">
        <f>Ruimtestaat[[#This Row],[kosten / jaar weekend]]+Ruimtestaat[[#This Row],[kosten / jaar werkdagen]]</f>
        <v>23.64</v>
      </c>
    </row>
    <row r="414" spans="1:33" ht="15" customHeight="1">
      <c r="A414" s="195">
        <v>4</v>
      </c>
      <c r="B414" s="195" t="str">
        <f>VLOOKUP(Ruimtestaat[[#This Row],[Code]],Locaties[#All],2,FALSE)</f>
        <v>Lichtenvoorde gebouw 3</v>
      </c>
      <c r="C414" s="241" t="str">
        <f>VLOOKUP(Ruimtestaat[[#This Row],[Code]],Locaties[#All],4,FALSE)</f>
        <v>Dr Ariensstraat 3</v>
      </c>
      <c r="D414" s="279" t="str">
        <f>VLOOKUP(Ruimtestaat[[#This Row],[Code]],Locaties[#All],5,FALSE)</f>
        <v>7131 XM </v>
      </c>
      <c r="E414" s="279" t="str">
        <f>VLOOKUP(Ruimtestaat[[#This Row],[Code]],Locaties[#All],6,FALSE)</f>
        <v>Lichtenvoorde</v>
      </c>
      <c r="F414" s="278" t="s">
        <v>780</v>
      </c>
      <c r="G414" s="278" t="s">
        <v>776</v>
      </c>
      <c r="H414" s="278" t="s">
        <v>657</v>
      </c>
      <c r="I414" s="280" t="s">
        <v>782</v>
      </c>
      <c r="J414" s="195">
        <v>6</v>
      </c>
      <c r="K414" s="260" t="str">
        <f>VLOOKUP(Ruimtestaat[[#This Row],[Ruimte code]],Ruimtegroepen[#All],2,FALSE)</f>
        <v>Gangen/hallen</v>
      </c>
      <c r="L414" s="195" t="s">
        <v>110</v>
      </c>
      <c r="M414" s="278" t="s">
        <v>133</v>
      </c>
      <c r="N414" s="197">
        <v>2.89</v>
      </c>
      <c r="O414" s="209"/>
      <c r="P414" s="241" t="str">
        <f>VLOOKUP(Ruimtestaat[[#This Row],[Ruimte code]],Ruimtegroepen[#All],4,FALSE)</f>
        <v>V  (Verkeersruimte)</v>
      </c>
      <c r="Q414" s="210"/>
      <c r="R414" s="211">
        <v>40</v>
      </c>
      <c r="S414" s="211" t="s">
        <v>2</v>
      </c>
      <c r="T414" s="211">
        <f>IF(R414&gt;0,IF(RIGHT(Ruimtestaat[[#This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414" s="211">
        <f>IF(T414&gt;0,VLOOKUP($J414,Ruimtegroepen[],3,FALSE)*VLOOKUP($L414,Vloersoorten[],3,FALSE)*VLOOKUP($S414,Frequenties[],3,FALSE)*VLOOKUP($A414,Locaties[],3,FALSE),0)</f>
        <v>100</v>
      </c>
      <c r="V414" s="211">
        <f>Ruimtestaat[[#This Row],[Uitvoeringen werkdagen]]*Ruimtestaat[[#This Row],[Oppervlak (netto)]]</f>
        <v>578</v>
      </c>
      <c r="W414" s="257">
        <f>IF(U414&gt;0,Ruimtestaat[[#This Row],[Prest. (m2 /jaar) werkdagen]]/Ruimtestaat[[#This Row],[Norm (m2/uur) werkdagen]],0)</f>
        <v>5.78</v>
      </c>
      <c r="X414" s="258">
        <f>Ruimtestaat[[#This Row],[uren / jaar werkdagen]]*Tariefsopbouw!$D$38</f>
        <v>144.5</v>
      </c>
      <c r="Y414" s="33"/>
      <c r="Z414" s="33">
        <f>IF(Ruimtestaat[[#This Row],[Frequentie weekend]]&gt;0,VALUE(LEFT(Y414,1))*R414,0)</f>
        <v>0</v>
      </c>
      <c r="AA414" s="33">
        <f>IF($Z414&gt;0,VLOOKUP($J414,Ruimtegroepen[],3,FALSE)*VLOOKUP($L414,Vloersoorten[],3,FALSE)*VLOOKUP($Y414,Frequenties[],3,FALSE)*VLOOKUP(#REF!,Locaties[],3,FALSE),0)</f>
        <v>0</v>
      </c>
      <c r="AB414" s="33"/>
      <c r="AC414" s="33"/>
      <c r="AD414" s="33">
        <f>Ruimtestaat[[#This Row],[uren / jaar weekend]]*Tariefsopbouw!$D$40</f>
        <v>0</v>
      </c>
      <c r="AE414" s="88">
        <f>Ruimtestaat[[#This Row],[Prest. (m2 /jaar) weekend]]+Ruimtestaat[[#This Row],[Prest. (m2 /jaar) werkdagen]]</f>
        <v>578</v>
      </c>
      <c r="AF414" s="88">
        <f>Ruimtestaat[[#This Row],[uren / jaar weekend]]+Ruimtestaat[[#This Row],[uren / jaar werkdagen]]</f>
        <v>5.78</v>
      </c>
      <c r="AG414" s="89">
        <f>Ruimtestaat[[#This Row],[kosten / jaar weekend]]+Ruimtestaat[[#This Row],[kosten / jaar werkdagen]]</f>
        <v>144.5</v>
      </c>
    </row>
    <row r="415" spans="1:33" ht="15" customHeight="1">
      <c r="A415" s="195">
        <v>4</v>
      </c>
      <c r="B415" s="195" t="str">
        <f>VLOOKUP(Ruimtestaat[[#This Row],[Code]],Locaties[#All],2,FALSE)</f>
        <v>Lichtenvoorde gebouw 3</v>
      </c>
      <c r="C415" s="241" t="str">
        <f>VLOOKUP(Ruimtestaat[[#This Row],[Code]],Locaties[#All],4,FALSE)</f>
        <v>Dr Ariensstraat 3</v>
      </c>
      <c r="D415" s="279" t="str">
        <f>VLOOKUP(Ruimtestaat[[#This Row],[Code]],Locaties[#All],5,FALSE)</f>
        <v>7131 XM </v>
      </c>
      <c r="E415" s="279" t="str">
        <f>VLOOKUP(Ruimtestaat[[#This Row],[Code]],Locaties[#All],6,FALSE)</f>
        <v>Lichtenvoorde</v>
      </c>
      <c r="F415" s="278" t="s">
        <v>780</v>
      </c>
      <c r="G415" s="278" t="s">
        <v>776</v>
      </c>
      <c r="H415" s="278" t="s">
        <v>658</v>
      </c>
      <c r="I415" s="280" t="s">
        <v>659</v>
      </c>
      <c r="J415" s="195">
        <v>10</v>
      </c>
      <c r="K415" s="260" t="str">
        <f>VLOOKUP(Ruimtestaat[[#This Row],[Ruimte code]],Ruimtegroepen[#All],2,FALSE)</f>
        <v>Trappenhuizen/lift</v>
      </c>
      <c r="L415" s="195" t="s">
        <v>110</v>
      </c>
      <c r="M415" s="278" t="s">
        <v>133</v>
      </c>
      <c r="N415" s="197">
        <v>3.73</v>
      </c>
      <c r="O415" s="209"/>
      <c r="P415" s="241" t="str">
        <f>VLOOKUP(Ruimtestaat[[#This Row],[Ruimte code]],Ruimtegroepen[#All],4,FALSE)</f>
        <v>V  (Verkeersruimte)</v>
      </c>
      <c r="Q415" s="210"/>
      <c r="R415" s="211">
        <v>40</v>
      </c>
      <c r="S415" s="211" t="s">
        <v>18</v>
      </c>
      <c r="T415" s="211">
        <f>IF(R415&gt;0,IF(RIGHT(Ruimtestaat[[#This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U415" s="211">
        <f>IF(T415&gt;0,VLOOKUP($J415,Ruimtegroepen[],3,FALSE)*VLOOKUP($L415,Vloersoorten[],3,FALSE)*VLOOKUP($S415,Frequenties[],3,FALSE)*VLOOKUP($A415,Locaties[],3,FALSE),0)</f>
        <v>100</v>
      </c>
      <c r="V415" s="211">
        <f>Ruimtestaat[[#This Row],[Uitvoeringen werkdagen]]*Ruimtestaat[[#This Row],[Oppervlak (netto)]]</f>
        <v>447.6</v>
      </c>
      <c r="W415" s="257">
        <f>IF(U415&gt;0,Ruimtestaat[[#This Row],[Prest. (m2 /jaar) werkdagen]]/Ruimtestaat[[#This Row],[Norm (m2/uur) werkdagen]],0)</f>
        <v>4.476</v>
      </c>
      <c r="X415" s="258">
        <f>Ruimtestaat[[#This Row],[uren / jaar werkdagen]]*Tariefsopbouw!$D$38</f>
        <v>111.9</v>
      </c>
      <c r="Y415" s="33"/>
      <c r="Z415" s="33">
        <f>IF(Ruimtestaat[[#This Row],[Frequentie weekend]]&gt;0,VALUE(LEFT(Y415,1))*R415,0)</f>
        <v>0</v>
      </c>
      <c r="AA415" s="33">
        <f>IF($Z415&gt;0,VLOOKUP($J415,Ruimtegroepen[],3,FALSE)*VLOOKUP($L415,Vloersoorten[],3,FALSE)*VLOOKUP($Y415,Frequenties[],3,FALSE)*VLOOKUP(#REF!,Locaties[],3,FALSE),0)</f>
        <v>0</v>
      </c>
      <c r="AB415" s="33"/>
      <c r="AC415" s="33"/>
      <c r="AD415" s="33">
        <f>Ruimtestaat[[#This Row],[uren / jaar weekend]]*Tariefsopbouw!$D$40</f>
        <v>0</v>
      </c>
      <c r="AE415" s="88">
        <f>Ruimtestaat[[#This Row],[Prest. (m2 /jaar) weekend]]+Ruimtestaat[[#This Row],[Prest. (m2 /jaar) werkdagen]]</f>
        <v>447.6</v>
      </c>
      <c r="AF415" s="88">
        <f>Ruimtestaat[[#This Row],[uren / jaar weekend]]+Ruimtestaat[[#This Row],[uren / jaar werkdagen]]</f>
        <v>4.476</v>
      </c>
      <c r="AG415" s="89">
        <f>Ruimtestaat[[#This Row],[kosten / jaar weekend]]+Ruimtestaat[[#This Row],[kosten / jaar werkdagen]]</f>
        <v>111.9</v>
      </c>
    </row>
    <row r="416" spans="1:33" ht="15" customHeight="1">
      <c r="A416" s="195">
        <v>4</v>
      </c>
      <c r="B416" s="195" t="str">
        <f>VLOOKUP(Ruimtestaat[[#This Row],[Code]],Locaties[#All],2,FALSE)</f>
        <v>Lichtenvoorde gebouw 3</v>
      </c>
      <c r="C416" s="241" t="str">
        <f>VLOOKUP(Ruimtestaat[[#This Row],[Code]],Locaties[#All],4,FALSE)</f>
        <v>Dr Ariensstraat 3</v>
      </c>
      <c r="D416" s="279" t="str">
        <f>VLOOKUP(Ruimtestaat[[#This Row],[Code]],Locaties[#All],5,FALSE)</f>
        <v>7131 XM </v>
      </c>
      <c r="E416" s="279" t="str">
        <f>VLOOKUP(Ruimtestaat[[#This Row],[Code]],Locaties[#All],6,FALSE)</f>
        <v>Lichtenvoorde</v>
      </c>
      <c r="F416" s="278" t="s">
        <v>780</v>
      </c>
      <c r="G416" s="278" t="s">
        <v>776</v>
      </c>
      <c r="H416" s="278" t="s">
        <v>660</v>
      </c>
      <c r="I416" s="280" t="s">
        <v>441</v>
      </c>
      <c r="J416" s="195">
        <v>1</v>
      </c>
      <c r="K416" s="260" t="str">
        <f>VLOOKUP(Ruimtestaat[[#This Row],[Ruimte code]],Ruimtegroepen[#All],2,FALSE)</f>
        <v>Magazijnen/bergingen</v>
      </c>
      <c r="L416" s="195" t="s">
        <v>110</v>
      </c>
      <c r="M416" s="278" t="s">
        <v>133</v>
      </c>
      <c r="N416" s="197">
        <v>5.48</v>
      </c>
      <c r="O416" s="209"/>
      <c r="P416" s="241" t="str">
        <f>VLOOKUP(Ruimtestaat[[#This Row],[Ruimte code]],Ruimtegroepen[#All],4,FALSE)</f>
        <v>V  (Verkeersruimte)</v>
      </c>
      <c r="Q416" s="210"/>
      <c r="R416" s="211">
        <v>40</v>
      </c>
      <c r="S416" s="211" t="s">
        <v>16</v>
      </c>
      <c r="T416" s="211">
        <f>IF(R416&gt;0,IF(RIGHT(Ruimtestaat[[#This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U416" s="211">
        <f>IF(T416&gt;0,VLOOKUP($J416,Ruimtegroepen[],3,FALSE)*VLOOKUP($L416,Vloersoorten[],3,FALSE)*VLOOKUP($S416,Frequenties[],3,FALSE)*VLOOKUP($A416,Locaties[],3,FALSE),0)</f>
        <v>100</v>
      </c>
      <c r="V416" s="211">
        <f>Ruimtestaat[[#This Row],[Uitvoeringen werkdagen]]*Ruimtestaat[[#This Row],[Oppervlak (netto)]]</f>
        <v>65.760000000000005</v>
      </c>
      <c r="W416" s="257">
        <f>IF(U416&gt;0,Ruimtestaat[[#This Row],[Prest. (m2 /jaar) werkdagen]]/Ruimtestaat[[#This Row],[Norm (m2/uur) werkdagen]],0)</f>
        <v>0.65760000000000007</v>
      </c>
      <c r="X416" s="258">
        <f>Ruimtestaat[[#This Row],[uren / jaar werkdagen]]*Tariefsopbouw!$D$38</f>
        <v>16.440000000000001</v>
      </c>
      <c r="Y416" s="33"/>
      <c r="Z416" s="33">
        <f>IF(Ruimtestaat[[#This Row],[Frequentie weekend]]&gt;0,VALUE(LEFT(Y416,1))*R416,0)</f>
        <v>0</v>
      </c>
      <c r="AA416" s="33">
        <f>IF($Z416&gt;0,VLOOKUP($J416,Ruimtegroepen[],3,FALSE)*VLOOKUP($L416,Vloersoorten[],3,FALSE)*VLOOKUP($Y416,Frequenties[],3,FALSE)*VLOOKUP(#REF!,Locaties[],3,FALSE),0)</f>
        <v>0</v>
      </c>
      <c r="AB416" s="33"/>
      <c r="AC416" s="33"/>
      <c r="AD416" s="33">
        <f>Ruimtestaat[[#This Row],[uren / jaar weekend]]*Tariefsopbouw!$D$40</f>
        <v>0</v>
      </c>
      <c r="AE416" s="88">
        <f>Ruimtestaat[[#This Row],[Prest. (m2 /jaar) weekend]]+Ruimtestaat[[#This Row],[Prest. (m2 /jaar) werkdagen]]</f>
        <v>65.760000000000005</v>
      </c>
      <c r="AF416" s="88">
        <f>Ruimtestaat[[#This Row],[uren / jaar weekend]]+Ruimtestaat[[#This Row],[uren / jaar werkdagen]]</f>
        <v>0.65760000000000007</v>
      </c>
      <c r="AG416" s="89">
        <f>Ruimtestaat[[#This Row],[kosten / jaar weekend]]+Ruimtestaat[[#This Row],[kosten / jaar werkdagen]]</f>
        <v>16.440000000000001</v>
      </c>
    </row>
    <row r="417" spans="1:33" ht="15" customHeight="1">
      <c r="A417" s="195">
        <v>4</v>
      </c>
      <c r="B417" s="195" t="str">
        <f>VLOOKUP(Ruimtestaat[[#This Row],[Code]],Locaties[#All],2,FALSE)</f>
        <v>Lichtenvoorde gebouw 3</v>
      </c>
      <c r="C417" s="241" t="str">
        <f>VLOOKUP(Ruimtestaat[[#This Row],[Code]],Locaties[#All],4,FALSE)</f>
        <v>Dr Ariensstraat 3</v>
      </c>
      <c r="D417" s="279" t="str">
        <f>VLOOKUP(Ruimtestaat[[#This Row],[Code]],Locaties[#All],5,FALSE)</f>
        <v>7131 XM </v>
      </c>
      <c r="E417" s="279" t="str">
        <f>VLOOKUP(Ruimtestaat[[#This Row],[Code]],Locaties[#All],6,FALSE)</f>
        <v>Lichtenvoorde</v>
      </c>
      <c r="F417" s="278" t="s">
        <v>780</v>
      </c>
      <c r="G417" s="278">
        <v>1</v>
      </c>
      <c r="H417" s="278" t="s">
        <v>661</v>
      </c>
      <c r="I417" s="280" t="s">
        <v>662</v>
      </c>
      <c r="J417" s="195">
        <v>21</v>
      </c>
      <c r="K417" s="260" t="str">
        <f>VLOOKUP(Ruimtestaat[[#This Row],[Ruimte code]],Ruimtegroepen[#All],2,FALSE)</f>
        <v>Niet in onderhoud</v>
      </c>
      <c r="L417" s="211"/>
      <c r="M417" s="278"/>
      <c r="N417" s="197"/>
      <c r="O417" s="209">
        <v>0.42</v>
      </c>
      <c r="P417" s="241" t="str">
        <f>VLOOKUP(Ruimtestaat[[#This Row],[Ruimte code]],Ruimtegroepen[#All],4,FALSE)</f>
        <v>Niet in onderhoud</v>
      </c>
      <c r="Q417" s="210"/>
      <c r="R417" s="211"/>
      <c r="S417" s="211"/>
      <c r="T417" s="211">
        <f>IF(R417&gt;0,IF(RIGHT(Ruimtestaat[[#This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417" s="211">
        <f>IF(T417&gt;0,VLOOKUP($J417,Ruimtegroepen[],3,FALSE)*VLOOKUP($L417,Vloersoorten[],3,FALSE)*VLOOKUP($S417,Frequenties[],3,FALSE)*VLOOKUP($A417,Locaties[],3,FALSE),0)</f>
        <v>0</v>
      </c>
      <c r="V417" s="211">
        <f>Ruimtestaat[[#This Row],[Uitvoeringen werkdagen]]*Ruimtestaat[[#This Row],[Oppervlak (netto)]]</f>
        <v>0</v>
      </c>
      <c r="W417" s="257">
        <f>IF(U417&gt;0,Ruimtestaat[[#This Row],[Prest. (m2 /jaar) werkdagen]]/Ruimtestaat[[#This Row],[Norm (m2/uur) werkdagen]],0)</f>
        <v>0</v>
      </c>
      <c r="X417" s="258">
        <f>Ruimtestaat[[#This Row],[uren / jaar werkdagen]]*Tariefsopbouw!$D$38</f>
        <v>0</v>
      </c>
      <c r="Y417" s="33"/>
      <c r="Z417" s="33">
        <f>IF(Ruimtestaat[[#This Row],[Frequentie weekend]]&gt;0,VALUE(LEFT(Y417,1))*R417,0)</f>
        <v>0</v>
      </c>
      <c r="AA417" s="33">
        <f>IF($Z417&gt;0,VLOOKUP($J417,Ruimtegroepen[],3,FALSE)*VLOOKUP($L417,Vloersoorten[],3,FALSE)*VLOOKUP($Y417,Frequenties[],3,FALSE)*VLOOKUP(#REF!,Locaties[],3,FALSE),0)</f>
        <v>0</v>
      </c>
      <c r="AB417" s="33"/>
      <c r="AC417" s="33"/>
      <c r="AD417" s="33">
        <f>Ruimtestaat[[#This Row],[uren / jaar weekend]]*Tariefsopbouw!$D$40</f>
        <v>0</v>
      </c>
      <c r="AE417" s="88">
        <f>Ruimtestaat[[#This Row],[Prest. (m2 /jaar) weekend]]+Ruimtestaat[[#This Row],[Prest. (m2 /jaar) werkdagen]]</f>
        <v>0</v>
      </c>
      <c r="AF417" s="88">
        <f>Ruimtestaat[[#This Row],[uren / jaar weekend]]+Ruimtestaat[[#This Row],[uren / jaar werkdagen]]</f>
        <v>0</v>
      </c>
      <c r="AG417" s="89">
        <f>Ruimtestaat[[#This Row],[kosten / jaar weekend]]+Ruimtestaat[[#This Row],[kosten / jaar werkdagen]]</f>
        <v>0</v>
      </c>
    </row>
    <row r="418" spans="1:33" ht="15" customHeight="1">
      <c r="A418" s="195">
        <v>4</v>
      </c>
      <c r="B418" s="195" t="str">
        <f>VLOOKUP(Ruimtestaat[[#This Row],[Code]],Locaties[#All],2,FALSE)</f>
        <v>Lichtenvoorde gebouw 3</v>
      </c>
      <c r="C418" s="241" t="str">
        <f>VLOOKUP(Ruimtestaat[[#This Row],[Code]],Locaties[#All],4,FALSE)</f>
        <v>Dr Ariensstraat 3</v>
      </c>
      <c r="D418" s="279" t="str">
        <f>VLOOKUP(Ruimtestaat[[#This Row],[Code]],Locaties[#All],5,FALSE)</f>
        <v>7131 XM </v>
      </c>
      <c r="E418" s="279" t="str">
        <f>VLOOKUP(Ruimtestaat[[#This Row],[Code]],Locaties[#All],6,FALSE)</f>
        <v>Lichtenvoorde</v>
      </c>
      <c r="F418" s="278" t="s">
        <v>780</v>
      </c>
      <c r="G418" s="278">
        <v>1</v>
      </c>
      <c r="H418" s="278" t="s">
        <v>663</v>
      </c>
      <c r="I418" s="280" t="s">
        <v>662</v>
      </c>
      <c r="J418" s="195">
        <v>21</v>
      </c>
      <c r="K418" s="260" t="str">
        <f>VLOOKUP(Ruimtestaat[[#This Row],[Ruimte code]],Ruimtegroepen[#All],2,FALSE)</f>
        <v>Niet in onderhoud</v>
      </c>
      <c r="L418" s="211"/>
      <c r="M418" s="278"/>
      <c r="N418" s="197"/>
      <c r="O418" s="209">
        <v>0.2</v>
      </c>
      <c r="P418" s="241" t="str">
        <f>VLOOKUP(Ruimtestaat[[#This Row],[Ruimte code]],Ruimtegroepen[#All],4,FALSE)</f>
        <v>Niet in onderhoud</v>
      </c>
      <c r="Q418" s="210"/>
      <c r="R418" s="211"/>
      <c r="S418" s="211"/>
      <c r="T418" s="211">
        <f>IF(R418&gt;0,IF(RIGHT(Ruimtestaat[[#This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418" s="211">
        <f>IF(T418&gt;0,VLOOKUP($J418,Ruimtegroepen[],3,FALSE)*VLOOKUP($L418,Vloersoorten[],3,FALSE)*VLOOKUP($S418,Frequenties[],3,FALSE)*VLOOKUP($A418,Locaties[],3,FALSE),0)</f>
        <v>0</v>
      </c>
      <c r="V418" s="211">
        <f>Ruimtestaat[[#This Row],[Uitvoeringen werkdagen]]*Ruimtestaat[[#This Row],[Oppervlak (netto)]]</f>
        <v>0</v>
      </c>
      <c r="W418" s="257">
        <f>IF(U418&gt;0,Ruimtestaat[[#This Row],[Prest. (m2 /jaar) werkdagen]]/Ruimtestaat[[#This Row],[Norm (m2/uur) werkdagen]],0)</f>
        <v>0</v>
      </c>
      <c r="X418" s="258">
        <f>Ruimtestaat[[#This Row],[uren / jaar werkdagen]]*Tariefsopbouw!$D$38</f>
        <v>0</v>
      </c>
      <c r="Y418" s="33"/>
      <c r="Z418" s="33">
        <f>IF(Ruimtestaat[[#This Row],[Frequentie weekend]]&gt;0,VALUE(LEFT(Y418,1))*R418,0)</f>
        <v>0</v>
      </c>
      <c r="AA418" s="33">
        <f>IF($Z418&gt;0,VLOOKUP($J418,Ruimtegroepen[],3,FALSE)*VLOOKUP($L418,Vloersoorten[],3,FALSE)*VLOOKUP($Y418,Frequenties[],3,FALSE)*VLOOKUP(#REF!,Locaties[],3,FALSE),0)</f>
        <v>0</v>
      </c>
      <c r="AB418" s="33"/>
      <c r="AC418" s="33"/>
      <c r="AD418" s="33">
        <f>Ruimtestaat[[#This Row],[uren / jaar weekend]]*Tariefsopbouw!$D$40</f>
        <v>0</v>
      </c>
      <c r="AE418" s="88">
        <f>Ruimtestaat[[#This Row],[Prest. (m2 /jaar) weekend]]+Ruimtestaat[[#This Row],[Prest. (m2 /jaar) werkdagen]]</f>
        <v>0</v>
      </c>
      <c r="AF418" s="88">
        <f>Ruimtestaat[[#This Row],[uren / jaar weekend]]+Ruimtestaat[[#This Row],[uren / jaar werkdagen]]</f>
        <v>0</v>
      </c>
      <c r="AG418" s="89">
        <f>Ruimtestaat[[#This Row],[kosten / jaar weekend]]+Ruimtestaat[[#This Row],[kosten / jaar werkdagen]]</f>
        <v>0</v>
      </c>
    </row>
    <row r="419" spans="1:33" ht="15" customHeight="1">
      <c r="A419" s="195">
        <v>4</v>
      </c>
      <c r="B419" s="195" t="str">
        <f>VLOOKUP(Ruimtestaat[[#This Row],[Code]],Locaties[#All],2,FALSE)</f>
        <v>Lichtenvoorde gebouw 3</v>
      </c>
      <c r="C419" s="241" t="str">
        <f>VLOOKUP(Ruimtestaat[[#This Row],[Code]],Locaties[#All],4,FALSE)</f>
        <v>Dr Ariensstraat 3</v>
      </c>
      <c r="D419" s="279" t="str">
        <f>VLOOKUP(Ruimtestaat[[#This Row],[Code]],Locaties[#All],5,FALSE)</f>
        <v>7131 XM </v>
      </c>
      <c r="E419" s="279" t="str">
        <f>VLOOKUP(Ruimtestaat[[#This Row],[Code]],Locaties[#All],6,FALSE)</f>
        <v>Lichtenvoorde</v>
      </c>
      <c r="F419" s="278" t="s">
        <v>780</v>
      </c>
      <c r="G419" s="278">
        <v>1</v>
      </c>
      <c r="H419" s="278" t="s">
        <v>664</v>
      </c>
      <c r="I419" s="280" t="s">
        <v>830</v>
      </c>
      <c r="J419" s="195">
        <v>16</v>
      </c>
      <c r="K419" s="260" t="str">
        <f>VLOOKUP(Ruimtestaat[[#This Row],[Ruimte code]],Ruimtegroepen[#All],2,FALSE)</f>
        <v>Lokaal</v>
      </c>
      <c r="L419" s="211" t="s">
        <v>112</v>
      </c>
      <c r="M419" s="278" t="s">
        <v>130</v>
      </c>
      <c r="N419" s="197">
        <v>64.75</v>
      </c>
      <c r="O419" s="209"/>
      <c r="P419" s="241" t="str">
        <f>VLOOKUP(Ruimtestaat[[#This Row],[Ruimte code]],Ruimtegroepen[#All],4,FALSE)</f>
        <v>L  (Lesruimte)</v>
      </c>
      <c r="Q419" s="210"/>
      <c r="R419" s="211">
        <v>40</v>
      </c>
      <c r="S419" s="211" t="s">
        <v>2</v>
      </c>
      <c r="T419" s="211">
        <f>IF(R419&gt;0,IF(RIGHT(Ruimtestaat[[#This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419" s="211">
        <f>IF(T419&gt;0,VLOOKUP($J419,Ruimtegroepen[],3,FALSE)*VLOOKUP($L419,Vloersoorten[],3,FALSE)*VLOOKUP($S419,Frequenties[],3,FALSE)*VLOOKUP($A419,Locaties[],3,FALSE),0)</f>
        <v>100</v>
      </c>
      <c r="V419" s="211">
        <f>Ruimtestaat[[#This Row],[Uitvoeringen werkdagen]]*Ruimtestaat[[#This Row],[Oppervlak (netto)]]</f>
        <v>12950</v>
      </c>
      <c r="W419" s="257">
        <f>IF(U419&gt;0,Ruimtestaat[[#This Row],[Prest. (m2 /jaar) werkdagen]]/Ruimtestaat[[#This Row],[Norm (m2/uur) werkdagen]],0)</f>
        <v>129.5</v>
      </c>
      <c r="X419" s="258">
        <f>Ruimtestaat[[#This Row],[uren / jaar werkdagen]]*Tariefsopbouw!$D$38</f>
        <v>3237.5</v>
      </c>
      <c r="Y419" s="33"/>
      <c r="Z419" s="33">
        <f>IF(Ruimtestaat[[#This Row],[Frequentie weekend]]&gt;0,VALUE(LEFT(Y419,1))*R419,0)</f>
        <v>0</v>
      </c>
      <c r="AA419" s="33">
        <f>IF($Z419&gt;0,VLOOKUP($J419,Ruimtegroepen[],3,FALSE)*VLOOKUP($L419,Vloersoorten[],3,FALSE)*VLOOKUP($Y419,Frequenties[],3,FALSE)*VLOOKUP(#REF!,Locaties[],3,FALSE),0)</f>
        <v>0</v>
      </c>
      <c r="AB419" s="33"/>
      <c r="AC419" s="33"/>
      <c r="AD419" s="33">
        <f>Ruimtestaat[[#This Row],[uren / jaar weekend]]*Tariefsopbouw!$D$40</f>
        <v>0</v>
      </c>
      <c r="AE419" s="88">
        <f>Ruimtestaat[[#This Row],[Prest. (m2 /jaar) weekend]]+Ruimtestaat[[#This Row],[Prest. (m2 /jaar) werkdagen]]</f>
        <v>12950</v>
      </c>
      <c r="AF419" s="88">
        <f>Ruimtestaat[[#This Row],[uren / jaar weekend]]+Ruimtestaat[[#This Row],[uren / jaar werkdagen]]</f>
        <v>129.5</v>
      </c>
      <c r="AG419" s="89">
        <f>Ruimtestaat[[#This Row],[kosten / jaar weekend]]+Ruimtestaat[[#This Row],[kosten / jaar werkdagen]]</f>
        <v>3237.5</v>
      </c>
    </row>
    <row r="420" spans="1:33" ht="15" customHeight="1">
      <c r="A420" s="195">
        <v>4</v>
      </c>
      <c r="B420" s="195" t="str">
        <f>VLOOKUP(Ruimtestaat[[#This Row],[Code]],Locaties[#All],2,FALSE)</f>
        <v>Lichtenvoorde gebouw 3</v>
      </c>
      <c r="C420" s="241" t="str">
        <f>VLOOKUP(Ruimtestaat[[#This Row],[Code]],Locaties[#All],4,FALSE)</f>
        <v>Dr Ariensstraat 3</v>
      </c>
      <c r="D420" s="279" t="str">
        <f>VLOOKUP(Ruimtestaat[[#This Row],[Code]],Locaties[#All],5,FALSE)</f>
        <v>7131 XM </v>
      </c>
      <c r="E420" s="279" t="str">
        <f>VLOOKUP(Ruimtestaat[[#This Row],[Code]],Locaties[#All],6,FALSE)</f>
        <v>Lichtenvoorde</v>
      </c>
      <c r="F420" s="278" t="s">
        <v>780</v>
      </c>
      <c r="G420" s="278">
        <v>1</v>
      </c>
      <c r="H420" s="278" t="s">
        <v>665</v>
      </c>
      <c r="I420" s="280" t="s">
        <v>830</v>
      </c>
      <c r="J420" s="195">
        <v>16</v>
      </c>
      <c r="K420" s="260" t="str">
        <f>VLOOKUP(Ruimtestaat[[#This Row],[Ruimte code]],Ruimtegroepen[#All],2,FALSE)</f>
        <v>Lokaal</v>
      </c>
      <c r="L420" s="195" t="s">
        <v>112</v>
      </c>
      <c r="M420" s="278" t="s">
        <v>130</v>
      </c>
      <c r="N420" s="197">
        <v>64.75</v>
      </c>
      <c r="O420" s="209"/>
      <c r="P420" s="241" t="str">
        <f>VLOOKUP(Ruimtestaat[[#This Row],[Ruimte code]],Ruimtegroepen[#All],4,FALSE)</f>
        <v>L  (Lesruimte)</v>
      </c>
      <c r="Q420" s="210"/>
      <c r="R420" s="211">
        <v>40</v>
      </c>
      <c r="S420" s="211" t="s">
        <v>2</v>
      </c>
      <c r="T420" s="211">
        <f>IF(R420&gt;0,IF(RIGHT(Ruimtestaat[[#This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420" s="211">
        <f>IF(T420&gt;0,VLOOKUP($J420,Ruimtegroepen[],3,FALSE)*VLOOKUP($L420,Vloersoorten[],3,FALSE)*VLOOKUP($S420,Frequenties[],3,FALSE)*VLOOKUP($A420,Locaties[],3,FALSE),0)</f>
        <v>100</v>
      </c>
      <c r="V420" s="211">
        <f>Ruimtestaat[[#This Row],[Uitvoeringen werkdagen]]*Ruimtestaat[[#This Row],[Oppervlak (netto)]]</f>
        <v>12950</v>
      </c>
      <c r="W420" s="257">
        <f>IF(U420&gt;0,Ruimtestaat[[#This Row],[Prest. (m2 /jaar) werkdagen]]/Ruimtestaat[[#This Row],[Norm (m2/uur) werkdagen]],0)</f>
        <v>129.5</v>
      </c>
      <c r="X420" s="258">
        <f>Ruimtestaat[[#This Row],[uren / jaar werkdagen]]*Tariefsopbouw!$D$38</f>
        <v>3237.5</v>
      </c>
      <c r="Y420" s="33"/>
      <c r="Z420" s="33">
        <f>IF(Ruimtestaat[[#This Row],[Frequentie weekend]]&gt;0,VALUE(LEFT(Y420,1))*R420,0)</f>
        <v>0</v>
      </c>
      <c r="AA420" s="33">
        <f>IF($Z420&gt;0,VLOOKUP($J420,Ruimtegroepen[],3,FALSE)*VLOOKUP($L420,Vloersoorten[],3,FALSE)*VLOOKUP($Y420,Frequenties[],3,FALSE)*VLOOKUP(#REF!,Locaties[],3,FALSE),0)</f>
        <v>0</v>
      </c>
      <c r="AB420" s="33"/>
      <c r="AC420" s="33"/>
      <c r="AD420" s="33">
        <f>Ruimtestaat[[#This Row],[uren / jaar weekend]]*Tariefsopbouw!$D$40</f>
        <v>0</v>
      </c>
      <c r="AE420" s="88">
        <f>Ruimtestaat[[#This Row],[Prest. (m2 /jaar) weekend]]+Ruimtestaat[[#This Row],[Prest. (m2 /jaar) werkdagen]]</f>
        <v>12950</v>
      </c>
      <c r="AF420" s="88">
        <f>Ruimtestaat[[#This Row],[uren / jaar weekend]]+Ruimtestaat[[#This Row],[uren / jaar werkdagen]]</f>
        <v>129.5</v>
      </c>
      <c r="AG420" s="89">
        <f>Ruimtestaat[[#This Row],[kosten / jaar weekend]]+Ruimtestaat[[#This Row],[kosten / jaar werkdagen]]</f>
        <v>3237.5</v>
      </c>
    </row>
    <row r="421" spans="1:33" ht="15" customHeight="1">
      <c r="A421" s="195">
        <v>4</v>
      </c>
      <c r="B421" s="195" t="str">
        <f>VLOOKUP(Ruimtestaat[[#This Row],[Code]],Locaties[#All],2,FALSE)</f>
        <v>Lichtenvoorde gebouw 3</v>
      </c>
      <c r="C421" s="241" t="str">
        <f>VLOOKUP(Ruimtestaat[[#This Row],[Code]],Locaties[#All],4,FALSE)</f>
        <v>Dr Ariensstraat 3</v>
      </c>
      <c r="D421" s="279" t="str">
        <f>VLOOKUP(Ruimtestaat[[#This Row],[Code]],Locaties[#All],5,FALSE)</f>
        <v>7131 XM </v>
      </c>
      <c r="E421" s="279" t="str">
        <f>VLOOKUP(Ruimtestaat[[#This Row],[Code]],Locaties[#All],6,FALSE)</f>
        <v>Lichtenvoorde</v>
      </c>
      <c r="F421" s="278" t="s">
        <v>780</v>
      </c>
      <c r="G421" s="278">
        <v>1</v>
      </c>
      <c r="H421" s="278" t="s">
        <v>666</v>
      </c>
      <c r="I421" s="280" t="s">
        <v>830</v>
      </c>
      <c r="J421" s="195">
        <v>16</v>
      </c>
      <c r="K421" s="260" t="str">
        <f>VLOOKUP(Ruimtestaat[[#This Row],[Ruimte code]],Ruimtegroepen[#All],2,FALSE)</f>
        <v>Lokaal</v>
      </c>
      <c r="L421" s="211" t="s">
        <v>109</v>
      </c>
      <c r="M421" s="278" t="s">
        <v>38</v>
      </c>
      <c r="N421" s="197">
        <v>74.53</v>
      </c>
      <c r="O421" s="209"/>
      <c r="P421" s="241" t="str">
        <f>VLOOKUP(Ruimtestaat[[#This Row],[Ruimte code]],Ruimtegroepen[#All],4,FALSE)</f>
        <v>L  (Lesruimte)</v>
      </c>
      <c r="Q421" s="210"/>
      <c r="R421" s="211">
        <v>40</v>
      </c>
      <c r="S421" s="211" t="s">
        <v>2</v>
      </c>
      <c r="T421" s="211">
        <f>IF(R421&gt;0,IF(RIGHT(Ruimtestaat[[#This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421" s="211">
        <f>IF(T421&gt;0,VLOOKUP($J421,Ruimtegroepen[],3,FALSE)*VLOOKUP($L421,Vloersoorten[],3,FALSE)*VLOOKUP($S421,Frequenties[],3,FALSE)*VLOOKUP($A421,Locaties[],3,FALSE),0)</f>
        <v>100</v>
      </c>
      <c r="V421" s="211">
        <f>Ruimtestaat[[#This Row],[Uitvoeringen werkdagen]]*Ruimtestaat[[#This Row],[Oppervlak (netto)]]</f>
        <v>14906</v>
      </c>
      <c r="W421" s="257">
        <f>IF(U421&gt;0,Ruimtestaat[[#This Row],[Prest. (m2 /jaar) werkdagen]]/Ruimtestaat[[#This Row],[Norm (m2/uur) werkdagen]],0)</f>
        <v>149.06</v>
      </c>
      <c r="X421" s="258">
        <f>Ruimtestaat[[#This Row],[uren / jaar werkdagen]]*Tariefsopbouw!$D$38</f>
        <v>3726.5</v>
      </c>
      <c r="Y421" s="33"/>
      <c r="Z421" s="33">
        <f>IF(Ruimtestaat[[#This Row],[Frequentie weekend]]&gt;0,VALUE(LEFT(Y421,1))*R421,0)</f>
        <v>0</v>
      </c>
      <c r="AA421" s="33">
        <f>IF($Z421&gt;0,VLOOKUP($J421,Ruimtegroepen[],3,FALSE)*VLOOKUP($L421,Vloersoorten[],3,FALSE)*VLOOKUP($Y421,Frequenties[],3,FALSE)*VLOOKUP(#REF!,Locaties[],3,FALSE),0)</f>
        <v>0</v>
      </c>
      <c r="AB421" s="33"/>
      <c r="AC421" s="33"/>
      <c r="AD421" s="33">
        <f>Ruimtestaat[[#This Row],[uren / jaar weekend]]*Tariefsopbouw!$D$40</f>
        <v>0</v>
      </c>
      <c r="AE421" s="88">
        <f>Ruimtestaat[[#This Row],[Prest. (m2 /jaar) weekend]]+Ruimtestaat[[#This Row],[Prest. (m2 /jaar) werkdagen]]</f>
        <v>14906</v>
      </c>
      <c r="AF421" s="88">
        <f>Ruimtestaat[[#This Row],[uren / jaar weekend]]+Ruimtestaat[[#This Row],[uren / jaar werkdagen]]</f>
        <v>149.06</v>
      </c>
      <c r="AG421" s="89">
        <f>Ruimtestaat[[#This Row],[kosten / jaar weekend]]+Ruimtestaat[[#This Row],[kosten / jaar werkdagen]]</f>
        <v>3726.5</v>
      </c>
    </row>
    <row r="422" spans="1:33" ht="15" customHeight="1">
      <c r="A422" s="195">
        <v>4</v>
      </c>
      <c r="B422" s="195" t="str">
        <f>VLOOKUP(Ruimtestaat[[#This Row],[Code]],Locaties[#All],2,FALSE)</f>
        <v>Lichtenvoorde gebouw 3</v>
      </c>
      <c r="C422" s="241" t="str">
        <f>VLOOKUP(Ruimtestaat[[#This Row],[Code]],Locaties[#All],4,FALSE)</f>
        <v>Dr Ariensstraat 3</v>
      </c>
      <c r="D422" s="279" t="str">
        <f>VLOOKUP(Ruimtestaat[[#This Row],[Code]],Locaties[#All],5,FALSE)</f>
        <v>7131 XM </v>
      </c>
      <c r="E422" s="279" t="str">
        <f>VLOOKUP(Ruimtestaat[[#This Row],[Code]],Locaties[#All],6,FALSE)</f>
        <v>Lichtenvoorde</v>
      </c>
      <c r="F422" s="278" t="s">
        <v>780</v>
      </c>
      <c r="G422" s="278">
        <v>1</v>
      </c>
      <c r="H422" s="278" t="s">
        <v>667</v>
      </c>
      <c r="I422" s="280" t="s">
        <v>449</v>
      </c>
      <c r="J422" s="195">
        <v>2</v>
      </c>
      <c r="K422" s="260" t="str">
        <f>VLOOKUP(Ruimtestaat[[#This Row],[Ruimte code]],Ruimtegroepen[#All],2,FALSE)</f>
        <v>Kantoren</v>
      </c>
      <c r="L422" s="211" t="s">
        <v>109</v>
      </c>
      <c r="M422" s="278" t="s">
        <v>38</v>
      </c>
      <c r="N422" s="197">
        <v>8.43</v>
      </c>
      <c r="O422" s="209"/>
      <c r="P422" s="241" t="str">
        <f>VLOOKUP(Ruimtestaat[[#This Row],[Ruimte code]],Ruimtegroepen[#All],4,FALSE)</f>
        <v>B  (Bureauruimte)</v>
      </c>
      <c r="Q422" s="210"/>
      <c r="R422" s="211">
        <v>40</v>
      </c>
      <c r="S422" s="211" t="s">
        <v>18</v>
      </c>
      <c r="T422" s="211">
        <f>IF(R422&gt;0,IF(RIGHT(Ruimtestaat[[#This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U422" s="211">
        <f>IF(T422&gt;0,VLOOKUP($J422,Ruimtegroepen[],3,FALSE)*VLOOKUP($L422,Vloersoorten[],3,FALSE)*VLOOKUP($S422,Frequenties[],3,FALSE)*VLOOKUP($A422,Locaties[],3,FALSE),0)</f>
        <v>100</v>
      </c>
      <c r="V422" s="211">
        <f>Ruimtestaat[[#This Row],[Uitvoeringen werkdagen]]*Ruimtestaat[[#This Row],[Oppervlak (netto)]]</f>
        <v>1011.5999999999999</v>
      </c>
      <c r="W422" s="257">
        <f>IF(U422&gt;0,Ruimtestaat[[#This Row],[Prest. (m2 /jaar) werkdagen]]/Ruimtestaat[[#This Row],[Norm (m2/uur) werkdagen]],0)</f>
        <v>10.116</v>
      </c>
      <c r="X422" s="258">
        <f>Ruimtestaat[[#This Row],[uren / jaar werkdagen]]*Tariefsopbouw!$D$38</f>
        <v>252.89999999999998</v>
      </c>
      <c r="Y422" s="33"/>
      <c r="Z422" s="33">
        <f>IF(Ruimtestaat[[#This Row],[Frequentie weekend]]&gt;0,VALUE(LEFT(Y422,1))*R422,0)</f>
        <v>0</v>
      </c>
      <c r="AA422" s="33">
        <f>IF($Z422&gt;0,VLOOKUP($J422,Ruimtegroepen[],3,FALSE)*VLOOKUP($L422,Vloersoorten[],3,FALSE)*VLOOKUP($Y422,Frequenties[],3,FALSE)*VLOOKUP(#REF!,Locaties[],3,FALSE),0)</f>
        <v>0</v>
      </c>
      <c r="AB422" s="33"/>
      <c r="AC422" s="33"/>
      <c r="AD422" s="33">
        <f>Ruimtestaat[[#This Row],[uren / jaar weekend]]*Tariefsopbouw!$D$40</f>
        <v>0</v>
      </c>
      <c r="AE422" s="88">
        <f>Ruimtestaat[[#This Row],[Prest. (m2 /jaar) weekend]]+Ruimtestaat[[#This Row],[Prest. (m2 /jaar) werkdagen]]</f>
        <v>1011.5999999999999</v>
      </c>
      <c r="AF422" s="88">
        <f>Ruimtestaat[[#This Row],[uren / jaar weekend]]+Ruimtestaat[[#This Row],[uren / jaar werkdagen]]</f>
        <v>10.116</v>
      </c>
      <c r="AG422" s="89">
        <f>Ruimtestaat[[#This Row],[kosten / jaar weekend]]+Ruimtestaat[[#This Row],[kosten / jaar werkdagen]]</f>
        <v>252.89999999999998</v>
      </c>
    </row>
    <row r="423" spans="1:33" ht="15" customHeight="1">
      <c r="A423" s="195">
        <v>4</v>
      </c>
      <c r="B423" s="195" t="str">
        <f>VLOOKUP(Ruimtestaat[[#This Row],[Code]],Locaties[#All],2,FALSE)</f>
        <v>Lichtenvoorde gebouw 3</v>
      </c>
      <c r="C423" s="241" t="str">
        <f>VLOOKUP(Ruimtestaat[[#This Row],[Code]],Locaties[#All],4,FALSE)</f>
        <v>Dr Ariensstraat 3</v>
      </c>
      <c r="D423" s="279" t="str">
        <f>VLOOKUP(Ruimtestaat[[#This Row],[Code]],Locaties[#All],5,FALSE)</f>
        <v>7131 XM </v>
      </c>
      <c r="E423" s="279" t="str">
        <f>VLOOKUP(Ruimtestaat[[#This Row],[Code]],Locaties[#All],6,FALSE)</f>
        <v>Lichtenvoorde</v>
      </c>
      <c r="F423" s="278" t="s">
        <v>780</v>
      </c>
      <c r="G423" s="278">
        <v>1</v>
      </c>
      <c r="H423" s="278" t="s">
        <v>668</v>
      </c>
      <c r="I423" s="280" t="s">
        <v>441</v>
      </c>
      <c r="J423" s="195">
        <v>1</v>
      </c>
      <c r="K423" s="260" t="str">
        <f>VLOOKUP(Ruimtestaat[[#This Row],[Ruimte code]],Ruimtegroepen[#All],2,FALSE)</f>
        <v>Magazijnen/bergingen</v>
      </c>
      <c r="L423" s="211" t="s">
        <v>110</v>
      </c>
      <c r="M423" s="278" t="s">
        <v>133</v>
      </c>
      <c r="N423" s="197">
        <v>6.52</v>
      </c>
      <c r="O423" s="209"/>
      <c r="P423" s="241" t="str">
        <f>VLOOKUP(Ruimtestaat[[#This Row],[Ruimte code]],Ruimtegroepen[#All],4,FALSE)</f>
        <v>V  (Verkeersruimte)</v>
      </c>
      <c r="Q423" s="210"/>
      <c r="R423" s="211">
        <v>40</v>
      </c>
      <c r="S423" s="211" t="s">
        <v>16</v>
      </c>
      <c r="T423" s="211">
        <f>IF(R423&gt;0,IF(RIGHT(Ruimtestaat[[#This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U423" s="211">
        <f>IF(T423&gt;0,VLOOKUP($J423,Ruimtegroepen[],3,FALSE)*VLOOKUP($L423,Vloersoorten[],3,FALSE)*VLOOKUP($S423,Frequenties[],3,FALSE)*VLOOKUP($A423,Locaties[],3,FALSE),0)</f>
        <v>100</v>
      </c>
      <c r="V423" s="211">
        <f>Ruimtestaat[[#This Row],[Uitvoeringen werkdagen]]*Ruimtestaat[[#This Row],[Oppervlak (netto)]]</f>
        <v>78.239999999999995</v>
      </c>
      <c r="W423" s="257">
        <f>IF(U423&gt;0,Ruimtestaat[[#This Row],[Prest. (m2 /jaar) werkdagen]]/Ruimtestaat[[#This Row],[Norm (m2/uur) werkdagen]],0)</f>
        <v>0.78239999999999998</v>
      </c>
      <c r="X423" s="258">
        <f>Ruimtestaat[[#This Row],[uren / jaar werkdagen]]*Tariefsopbouw!$D$38</f>
        <v>19.559999999999999</v>
      </c>
      <c r="Y423" s="33"/>
      <c r="Z423" s="33">
        <f>IF(Ruimtestaat[[#This Row],[Frequentie weekend]]&gt;0,VALUE(LEFT(Y423,1))*R423,0)</f>
        <v>0</v>
      </c>
      <c r="AA423" s="33">
        <f>IF($Z423&gt;0,VLOOKUP($J423,Ruimtegroepen[],3,FALSE)*VLOOKUP($L423,Vloersoorten[],3,FALSE)*VLOOKUP($Y423,Frequenties[],3,FALSE)*VLOOKUP(#REF!,Locaties[],3,FALSE),0)</f>
        <v>0</v>
      </c>
      <c r="AB423" s="33"/>
      <c r="AC423" s="33"/>
      <c r="AD423" s="33">
        <f>Ruimtestaat[[#This Row],[uren / jaar weekend]]*Tariefsopbouw!$D$40</f>
        <v>0</v>
      </c>
      <c r="AE423" s="88">
        <f>Ruimtestaat[[#This Row],[Prest. (m2 /jaar) weekend]]+Ruimtestaat[[#This Row],[Prest. (m2 /jaar) werkdagen]]</f>
        <v>78.239999999999995</v>
      </c>
      <c r="AF423" s="88">
        <f>Ruimtestaat[[#This Row],[uren / jaar weekend]]+Ruimtestaat[[#This Row],[uren / jaar werkdagen]]</f>
        <v>0.78239999999999998</v>
      </c>
      <c r="AG423" s="89">
        <f>Ruimtestaat[[#This Row],[kosten / jaar weekend]]+Ruimtestaat[[#This Row],[kosten / jaar werkdagen]]</f>
        <v>19.559999999999999</v>
      </c>
    </row>
    <row r="424" spans="1:33" ht="15" customHeight="1">
      <c r="A424" s="195">
        <v>4</v>
      </c>
      <c r="B424" s="195" t="str">
        <f>VLOOKUP(Ruimtestaat[[#This Row],[Code]],Locaties[#All],2,FALSE)</f>
        <v>Lichtenvoorde gebouw 3</v>
      </c>
      <c r="C424" s="241" t="str">
        <f>VLOOKUP(Ruimtestaat[[#This Row],[Code]],Locaties[#All],4,FALSE)</f>
        <v>Dr Ariensstraat 3</v>
      </c>
      <c r="D424" s="279" t="str">
        <f>VLOOKUP(Ruimtestaat[[#This Row],[Code]],Locaties[#All],5,FALSE)</f>
        <v>7131 XM </v>
      </c>
      <c r="E424" s="279" t="str">
        <f>VLOOKUP(Ruimtestaat[[#This Row],[Code]],Locaties[#All],6,FALSE)</f>
        <v>Lichtenvoorde</v>
      </c>
      <c r="F424" s="278" t="s">
        <v>780</v>
      </c>
      <c r="G424" s="278">
        <v>1</v>
      </c>
      <c r="H424" s="278" t="s">
        <v>669</v>
      </c>
      <c r="I424" s="280" t="s">
        <v>601</v>
      </c>
      <c r="J424" s="195">
        <v>21</v>
      </c>
      <c r="K424" s="260" t="str">
        <f>VLOOKUP(Ruimtestaat[[#This Row],[Ruimte code]],Ruimtegroepen[#All],2,FALSE)</f>
        <v>Niet in onderhoud</v>
      </c>
      <c r="L424" s="279" t="s">
        <v>110</v>
      </c>
      <c r="M424" s="278" t="s">
        <v>133</v>
      </c>
      <c r="N424" s="197"/>
      <c r="O424" s="209">
        <v>3.67</v>
      </c>
      <c r="P424" s="241" t="str">
        <f>VLOOKUP(Ruimtestaat[[#This Row],[Ruimte code]],Ruimtegroepen[#All],4,FALSE)</f>
        <v>Niet in onderhoud</v>
      </c>
      <c r="Q424" s="210"/>
      <c r="R424" s="211"/>
      <c r="S424" s="211"/>
      <c r="T424" s="211">
        <f>IF(R424&gt;0,IF(RIGHT(Ruimtestaat[[#This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424" s="211">
        <f>IF(T424&gt;0,VLOOKUP($J424,Ruimtegroepen[],3,FALSE)*VLOOKUP($L424,Vloersoorten[],3,FALSE)*VLOOKUP($S424,Frequenties[],3,FALSE)*VLOOKUP($A424,Locaties[],3,FALSE),0)</f>
        <v>0</v>
      </c>
      <c r="V424" s="211">
        <f>Ruimtestaat[[#This Row],[Uitvoeringen werkdagen]]*Ruimtestaat[[#This Row],[Oppervlak (netto)]]</f>
        <v>0</v>
      </c>
      <c r="W424" s="257">
        <f>IF(U424&gt;0,Ruimtestaat[[#This Row],[Prest. (m2 /jaar) werkdagen]]/Ruimtestaat[[#This Row],[Norm (m2/uur) werkdagen]],0)</f>
        <v>0</v>
      </c>
      <c r="X424" s="258">
        <f>Ruimtestaat[[#This Row],[uren / jaar werkdagen]]*Tariefsopbouw!$D$38</f>
        <v>0</v>
      </c>
      <c r="Y424" s="33"/>
      <c r="Z424" s="33">
        <f>IF(Ruimtestaat[[#This Row],[Frequentie weekend]]&gt;0,VALUE(LEFT(Y424,1))*R424,0)</f>
        <v>0</v>
      </c>
      <c r="AA424" s="33">
        <f>IF($Z424&gt;0,VLOOKUP($J424,Ruimtegroepen[],3,FALSE)*VLOOKUP($L424,Vloersoorten[],3,FALSE)*VLOOKUP($Y424,Frequenties[],3,FALSE)*VLOOKUP(#REF!,Locaties[],3,FALSE),0)</f>
        <v>0</v>
      </c>
      <c r="AB424" s="33"/>
      <c r="AC424" s="33"/>
      <c r="AD424" s="33">
        <f>Ruimtestaat[[#This Row],[uren / jaar weekend]]*Tariefsopbouw!$D$40</f>
        <v>0</v>
      </c>
      <c r="AE424" s="88">
        <f>Ruimtestaat[[#This Row],[Prest. (m2 /jaar) weekend]]+Ruimtestaat[[#This Row],[Prest. (m2 /jaar) werkdagen]]</f>
        <v>0</v>
      </c>
      <c r="AF424" s="88">
        <f>Ruimtestaat[[#This Row],[uren / jaar weekend]]+Ruimtestaat[[#This Row],[uren / jaar werkdagen]]</f>
        <v>0</v>
      </c>
      <c r="AG424" s="89">
        <f>Ruimtestaat[[#This Row],[kosten / jaar weekend]]+Ruimtestaat[[#This Row],[kosten / jaar werkdagen]]</f>
        <v>0</v>
      </c>
    </row>
    <row r="425" spans="1:33" ht="15" customHeight="1">
      <c r="A425" s="195">
        <v>4</v>
      </c>
      <c r="B425" s="195" t="str">
        <f>VLOOKUP(Ruimtestaat[[#This Row],[Code]],Locaties[#All],2,FALSE)</f>
        <v>Lichtenvoorde gebouw 3</v>
      </c>
      <c r="C425" s="241" t="str">
        <f>VLOOKUP(Ruimtestaat[[#This Row],[Code]],Locaties[#All],4,FALSE)</f>
        <v>Dr Ariensstraat 3</v>
      </c>
      <c r="D425" s="279" t="str">
        <f>VLOOKUP(Ruimtestaat[[#This Row],[Code]],Locaties[#All],5,FALSE)</f>
        <v>7131 XM </v>
      </c>
      <c r="E425" s="279" t="str">
        <f>VLOOKUP(Ruimtestaat[[#This Row],[Code]],Locaties[#All],6,FALSE)</f>
        <v>Lichtenvoorde</v>
      </c>
      <c r="F425" s="278" t="s">
        <v>780</v>
      </c>
      <c r="G425" s="278">
        <v>1</v>
      </c>
      <c r="H425" s="278" t="s">
        <v>670</v>
      </c>
      <c r="I425" s="280" t="s">
        <v>449</v>
      </c>
      <c r="J425" s="195">
        <v>2</v>
      </c>
      <c r="K425" s="260" t="str">
        <f>VLOOKUP(Ruimtestaat[[#This Row],[Ruimte code]],Ruimtegroepen[#All],2,FALSE)</f>
        <v>Kantoren</v>
      </c>
      <c r="L425" s="279" t="s">
        <v>112</v>
      </c>
      <c r="M425" s="278" t="s">
        <v>130</v>
      </c>
      <c r="N425" s="197">
        <v>27.71</v>
      </c>
      <c r="O425" s="209"/>
      <c r="P425" s="241" t="str">
        <f>VLOOKUP(Ruimtestaat[[#This Row],[Ruimte code]],Ruimtegroepen[#All],4,FALSE)</f>
        <v>B  (Bureauruimte)</v>
      </c>
      <c r="Q425" s="210"/>
      <c r="R425" s="211">
        <v>40</v>
      </c>
      <c r="S425" s="211" t="s">
        <v>2</v>
      </c>
      <c r="T425" s="211">
        <f>IF(R425&gt;0,IF(RIGHT(Ruimtestaat[[#This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425" s="211">
        <f>IF(T425&gt;0,VLOOKUP($J425,Ruimtegroepen[],3,FALSE)*VLOOKUP($L425,Vloersoorten[],3,FALSE)*VLOOKUP($S425,Frequenties[],3,FALSE)*VLOOKUP($A425,Locaties[],3,FALSE),0)</f>
        <v>100</v>
      </c>
      <c r="V425" s="211">
        <f>Ruimtestaat[[#This Row],[Uitvoeringen werkdagen]]*Ruimtestaat[[#This Row],[Oppervlak (netto)]]</f>
        <v>5542</v>
      </c>
      <c r="W425" s="257">
        <f>IF(U425&gt;0,Ruimtestaat[[#This Row],[Prest. (m2 /jaar) werkdagen]]/Ruimtestaat[[#This Row],[Norm (m2/uur) werkdagen]],0)</f>
        <v>55.42</v>
      </c>
      <c r="X425" s="258">
        <f>Ruimtestaat[[#This Row],[uren / jaar werkdagen]]*Tariefsopbouw!$D$38</f>
        <v>1385.5</v>
      </c>
      <c r="Y425" s="33"/>
      <c r="Z425" s="33">
        <f>IF(Ruimtestaat[[#This Row],[Frequentie weekend]]&gt;0,VALUE(LEFT(Y425,1))*R425,0)</f>
        <v>0</v>
      </c>
      <c r="AA425" s="33">
        <f>IF($Z425&gt;0,VLOOKUP($J425,Ruimtegroepen[],3,FALSE)*VLOOKUP($L425,Vloersoorten[],3,FALSE)*VLOOKUP($Y425,Frequenties[],3,FALSE)*VLOOKUP(#REF!,Locaties[],3,FALSE),0)</f>
        <v>0</v>
      </c>
      <c r="AB425" s="33"/>
      <c r="AC425" s="33"/>
      <c r="AD425" s="33">
        <f>Ruimtestaat[[#This Row],[uren / jaar weekend]]*Tariefsopbouw!$D$40</f>
        <v>0</v>
      </c>
      <c r="AE425" s="88">
        <f>Ruimtestaat[[#This Row],[Prest. (m2 /jaar) weekend]]+Ruimtestaat[[#This Row],[Prest. (m2 /jaar) werkdagen]]</f>
        <v>5542</v>
      </c>
      <c r="AF425" s="88">
        <f>Ruimtestaat[[#This Row],[uren / jaar weekend]]+Ruimtestaat[[#This Row],[uren / jaar werkdagen]]</f>
        <v>55.42</v>
      </c>
      <c r="AG425" s="89">
        <f>Ruimtestaat[[#This Row],[kosten / jaar weekend]]+Ruimtestaat[[#This Row],[kosten / jaar werkdagen]]</f>
        <v>1385.5</v>
      </c>
    </row>
    <row r="426" spans="1:33" ht="15" customHeight="1">
      <c r="A426" s="195">
        <v>4</v>
      </c>
      <c r="B426" s="195" t="str">
        <f>VLOOKUP(Ruimtestaat[[#This Row],[Code]],Locaties[#All],2,FALSE)</f>
        <v>Lichtenvoorde gebouw 3</v>
      </c>
      <c r="C426" s="241" t="str">
        <f>VLOOKUP(Ruimtestaat[[#This Row],[Code]],Locaties[#All],4,FALSE)</f>
        <v>Dr Ariensstraat 3</v>
      </c>
      <c r="D426" s="279" t="str">
        <f>VLOOKUP(Ruimtestaat[[#This Row],[Code]],Locaties[#All],5,FALSE)</f>
        <v>7131 XM </v>
      </c>
      <c r="E426" s="279" t="str">
        <f>VLOOKUP(Ruimtestaat[[#This Row],[Code]],Locaties[#All],6,FALSE)</f>
        <v>Lichtenvoorde</v>
      </c>
      <c r="F426" s="278" t="s">
        <v>780</v>
      </c>
      <c r="G426" s="278">
        <v>1</v>
      </c>
      <c r="H426" s="278" t="s">
        <v>671</v>
      </c>
      <c r="I426" s="280" t="s">
        <v>601</v>
      </c>
      <c r="J426" s="195">
        <v>21</v>
      </c>
      <c r="K426" s="260" t="str">
        <f>VLOOKUP(Ruimtestaat[[#This Row],[Ruimte code]],Ruimtegroepen[#All],2,FALSE)</f>
        <v>Niet in onderhoud</v>
      </c>
      <c r="L426" s="195" t="s">
        <v>110</v>
      </c>
      <c r="M426" s="278" t="s">
        <v>133</v>
      </c>
      <c r="N426" s="197"/>
      <c r="O426" s="209">
        <v>7.28</v>
      </c>
      <c r="P426" s="241" t="str">
        <f>VLOOKUP(Ruimtestaat[[#This Row],[Ruimte code]],Ruimtegroepen[#All],4,FALSE)</f>
        <v>Niet in onderhoud</v>
      </c>
      <c r="Q426" s="210"/>
      <c r="R426" s="211"/>
      <c r="S426" s="211"/>
      <c r="T426" s="211">
        <f>IF(R426&gt;0,IF(RIGHT(Ruimtestaat[[#This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426" s="211">
        <f>IF(T426&gt;0,VLOOKUP($J426,Ruimtegroepen[],3,FALSE)*VLOOKUP($L426,Vloersoorten[],3,FALSE)*VLOOKUP($S426,Frequenties[],3,FALSE)*VLOOKUP($A426,Locaties[],3,FALSE),0)</f>
        <v>0</v>
      </c>
      <c r="V426" s="211">
        <f>Ruimtestaat[[#This Row],[Uitvoeringen werkdagen]]*Ruimtestaat[[#This Row],[Oppervlak (netto)]]</f>
        <v>0</v>
      </c>
      <c r="W426" s="257">
        <f>IF(U426&gt;0,Ruimtestaat[[#This Row],[Prest. (m2 /jaar) werkdagen]]/Ruimtestaat[[#This Row],[Norm (m2/uur) werkdagen]],0)</f>
        <v>0</v>
      </c>
      <c r="X426" s="258">
        <f>Ruimtestaat[[#This Row],[uren / jaar werkdagen]]*Tariefsopbouw!$D$38</f>
        <v>0</v>
      </c>
      <c r="Y426" s="33"/>
      <c r="Z426" s="33">
        <f>IF(Ruimtestaat[[#This Row],[Frequentie weekend]]&gt;0,VALUE(LEFT(Y426,1))*R426,0)</f>
        <v>0</v>
      </c>
      <c r="AA426" s="33">
        <f>IF($Z426&gt;0,VLOOKUP($J426,Ruimtegroepen[],3,FALSE)*VLOOKUP($L426,Vloersoorten[],3,FALSE)*VLOOKUP($Y426,Frequenties[],3,FALSE)*VLOOKUP(#REF!,Locaties[],3,FALSE),0)</f>
        <v>0</v>
      </c>
      <c r="AB426" s="33"/>
      <c r="AC426" s="33"/>
      <c r="AD426" s="33">
        <f>Ruimtestaat[[#This Row],[uren / jaar weekend]]*Tariefsopbouw!$D$40</f>
        <v>0</v>
      </c>
      <c r="AE426" s="88">
        <f>Ruimtestaat[[#This Row],[Prest. (m2 /jaar) weekend]]+Ruimtestaat[[#This Row],[Prest. (m2 /jaar) werkdagen]]</f>
        <v>0</v>
      </c>
      <c r="AF426" s="88">
        <f>Ruimtestaat[[#This Row],[uren / jaar weekend]]+Ruimtestaat[[#This Row],[uren / jaar werkdagen]]</f>
        <v>0</v>
      </c>
      <c r="AG426" s="89">
        <f>Ruimtestaat[[#This Row],[kosten / jaar weekend]]+Ruimtestaat[[#This Row],[kosten / jaar werkdagen]]</f>
        <v>0</v>
      </c>
    </row>
    <row r="427" spans="1:33" ht="15" customHeight="1">
      <c r="A427" s="195">
        <v>4</v>
      </c>
      <c r="B427" s="195" t="str">
        <f>VLOOKUP(Ruimtestaat[[#This Row],[Code]],Locaties[#All],2,FALSE)</f>
        <v>Lichtenvoorde gebouw 3</v>
      </c>
      <c r="C427" s="241" t="str">
        <f>VLOOKUP(Ruimtestaat[[#This Row],[Code]],Locaties[#All],4,FALSE)</f>
        <v>Dr Ariensstraat 3</v>
      </c>
      <c r="D427" s="279" t="str">
        <f>VLOOKUP(Ruimtestaat[[#This Row],[Code]],Locaties[#All],5,FALSE)</f>
        <v>7131 XM </v>
      </c>
      <c r="E427" s="279" t="str">
        <f>VLOOKUP(Ruimtestaat[[#This Row],[Code]],Locaties[#All],6,FALSE)</f>
        <v>Lichtenvoorde</v>
      </c>
      <c r="F427" s="278" t="s">
        <v>780</v>
      </c>
      <c r="G427" s="278">
        <v>1</v>
      </c>
      <c r="H427" s="278" t="s">
        <v>672</v>
      </c>
      <c r="I427" s="280" t="s">
        <v>830</v>
      </c>
      <c r="J427" s="195">
        <v>16</v>
      </c>
      <c r="K427" s="260" t="str">
        <f>VLOOKUP(Ruimtestaat[[#This Row],[Ruimte code]],Ruimtegroepen[#All],2,FALSE)</f>
        <v>Lokaal</v>
      </c>
      <c r="L427" s="195" t="s">
        <v>112</v>
      </c>
      <c r="M427" s="278" t="s">
        <v>130</v>
      </c>
      <c r="N427" s="197">
        <v>74.5</v>
      </c>
      <c r="O427" s="209"/>
      <c r="P427" s="241" t="str">
        <f>VLOOKUP(Ruimtestaat[[#This Row],[Ruimte code]],Ruimtegroepen[#All],4,FALSE)</f>
        <v>L  (Lesruimte)</v>
      </c>
      <c r="Q427" s="210"/>
      <c r="R427" s="211">
        <v>40</v>
      </c>
      <c r="S427" s="211" t="s">
        <v>2</v>
      </c>
      <c r="T427" s="211">
        <f>IF(R427&gt;0,IF(RIGHT(Ruimtestaat[[#This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427" s="211">
        <f>IF(T427&gt;0,VLOOKUP($J427,Ruimtegroepen[],3,FALSE)*VLOOKUP($L427,Vloersoorten[],3,FALSE)*VLOOKUP($S427,Frequenties[],3,FALSE)*VLOOKUP($A427,Locaties[],3,FALSE),0)</f>
        <v>100</v>
      </c>
      <c r="V427" s="211">
        <f>Ruimtestaat[[#This Row],[Uitvoeringen werkdagen]]*Ruimtestaat[[#This Row],[Oppervlak (netto)]]</f>
        <v>14900</v>
      </c>
      <c r="W427" s="257">
        <f>IF(U427&gt;0,Ruimtestaat[[#This Row],[Prest. (m2 /jaar) werkdagen]]/Ruimtestaat[[#This Row],[Norm (m2/uur) werkdagen]],0)</f>
        <v>149</v>
      </c>
      <c r="X427" s="258">
        <f>Ruimtestaat[[#This Row],[uren / jaar werkdagen]]*Tariefsopbouw!$D$38</f>
        <v>3725</v>
      </c>
      <c r="Y427" s="33"/>
      <c r="Z427" s="33">
        <f>IF(Ruimtestaat[[#This Row],[Frequentie weekend]]&gt;0,VALUE(LEFT(Y427,1))*R427,0)</f>
        <v>0</v>
      </c>
      <c r="AA427" s="33">
        <f>IF($Z427&gt;0,VLOOKUP($J427,Ruimtegroepen[],3,FALSE)*VLOOKUP($L427,Vloersoorten[],3,FALSE)*VLOOKUP($Y427,Frequenties[],3,FALSE)*VLOOKUP(#REF!,Locaties[],3,FALSE),0)</f>
        <v>0</v>
      </c>
      <c r="AB427" s="33"/>
      <c r="AC427" s="33"/>
      <c r="AD427" s="33">
        <f>Ruimtestaat[[#This Row],[uren / jaar weekend]]*Tariefsopbouw!$D$40</f>
        <v>0</v>
      </c>
      <c r="AE427" s="88">
        <f>Ruimtestaat[[#This Row],[Prest. (m2 /jaar) weekend]]+Ruimtestaat[[#This Row],[Prest. (m2 /jaar) werkdagen]]</f>
        <v>14900</v>
      </c>
      <c r="AF427" s="88">
        <f>Ruimtestaat[[#This Row],[uren / jaar weekend]]+Ruimtestaat[[#This Row],[uren / jaar werkdagen]]</f>
        <v>149</v>
      </c>
      <c r="AG427" s="89">
        <f>Ruimtestaat[[#This Row],[kosten / jaar weekend]]+Ruimtestaat[[#This Row],[kosten / jaar werkdagen]]</f>
        <v>3725</v>
      </c>
    </row>
    <row r="428" spans="1:33" ht="15" customHeight="1">
      <c r="A428" s="195">
        <v>4</v>
      </c>
      <c r="B428" s="195" t="str">
        <f>VLOOKUP(Ruimtestaat[[#This Row],[Code]],Locaties[#All],2,FALSE)</f>
        <v>Lichtenvoorde gebouw 3</v>
      </c>
      <c r="C428" s="241" t="str">
        <f>VLOOKUP(Ruimtestaat[[#This Row],[Code]],Locaties[#All],4,FALSE)</f>
        <v>Dr Ariensstraat 3</v>
      </c>
      <c r="D428" s="279" t="str">
        <f>VLOOKUP(Ruimtestaat[[#This Row],[Code]],Locaties[#All],5,FALSE)</f>
        <v>7131 XM </v>
      </c>
      <c r="E428" s="279" t="str">
        <f>VLOOKUP(Ruimtestaat[[#This Row],[Code]],Locaties[#All],6,FALSE)</f>
        <v>Lichtenvoorde</v>
      </c>
      <c r="F428" s="278" t="s">
        <v>780</v>
      </c>
      <c r="G428" s="278">
        <v>1</v>
      </c>
      <c r="H428" s="278" t="s">
        <v>673</v>
      </c>
      <c r="I428" s="280" t="s">
        <v>830</v>
      </c>
      <c r="J428" s="195">
        <v>16</v>
      </c>
      <c r="K428" s="260" t="str">
        <f>VLOOKUP(Ruimtestaat[[#This Row],[Ruimte code]],Ruimtegroepen[#All],2,FALSE)</f>
        <v>Lokaal</v>
      </c>
      <c r="L428" s="211" t="s">
        <v>112</v>
      </c>
      <c r="M428" s="278" t="s">
        <v>130</v>
      </c>
      <c r="N428" s="197">
        <v>64.75</v>
      </c>
      <c r="O428" s="209"/>
      <c r="P428" s="241" t="str">
        <f>VLOOKUP(Ruimtestaat[[#This Row],[Ruimte code]],Ruimtegroepen[#All],4,FALSE)</f>
        <v>L  (Lesruimte)</v>
      </c>
      <c r="Q428" s="210"/>
      <c r="R428" s="211">
        <v>40</v>
      </c>
      <c r="S428" s="211" t="s">
        <v>2</v>
      </c>
      <c r="T428" s="211">
        <f>IF(R428&gt;0,IF(RIGHT(Ruimtestaat[[#This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428" s="211">
        <f>IF(T428&gt;0,VLOOKUP($J428,Ruimtegroepen[],3,FALSE)*VLOOKUP($L428,Vloersoorten[],3,FALSE)*VLOOKUP($S428,Frequenties[],3,FALSE)*VLOOKUP($A428,Locaties[],3,FALSE),0)</f>
        <v>100</v>
      </c>
      <c r="V428" s="211">
        <f>Ruimtestaat[[#This Row],[Uitvoeringen werkdagen]]*Ruimtestaat[[#This Row],[Oppervlak (netto)]]</f>
        <v>12950</v>
      </c>
      <c r="W428" s="257">
        <f>IF(U428&gt;0,Ruimtestaat[[#This Row],[Prest. (m2 /jaar) werkdagen]]/Ruimtestaat[[#This Row],[Norm (m2/uur) werkdagen]],0)</f>
        <v>129.5</v>
      </c>
      <c r="X428" s="258">
        <f>Ruimtestaat[[#This Row],[uren / jaar werkdagen]]*Tariefsopbouw!$D$38</f>
        <v>3237.5</v>
      </c>
      <c r="Y428" s="33"/>
      <c r="Z428" s="33">
        <f>IF(Ruimtestaat[[#This Row],[Frequentie weekend]]&gt;0,VALUE(LEFT(Y428,1))*R428,0)</f>
        <v>0</v>
      </c>
      <c r="AA428" s="33">
        <f>IF($Z428&gt;0,VLOOKUP($J428,Ruimtegroepen[],3,FALSE)*VLOOKUP($L428,Vloersoorten[],3,FALSE)*VLOOKUP($Y428,Frequenties[],3,FALSE)*VLOOKUP(#REF!,Locaties[],3,FALSE),0)</f>
        <v>0</v>
      </c>
      <c r="AB428" s="33"/>
      <c r="AC428" s="33"/>
      <c r="AD428" s="33">
        <f>Ruimtestaat[[#This Row],[uren / jaar weekend]]*Tariefsopbouw!$D$40</f>
        <v>0</v>
      </c>
      <c r="AE428" s="88">
        <f>Ruimtestaat[[#This Row],[Prest. (m2 /jaar) weekend]]+Ruimtestaat[[#This Row],[Prest. (m2 /jaar) werkdagen]]</f>
        <v>12950</v>
      </c>
      <c r="AF428" s="88">
        <f>Ruimtestaat[[#This Row],[uren / jaar weekend]]+Ruimtestaat[[#This Row],[uren / jaar werkdagen]]</f>
        <v>129.5</v>
      </c>
      <c r="AG428" s="89">
        <f>Ruimtestaat[[#This Row],[kosten / jaar weekend]]+Ruimtestaat[[#This Row],[kosten / jaar werkdagen]]</f>
        <v>3237.5</v>
      </c>
    </row>
    <row r="429" spans="1:33" ht="15" customHeight="1">
      <c r="A429" s="195">
        <v>4</v>
      </c>
      <c r="B429" s="195" t="str">
        <f>VLOOKUP(Ruimtestaat[[#This Row],[Code]],Locaties[#All],2,FALSE)</f>
        <v>Lichtenvoorde gebouw 3</v>
      </c>
      <c r="C429" s="241" t="str">
        <f>VLOOKUP(Ruimtestaat[[#This Row],[Code]],Locaties[#All],4,FALSE)</f>
        <v>Dr Ariensstraat 3</v>
      </c>
      <c r="D429" s="279" t="str">
        <f>VLOOKUP(Ruimtestaat[[#This Row],[Code]],Locaties[#All],5,FALSE)</f>
        <v>7131 XM </v>
      </c>
      <c r="E429" s="279" t="str">
        <f>VLOOKUP(Ruimtestaat[[#This Row],[Code]],Locaties[#All],6,FALSE)</f>
        <v>Lichtenvoorde</v>
      </c>
      <c r="F429" s="278" t="s">
        <v>780</v>
      </c>
      <c r="G429" s="278">
        <v>1</v>
      </c>
      <c r="H429" s="278" t="s">
        <v>674</v>
      </c>
      <c r="I429" s="280" t="s">
        <v>830</v>
      </c>
      <c r="J429" s="195">
        <v>16</v>
      </c>
      <c r="K429" s="260" t="str">
        <f>VLOOKUP(Ruimtestaat[[#This Row],[Ruimte code]],Ruimtegroepen[#All],2,FALSE)</f>
        <v>Lokaal</v>
      </c>
      <c r="L429" s="211" t="s">
        <v>112</v>
      </c>
      <c r="M429" s="278" t="s">
        <v>130</v>
      </c>
      <c r="N429" s="197">
        <v>64.75</v>
      </c>
      <c r="O429" s="209"/>
      <c r="P429" s="241" t="str">
        <f>VLOOKUP(Ruimtestaat[[#This Row],[Ruimte code]],Ruimtegroepen[#All],4,FALSE)</f>
        <v>L  (Lesruimte)</v>
      </c>
      <c r="Q429" s="210"/>
      <c r="R429" s="211">
        <v>40</v>
      </c>
      <c r="S429" s="211" t="s">
        <v>2</v>
      </c>
      <c r="T429" s="211">
        <f>IF(R429&gt;0,IF(RIGHT(Ruimtestaat[[#This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429" s="211">
        <f>IF(T429&gt;0,VLOOKUP($J429,Ruimtegroepen[],3,FALSE)*VLOOKUP($L429,Vloersoorten[],3,FALSE)*VLOOKUP($S429,Frequenties[],3,FALSE)*VLOOKUP($A429,Locaties[],3,FALSE),0)</f>
        <v>100</v>
      </c>
      <c r="V429" s="211">
        <f>Ruimtestaat[[#This Row],[Uitvoeringen werkdagen]]*Ruimtestaat[[#This Row],[Oppervlak (netto)]]</f>
        <v>12950</v>
      </c>
      <c r="W429" s="257">
        <f>IF(U429&gt;0,Ruimtestaat[[#This Row],[Prest. (m2 /jaar) werkdagen]]/Ruimtestaat[[#This Row],[Norm (m2/uur) werkdagen]],0)</f>
        <v>129.5</v>
      </c>
      <c r="X429" s="258">
        <f>Ruimtestaat[[#This Row],[uren / jaar werkdagen]]*Tariefsopbouw!$D$38</f>
        <v>3237.5</v>
      </c>
      <c r="Y429" s="33"/>
      <c r="Z429" s="33">
        <f>IF(Ruimtestaat[[#This Row],[Frequentie weekend]]&gt;0,VALUE(LEFT(Y429,1))*R429,0)</f>
        <v>0</v>
      </c>
      <c r="AA429" s="33">
        <f>IF($Z429&gt;0,VLOOKUP($J429,Ruimtegroepen[],3,FALSE)*VLOOKUP($L429,Vloersoorten[],3,FALSE)*VLOOKUP($Y429,Frequenties[],3,FALSE)*VLOOKUP(#REF!,Locaties[],3,FALSE),0)</f>
        <v>0</v>
      </c>
      <c r="AB429" s="33"/>
      <c r="AC429" s="33"/>
      <c r="AD429" s="33">
        <f>Ruimtestaat[[#This Row],[uren / jaar weekend]]*Tariefsopbouw!$D$40</f>
        <v>0</v>
      </c>
      <c r="AE429" s="88">
        <f>Ruimtestaat[[#This Row],[Prest. (m2 /jaar) weekend]]+Ruimtestaat[[#This Row],[Prest. (m2 /jaar) werkdagen]]</f>
        <v>12950</v>
      </c>
      <c r="AF429" s="88">
        <f>Ruimtestaat[[#This Row],[uren / jaar weekend]]+Ruimtestaat[[#This Row],[uren / jaar werkdagen]]</f>
        <v>129.5</v>
      </c>
      <c r="AG429" s="89">
        <f>Ruimtestaat[[#This Row],[kosten / jaar weekend]]+Ruimtestaat[[#This Row],[kosten / jaar werkdagen]]</f>
        <v>3237.5</v>
      </c>
    </row>
    <row r="430" spans="1:33" ht="15" customHeight="1">
      <c r="A430" s="195">
        <v>4</v>
      </c>
      <c r="B430" s="195" t="str">
        <f>VLOOKUP(Ruimtestaat[[#This Row],[Code]],Locaties[#All],2,FALSE)</f>
        <v>Lichtenvoorde gebouw 3</v>
      </c>
      <c r="C430" s="241" t="str">
        <f>VLOOKUP(Ruimtestaat[[#This Row],[Code]],Locaties[#All],4,FALSE)</f>
        <v>Dr Ariensstraat 3</v>
      </c>
      <c r="D430" s="279" t="str">
        <f>VLOOKUP(Ruimtestaat[[#This Row],[Code]],Locaties[#All],5,FALSE)</f>
        <v>7131 XM </v>
      </c>
      <c r="E430" s="279" t="str">
        <f>VLOOKUP(Ruimtestaat[[#This Row],[Code]],Locaties[#All],6,FALSE)</f>
        <v>Lichtenvoorde</v>
      </c>
      <c r="F430" s="278" t="s">
        <v>780</v>
      </c>
      <c r="G430" s="278">
        <v>1</v>
      </c>
      <c r="H430" s="278" t="s">
        <v>675</v>
      </c>
      <c r="I430" s="280" t="s">
        <v>449</v>
      </c>
      <c r="J430" s="195">
        <v>2</v>
      </c>
      <c r="K430" s="260" t="str">
        <f>VLOOKUP(Ruimtestaat[[#This Row],[Ruimte code]],Ruimtegroepen[#All],2,FALSE)</f>
        <v>Kantoren</v>
      </c>
      <c r="L430" s="211" t="s">
        <v>109</v>
      </c>
      <c r="M430" s="278" t="s">
        <v>38</v>
      </c>
      <c r="N430" s="197">
        <v>8.43</v>
      </c>
      <c r="O430" s="209"/>
      <c r="P430" s="241" t="str">
        <f>VLOOKUP(Ruimtestaat[[#This Row],[Ruimte code]],Ruimtegroepen[#All],4,FALSE)</f>
        <v>B  (Bureauruimte)</v>
      </c>
      <c r="Q430" s="210"/>
      <c r="R430" s="211">
        <v>40</v>
      </c>
      <c r="S430" s="211" t="s">
        <v>18</v>
      </c>
      <c r="T430" s="211">
        <f>IF(R430&gt;0,IF(RIGHT(Ruimtestaat[[#This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U430" s="211">
        <f>IF(T430&gt;0,VLOOKUP($J430,Ruimtegroepen[],3,FALSE)*VLOOKUP($L430,Vloersoorten[],3,FALSE)*VLOOKUP($S430,Frequenties[],3,FALSE)*VLOOKUP($A430,Locaties[],3,FALSE),0)</f>
        <v>100</v>
      </c>
      <c r="V430" s="211">
        <f>Ruimtestaat[[#This Row],[Uitvoeringen werkdagen]]*Ruimtestaat[[#This Row],[Oppervlak (netto)]]</f>
        <v>1011.5999999999999</v>
      </c>
      <c r="W430" s="257">
        <f>IF(U430&gt;0,Ruimtestaat[[#This Row],[Prest. (m2 /jaar) werkdagen]]/Ruimtestaat[[#This Row],[Norm (m2/uur) werkdagen]],0)</f>
        <v>10.116</v>
      </c>
      <c r="X430" s="258">
        <f>Ruimtestaat[[#This Row],[uren / jaar werkdagen]]*Tariefsopbouw!$D$38</f>
        <v>252.89999999999998</v>
      </c>
      <c r="Y430" s="33"/>
      <c r="Z430" s="33">
        <f>IF(Ruimtestaat[[#This Row],[Frequentie weekend]]&gt;0,VALUE(LEFT(Y430,1))*R430,0)</f>
        <v>0</v>
      </c>
      <c r="AA430" s="33">
        <f>IF($Z430&gt;0,VLOOKUP($J430,Ruimtegroepen[],3,FALSE)*VLOOKUP($L430,Vloersoorten[],3,FALSE)*VLOOKUP($Y430,Frequenties[],3,FALSE)*VLOOKUP(#REF!,Locaties[],3,FALSE),0)</f>
        <v>0</v>
      </c>
      <c r="AB430" s="33"/>
      <c r="AC430" s="33"/>
      <c r="AD430" s="33">
        <f>Ruimtestaat[[#This Row],[uren / jaar weekend]]*Tariefsopbouw!$D$40</f>
        <v>0</v>
      </c>
      <c r="AE430" s="88">
        <f>Ruimtestaat[[#This Row],[Prest. (m2 /jaar) weekend]]+Ruimtestaat[[#This Row],[Prest. (m2 /jaar) werkdagen]]</f>
        <v>1011.5999999999999</v>
      </c>
      <c r="AF430" s="88">
        <f>Ruimtestaat[[#This Row],[uren / jaar weekend]]+Ruimtestaat[[#This Row],[uren / jaar werkdagen]]</f>
        <v>10.116</v>
      </c>
      <c r="AG430" s="89">
        <f>Ruimtestaat[[#This Row],[kosten / jaar weekend]]+Ruimtestaat[[#This Row],[kosten / jaar werkdagen]]</f>
        <v>252.89999999999998</v>
      </c>
    </row>
    <row r="431" spans="1:33" ht="15" customHeight="1">
      <c r="A431" s="195">
        <v>4</v>
      </c>
      <c r="B431" s="195" t="str">
        <f>VLOOKUP(Ruimtestaat[[#This Row],[Code]],Locaties[#All],2,FALSE)</f>
        <v>Lichtenvoorde gebouw 3</v>
      </c>
      <c r="C431" s="241" t="str">
        <f>VLOOKUP(Ruimtestaat[[#This Row],[Code]],Locaties[#All],4,FALSE)</f>
        <v>Dr Ariensstraat 3</v>
      </c>
      <c r="D431" s="279" t="str">
        <f>VLOOKUP(Ruimtestaat[[#This Row],[Code]],Locaties[#All],5,FALSE)</f>
        <v>7131 XM </v>
      </c>
      <c r="E431" s="279" t="str">
        <f>VLOOKUP(Ruimtestaat[[#This Row],[Code]],Locaties[#All],6,FALSE)</f>
        <v>Lichtenvoorde</v>
      </c>
      <c r="F431" s="278" t="s">
        <v>780</v>
      </c>
      <c r="G431" s="278">
        <v>1</v>
      </c>
      <c r="H431" s="278" t="s">
        <v>783</v>
      </c>
      <c r="I431" s="280" t="s">
        <v>441</v>
      </c>
      <c r="J431" s="195">
        <v>1</v>
      </c>
      <c r="K431" s="260" t="str">
        <f>VLOOKUP(Ruimtestaat[[#This Row],[Ruimte code]],Ruimtegroepen[#All],2,FALSE)</f>
        <v>Magazijnen/bergingen</v>
      </c>
      <c r="L431" s="211" t="s">
        <v>110</v>
      </c>
      <c r="M431" s="278" t="s">
        <v>133</v>
      </c>
      <c r="N431" s="197">
        <v>6.5</v>
      </c>
      <c r="O431" s="209"/>
      <c r="P431" s="241" t="str">
        <f>VLOOKUP(Ruimtestaat[[#This Row],[Ruimte code]],Ruimtegroepen[#All],4,FALSE)</f>
        <v>V  (Verkeersruimte)</v>
      </c>
      <c r="Q431" s="210"/>
      <c r="R431" s="211">
        <v>40</v>
      </c>
      <c r="S431" s="211" t="s">
        <v>16</v>
      </c>
      <c r="T431" s="211">
        <f>IF(R431&gt;0,IF(RIGHT(Ruimtestaat[[#This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U431" s="211">
        <f>IF(T431&gt;0,VLOOKUP($J431,Ruimtegroepen[],3,FALSE)*VLOOKUP($L431,Vloersoorten[],3,FALSE)*VLOOKUP($S431,Frequenties[],3,FALSE)*VLOOKUP($A431,Locaties[],3,FALSE),0)</f>
        <v>100</v>
      </c>
      <c r="V431" s="211">
        <f>Ruimtestaat[[#This Row],[Uitvoeringen werkdagen]]*Ruimtestaat[[#This Row],[Oppervlak (netto)]]</f>
        <v>78</v>
      </c>
      <c r="W431" s="257">
        <f>IF(U431&gt;0,Ruimtestaat[[#This Row],[Prest. (m2 /jaar) werkdagen]]/Ruimtestaat[[#This Row],[Norm (m2/uur) werkdagen]],0)</f>
        <v>0.78</v>
      </c>
      <c r="X431" s="258">
        <f>Ruimtestaat[[#This Row],[uren / jaar werkdagen]]*Tariefsopbouw!$D$38</f>
        <v>19.5</v>
      </c>
      <c r="Y431" s="33"/>
      <c r="Z431" s="33">
        <f>IF(Ruimtestaat[[#This Row],[Frequentie weekend]]&gt;0,VALUE(LEFT(Y431,1))*R431,0)</f>
        <v>0</v>
      </c>
      <c r="AA431" s="33">
        <f>IF($Z431&gt;0,VLOOKUP($J431,Ruimtegroepen[],3,FALSE)*VLOOKUP($L431,Vloersoorten[],3,FALSE)*VLOOKUP($Y431,Frequenties[],3,FALSE)*VLOOKUP(#REF!,Locaties[],3,FALSE),0)</f>
        <v>0</v>
      </c>
      <c r="AB431" s="33"/>
      <c r="AC431" s="33"/>
      <c r="AD431" s="33">
        <f>Ruimtestaat[[#This Row],[uren / jaar weekend]]*Tariefsopbouw!$D$40</f>
        <v>0</v>
      </c>
      <c r="AE431" s="88">
        <f>Ruimtestaat[[#This Row],[Prest. (m2 /jaar) weekend]]+Ruimtestaat[[#This Row],[Prest. (m2 /jaar) werkdagen]]</f>
        <v>78</v>
      </c>
      <c r="AF431" s="88">
        <f>Ruimtestaat[[#This Row],[uren / jaar weekend]]+Ruimtestaat[[#This Row],[uren / jaar werkdagen]]</f>
        <v>0.78</v>
      </c>
      <c r="AG431" s="89">
        <f>Ruimtestaat[[#This Row],[kosten / jaar weekend]]+Ruimtestaat[[#This Row],[kosten / jaar werkdagen]]</f>
        <v>19.5</v>
      </c>
    </row>
    <row r="432" spans="1:33" ht="15" customHeight="1">
      <c r="A432" s="195">
        <v>4</v>
      </c>
      <c r="B432" s="195" t="str">
        <f>VLOOKUP(Ruimtestaat[[#This Row],[Code]],Locaties[#All],2,FALSE)</f>
        <v>Lichtenvoorde gebouw 3</v>
      </c>
      <c r="C432" s="241" t="str">
        <f>VLOOKUP(Ruimtestaat[[#This Row],[Code]],Locaties[#All],4,FALSE)</f>
        <v>Dr Ariensstraat 3</v>
      </c>
      <c r="D432" s="279" t="str">
        <f>VLOOKUP(Ruimtestaat[[#This Row],[Code]],Locaties[#All],5,FALSE)</f>
        <v>7131 XM </v>
      </c>
      <c r="E432" s="279" t="str">
        <f>VLOOKUP(Ruimtestaat[[#This Row],[Code]],Locaties[#All],6,FALSE)</f>
        <v>Lichtenvoorde</v>
      </c>
      <c r="F432" s="278" t="s">
        <v>780</v>
      </c>
      <c r="G432" s="278">
        <v>1</v>
      </c>
      <c r="H432" s="278" t="s">
        <v>676</v>
      </c>
      <c r="I432" s="280" t="s">
        <v>643</v>
      </c>
      <c r="J432" s="195">
        <v>21</v>
      </c>
      <c r="K432" s="260" t="str">
        <f>VLOOKUP(Ruimtestaat[[#This Row],[Ruimte code]],Ruimtegroepen[#All],2,FALSE)</f>
        <v>Niet in onderhoud</v>
      </c>
      <c r="L432" s="195" t="s">
        <v>110</v>
      </c>
      <c r="M432" s="278" t="s">
        <v>133</v>
      </c>
      <c r="N432" s="197"/>
      <c r="O432" s="209">
        <v>6.58</v>
      </c>
      <c r="P432" s="241" t="str">
        <f>VLOOKUP(Ruimtestaat[[#This Row],[Ruimte code]],Ruimtegroepen[#All],4,FALSE)</f>
        <v>Niet in onderhoud</v>
      </c>
      <c r="Q432" s="210"/>
      <c r="R432" s="211"/>
      <c r="S432" s="211"/>
      <c r="T432" s="211">
        <f>IF(R432&gt;0,IF(RIGHT(Ruimtestaat[[#This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432" s="211">
        <f>IF(T432&gt;0,VLOOKUP($J432,Ruimtegroepen[],3,FALSE)*VLOOKUP($L432,Vloersoorten[],3,FALSE)*VLOOKUP($S432,Frequenties[],3,FALSE)*VLOOKUP($A432,Locaties[],3,FALSE),0)</f>
        <v>0</v>
      </c>
      <c r="V432" s="211">
        <f>Ruimtestaat[[#This Row],[Uitvoeringen werkdagen]]*Ruimtestaat[[#This Row],[Oppervlak (netto)]]</f>
        <v>0</v>
      </c>
      <c r="W432" s="257">
        <f>IF(U432&gt;0,Ruimtestaat[[#This Row],[Prest. (m2 /jaar) werkdagen]]/Ruimtestaat[[#This Row],[Norm (m2/uur) werkdagen]],0)</f>
        <v>0</v>
      </c>
      <c r="X432" s="258">
        <f>Ruimtestaat[[#This Row],[uren / jaar werkdagen]]*Tariefsopbouw!$D$38</f>
        <v>0</v>
      </c>
      <c r="Y432" s="33"/>
      <c r="Z432" s="33">
        <f>IF(Ruimtestaat[[#This Row],[Frequentie weekend]]&gt;0,VALUE(LEFT(Y432,1))*R432,0)</f>
        <v>0</v>
      </c>
      <c r="AA432" s="33">
        <f>IF($Z432&gt;0,VLOOKUP($J432,Ruimtegroepen[],3,FALSE)*VLOOKUP($L432,Vloersoorten[],3,FALSE)*VLOOKUP($Y432,Frequenties[],3,FALSE)*VLOOKUP(#REF!,Locaties[],3,FALSE),0)</f>
        <v>0</v>
      </c>
      <c r="AB432" s="33"/>
      <c r="AC432" s="33"/>
      <c r="AD432" s="33">
        <f>Ruimtestaat[[#This Row],[uren / jaar weekend]]*Tariefsopbouw!$D$40</f>
        <v>0</v>
      </c>
      <c r="AE432" s="88">
        <f>Ruimtestaat[[#This Row],[Prest. (m2 /jaar) weekend]]+Ruimtestaat[[#This Row],[Prest. (m2 /jaar) werkdagen]]</f>
        <v>0</v>
      </c>
      <c r="AF432" s="88">
        <f>Ruimtestaat[[#This Row],[uren / jaar weekend]]+Ruimtestaat[[#This Row],[uren / jaar werkdagen]]</f>
        <v>0</v>
      </c>
      <c r="AG432" s="89">
        <f>Ruimtestaat[[#This Row],[kosten / jaar weekend]]+Ruimtestaat[[#This Row],[kosten / jaar werkdagen]]</f>
        <v>0</v>
      </c>
    </row>
    <row r="433" spans="1:33" ht="15" customHeight="1">
      <c r="A433" s="195">
        <v>4</v>
      </c>
      <c r="B433" s="195" t="str">
        <f>VLOOKUP(Ruimtestaat[[#This Row],[Code]],Locaties[#All],2,FALSE)</f>
        <v>Lichtenvoorde gebouw 3</v>
      </c>
      <c r="C433" s="241" t="str">
        <f>VLOOKUP(Ruimtestaat[[#This Row],[Code]],Locaties[#All],4,FALSE)</f>
        <v>Dr Ariensstraat 3</v>
      </c>
      <c r="D433" s="279" t="str">
        <f>VLOOKUP(Ruimtestaat[[#This Row],[Code]],Locaties[#All],5,FALSE)</f>
        <v>7131 XM </v>
      </c>
      <c r="E433" s="279" t="str">
        <f>VLOOKUP(Ruimtestaat[[#This Row],[Code]],Locaties[#All],6,FALSE)</f>
        <v>Lichtenvoorde</v>
      </c>
      <c r="F433" s="278" t="s">
        <v>780</v>
      </c>
      <c r="G433" s="278">
        <v>1</v>
      </c>
      <c r="H433" s="278" t="s">
        <v>677</v>
      </c>
      <c r="I433" s="280" t="s">
        <v>449</v>
      </c>
      <c r="J433" s="195">
        <v>2</v>
      </c>
      <c r="K433" s="260" t="str">
        <f>VLOOKUP(Ruimtestaat[[#This Row],[Ruimte code]],Ruimtegroepen[#All],2,FALSE)</f>
        <v>Kantoren</v>
      </c>
      <c r="L433" s="211" t="s">
        <v>112</v>
      </c>
      <c r="M433" s="278" t="s">
        <v>130</v>
      </c>
      <c r="N433" s="197">
        <v>22.26</v>
      </c>
      <c r="O433" s="209"/>
      <c r="P433" s="241" t="str">
        <f>VLOOKUP(Ruimtestaat[[#This Row],[Ruimte code]],Ruimtegroepen[#All],4,FALSE)</f>
        <v>B  (Bureauruimte)</v>
      </c>
      <c r="Q433" s="210"/>
      <c r="R433" s="211">
        <v>40</v>
      </c>
      <c r="S433" s="211" t="s">
        <v>18</v>
      </c>
      <c r="T433" s="211">
        <f>IF(R433&gt;0,IF(RIGHT(Ruimtestaat[[#This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U433" s="211">
        <f>IF(T433&gt;0,VLOOKUP($J433,Ruimtegroepen[],3,FALSE)*VLOOKUP($L433,Vloersoorten[],3,FALSE)*VLOOKUP($S433,Frequenties[],3,FALSE)*VLOOKUP($A433,Locaties[],3,FALSE),0)</f>
        <v>100</v>
      </c>
      <c r="V433" s="211">
        <f>Ruimtestaat[[#This Row],[Uitvoeringen werkdagen]]*Ruimtestaat[[#This Row],[Oppervlak (netto)]]</f>
        <v>2671.2000000000003</v>
      </c>
      <c r="W433" s="257">
        <f>IF(U433&gt;0,Ruimtestaat[[#This Row],[Prest. (m2 /jaar) werkdagen]]/Ruimtestaat[[#This Row],[Norm (m2/uur) werkdagen]],0)</f>
        <v>26.712000000000003</v>
      </c>
      <c r="X433" s="258">
        <f>Ruimtestaat[[#This Row],[uren / jaar werkdagen]]*Tariefsopbouw!$D$38</f>
        <v>667.80000000000007</v>
      </c>
      <c r="Y433" s="33"/>
      <c r="Z433" s="33">
        <f>IF(Ruimtestaat[[#This Row],[Frequentie weekend]]&gt;0,VALUE(LEFT(Y433,1))*R433,0)</f>
        <v>0</v>
      </c>
      <c r="AA433" s="33">
        <f>IF($Z433&gt;0,VLOOKUP($J433,Ruimtegroepen[],3,FALSE)*VLOOKUP($L433,Vloersoorten[],3,FALSE)*VLOOKUP($Y433,Frequenties[],3,FALSE)*VLOOKUP(#REF!,Locaties[],3,FALSE),0)</f>
        <v>0</v>
      </c>
      <c r="AB433" s="33"/>
      <c r="AC433" s="33"/>
      <c r="AD433" s="33">
        <f>Ruimtestaat[[#This Row],[uren / jaar weekend]]*Tariefsopbouw!$D$40</f>
        <v>0</v>
      </c>
      <c r="AE433" s="88">
        <f>Ruimtestaat[[#This Row],[Prest. (m2 /jaar) weekend]]+Ruimtestaat[[#This Row],[Prest. (m2 /jaar) werkdagen]]</f>
        <v>2671.2000000000003</v>
      </c>
      <c r="AF433" s="88">
        <f>Ruimtestaat[[#This Row],[uren / jaar weekend]]+Ruimtestaat[[#This Row],[uren / jaar werkdagen]]</f>
        <v>26.712000000000003</v>
      </c>
      <c r="AG433" s="89">
        <f>Ruimtestaat[[#This Row],[kosten / jaar weekend]]+Ruimtestaat[[#This Row],[kosten / jaar werkdagen]]</f>
        <v>667.80000000000007</v>
      </c>
    </row>
    <row r="434" spans="1:33" ht="15" customHeight="1">
      <c r="A434" s="195">
        <v>4</v>
      </c>
      <c r="B434" s="195" t="str">
        <f>VLOOKUP(Ruimtestaat[[#This Row],[Code]],Locaties[#All],2,FALSE)</f>
        <v>Lichtenvoorde gebouw 3</v>
      </c>
      <c r="C434" s="241" t="str">
        <f>VLOOKUP(Ruimtestaat[[#This Row],[Code]],Locaties[#All],4,FALSE)</f>
        <v>Dr Ariensstraat 3</v>
      </c>
      <c r="D434" s="279" t="str">
        <f>VLOOKUP(Ruimtestaat[[#This Row],[Code]],Locaties[#All],5,FALSE)</f>
        <v>7131 XM </v>
      </c>
      <c r="E434" s="279" t="str">
        <f>VLOOKUP(Ruimtestaat[[#This Row],[Code]],Locaties[#All],6,FALSE)</f>
        <v>Lichtenvoorde</v>
      </c>
      <c r="F434" s="278" t="s">
        <v>780</v>
      </c>
      <c r="G434" s="278">
        <v>1</v>
      </c>
      <c r="H434" s="278" t="s">
        <v>678</v>
      </c>
      <c r="I434" s="280" t="s">
        <v>22</v>
      </c>
      <c r="J434" s="195">
        <v>5</v>
      </c>
      <c r="K434" s="260" t="str">
        <f>VLOOKUP(Ruimtestaat[[#This Row],[Ruimte code]],Ruimtegroepen[#All],2,FALSE)</f>
        <v>Sanitair</v>
      </c>
      <c r="L434" s="195" t="s">
        <v>111</v>
      </c>
      <c r="M434" s="278" t="s">
        <v>693</v>
      </c>
      <c r="N434" s="197">
        <v>9.64</v>
      </c>
      <c r="O434" s="209"/>
      <c r="P434" s="241" t="str">
        <f>VLOOKUP(Ruimtestaat[[#This Row],[Ruimte code]],Ruimtegroepen[#All],4,FALSE)</f>
        <v>S  (Sanitair)</v>
      </c>
      <c r="Q434" s="210"/>
      <c r="R434" s="211">
        <v>40</v>
      </c>
      <c r="S434" s="211" t="s">
        <v>2</v>
      </c>
      <c r="T434" s="211">
        <f>IF(R434&gt;0,IF(RIGHT(Ruimtestaat[[#This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434" s="211">
        <f>IF(T434&gt;0,VLOOKUP($J434,Ruimtegroepen[],3,FALSE)*VLOOKUP($L434,Vloersoorten[],3,FALSE)*VLOOKUP($S434,Frequenties[],3,FALSE)*VLOOKUP($A434,Locaties[],3,FALSE),0)</f>
        <v>100</v>
      </c>
      <c r="V434" s="211">
        <f>Ruimtestaat[[#This Row],[Uitvoeringen werkdagen]]*Ruimtestaat[[#This Row],[Oppervlak (netto)]]</f>
        <v>1928</v>
      </c>
      <c r="W434" s="257">
        <f>IF(U434&gt;0,Ruimtestaat[[#This Row],[Prest. (m2 /jaar) werkdagen]]/Ruimtestaat[[#This Row],[Norm (m2/uur) werkdagen]],0)</f>
        <v>19.28</v>
      </c>
      <c r="X434" s="258">
        <f>Ruimtestaat[[#This Row],[uren / jaar werkdagen]]*Tariefsopbouw!$D$38</f>
        <v>482</v>
      </c>
      <c r="Y434" s="33"/>
      <c r="Z434" s="33">
        <f>IF(Ruimtestaat[[#This Row],[Frequentie weekend]]&gt;0,VALUE(LEFT(Y434,1))*R434,0)</f>
        <v>0</v>
      </c>
      <c r="AA434" s="33">
        <f>IF($Z434&gt;0,VLOOKUP($J434,Ruimtegroepen[],3,FALSE)*VLOOKUP($L434,Vloersoorten[],3,FALSE)*VLOOKUP($Y434,Frequenties[],3,FALSE)*VLOOKUP(#REF!,Locaties[],3,FALSE),0)</f>
        <v>0</v>
      </c>
      <c r="AB434" s="33"/>
      <c r="AC434" s="33"/>
      <c r="AD434" s="33">
        <f>Ruimtestaat[[#This Row],[uren / jaar weekend]]*Tariefsopbouw!$D$40</f>
        <v>0</v>
      </c>
      <c r="AE434" s="88">
        <f>Ruimtestaat[[#This Row],[Prest. (m2 /jaar) weekend]]+Ruimtestaat[[#This Row],[Prest. (m2 /jaar) werkdagen]]</f>
        <v>1928</v>
      </c>
      <c r="AF434" s="88">
        <f>Ruimtestaat[[#This Row],[uren / jaar weekend]]+Ruimtestaat[[#This Row],[uren / jaar werkdagen]]</f>
        <v>19.28</v>
      </c>
      <c r="AG434" s="89">
        <f>Ruimtestaat[[#This Row],[kosten / jaar weekend]]+Ruimtestaat[[#This Row],[kosten / jaar werkdagen]]</f>
        <v>482</v>
      </c>
    </row>
    <row r="435" spans="1:33" ht="15" customHeight="1">
      <c r="A435" s="195">
        <v>4</v>
      </c>
      <c r="B435" s="195" t="str">
        <f>VLOOKUP(Ruimtestaat[[#This Row],[Code]],Locaties[#All],2,FALSE)</f>
        <v>Lichtenvoorde gebouw 3</v>
      </c>
      <c r="C435" s="241" t="str">
        <f>VLOOKUP(Ruimtestaat[[#This Row],[Code]],Locaties[#All],4,FALSE)</f>
        <v>Dr Ariensstraat 3</v>
      </c>
      <c r="D435" s="279" t="str">
        <f>VLOOKUP(Ruimtestaat[[#This Row],[Code]],Locaties[#All],5,FALSE)</f>
        <v>7131 XM </v>
      </c>
      <c r="E435" s="279" t="str">
        <f>VLOOKUP(Ruimtestaat[[#This Row],[Code]],Locaties[#All],6,FALSE)</f>
        <v>Lichtenvoorde</v>
      </c>
      <c r="F435" s="278" t="s">
        <v>780</v>
      </c>
      <c r="G435" s="278">
        <v>1</v>
      </c>
      <c r="H435" s="278" t="s">
        <v>679</v>
      </c>
      <c r="I435" s="280" t="s">
        <v>833</v>
      </c>
      <c r="J435" s="195">
        <v>2</v>
      </c>
      <c r="K435" s="260" t="str">
        <f>VLOOKUP(Ruimtestaat[[#This Row],[Ruimte code]],Ruimtegroepen[#All],2,FALSE)</f>
        <v>Kantoren</v>
      </c>
      <c r="L435" s="195" t="s">
        <v>112</v>
      </c>
      <c r="M435" s="278" t="s">
        <v>130</v>
      </c>
      <c r="N435" s="197">
        <v>74.83</v>
      </c>
      <c r="O435" s="209"/>
      <c r="P435" s="241" t="str">
        <f>VLOOKUP(Ruimtestaat[[#This Row],[Ruimte code]],Ruimtegroepen[#All],4,FALSE)</f>
        <v>B  (Bureauruimte)</v>
      </c>
      <c r="Q435" s="210"/>
      <c r="R435" s="211">
        <v>40</v>
      </c>
      <c r="S435" s="211" t="s">
        <v>2</v>
      </c>
      <c r="T435" s="211">
        <f>IF(R435&gt;0,IF(RIGHT(Ruimtestaat[[#This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435" s="211">
        <f>IF(T435&gt;0,VLOOKUP($J435,Ruimtegroepen[],3,FALSE)*VLOOKUP($L435,Vloersoorten[],3,FALSE)*VLOOKUP($S435,Frequenties[],3,FALSE)*VLOOKUP($A435,Locaties[],3,FALSE),0)</f>
        <v>100</v>
      </c>
      <c r="V435" s="211">
        <f>Ruimtestaat[[#This Row],[Uitvoeringen werkdagen]]*Ruimtestaat[[#This Row],[Oppervlak (netto)]]</f>
        <v>14966</v>
      </c>
      <c r="W435" s="257">
        <f>IF(U435&gt;0,Ruimtestaat[[#This Row],[Prest. (m2 /jaar) werkdagen]]/Ruimtestaat[[#This Row],[Norm (m2/uur) werkdagen]],0)</f>
        <v>149.66</v>
      </c>
      <c r="X435" s="258">
        <f>Ruimtestaat[[#This Row],[uren / jaar werkdagen]]*Tariefsopbouw!$D$38</f>
        <v>3741.5</v>
      </c>
      <c r="Y435" s="33"/>
      <c r="Z435" s="33">
        <f>IF(Ruimtestaat[[#This Row],[Frequentie weekend]]&gt;0,VALUE(LEFT(Y435,1))*R435,0)</f>
        <v>0</v>
      </c>
      <c r="AA435" s="33">
        <f>IF($Z435&gt;0,VLOOKUP($J435,Ruimtegroepen[],3,FALSE)*VLOOKUP($L435,Vloersoorten[],3,FALSE)*VLOOKUP($Y435,Frequenties[],3,FALSE)*VLOOKUP(#REF!,Locaties[],3,FALSE),0)</f>
        <v>0</v>
      </c>
      <c r="AB435" s="33"/>
      <c r="AC435" s="33"/>
      <c r="AD435" s="33">
        <f>Ruimtestaat[[#This Row],[uren / jaar weekend]]*Tariefsopbouw!$D$40</f>
        <v>0</v>
      </c>
      <c r="AE435" s="88">
        <f>Ruimtestaat[[#This Row],[Prest. (m2 /jaar) weekend]]+Ruimtestaat[[#This Row],[Prest. (m2 /jaar) werkdagen]]</f>
        <v>14966</v>
      </c>
      <c r="AF435" s="88">
        <f>Ruimtestaat[[#This Row],[uren / jaar weekend]]+Ruimtestaat[[#This Row],[uren / jaar werkdagen]]</f>
        <v>149.66</v>
      </c>
      <c r="AG435" s="89">
        <f>Ruimtestaat[[#This Row],[kosten / jaar weekend]]+Ruimtestaat[[#This Row],[kosten / jaar werkdagen]]</f>
        <v>3741.5</v>
      </c>
    </row>
    <row r="436" spans="1:33" ht="15" customHeight="1">
      <c r="A436" s="195">
        <v>4</v>
      </c>
      <c r="B436" s="195" t="str">
        <f>VLOOKUP(Ruimtestaat[[#This Row],[Code]],Locaties[#All],2,FALSE)</f>
        <v>Lichtenvoorde gebouw 3</v>
      </c>
      <c r="C436" s="241" t="str">
        <f>VLOOKUP(Ruimtestaat[[#This Row],[Code]],Locaties[#All],4,FALSE)</f>
        <v>Dr Ariensstraat 3</v>
      </c>
      <c r="D436" s="279" t="str">
        <f>VLOOKUP(Ruimtestaat[[#This Row],[Code]],Locaties[#All],5,FALSE)</f>
        <v>7131 XM </v>
      </c>
      <c r="E436" s="279" t="str">
        <f>VLOOKUP(Ruimtestaat[[#This Row],[Code]],Locaties[#All],6,FALSE)</f>
        <v>Lichtenvoorde</v>
      </c>
      <c r="F436" s="278" t="s">
        <v>780</v>
      </c>
      <c r="G436" s="278">
        <v>1</v>
      </c>
      <c r="H436" s="278" t="s">
        <v>680</v>
      </c>
      <c r="I436" s="280" t="s">
        <v>382</v>
      </c>
      <c r="J436" s="195">
        <v>6</v>
      </c>
      <c r="K436" s="260" t="str">
        <f>VLOOKUP(Ruimtestaat[[#This Row],[Ruimte code]],Ruimtegroepen[#All],2,FALSE)</f>
        <v>Gangen/hallen</v>
      </c>
      <c r="L436" s="195" t="s">
        <v>111</v>
      </c>
      <c r="M436" s="278" t="s">
        <v>777</v>
      </c>
      <c r="N436" s="197">
        <v>52.06</v>
      </c>
      <c r="O436" s="209"/>
      <c r="P436" s="241" t="str">
        <f>VLOOKUP(Ruimtestaat[[#This Row],[Ruimte code]],Ruimtegroepen[#All],4,FALSE)</f>
        <v>V  (Verkeersruimte)</v>
      </c>
      <c r="Q436" s="210"/>
      <c r="R436" s="211">
        <v>40</v>
      </c>
      <c r="S436" s="211" t="s">
        <v>2</v>
      </c>
      <c r="T436" s="211">
        <f>IF(R436&gt;0,IF(RIGHT(Ruimtestaat[[#This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436" s="211">
        <f>IF(T436&gt;0,VLOOKUP($J436,Ruimtegroepen[],3,FALSE)*VLOOKUP($L436,Vloersoorten[],3,FALSE)*VLOOKUP($S436,Frequenties[],3,FALSE)*VLOOKUP($A436,Locaties[],3,FALSE),0)</f>
        <v>100</v>
      </c>
      <c r="V436" s="211">
        <f>Ruimtestaat[[#This Row],[Uitvoeringen werkdagen]]*Ruimtestaat[[#This Row],[Oppervlak (netto)]]</f>
        <v>10412</v>
      </c>
      <c r="W436" s="257">
        <f>IF(U436&gt;0,Ruimtestaat[[#This Row],[Prest. (m2 /jaar) werkdagen]]/Ruimtestaat[[#This Row],[Norm (m2/uur) werkdagen]],0)</f>
        <v>104.12</v>
      </c>
      <c r="X436" s="258">
        <f>Ruimtestaat[[#This Row],[uren / jaar werkdagen]]*Tariefsopbouw!$D$38</f>
        <v>2603</v>
      </c>
      <c r="Y436" s="33"/>
      <c r="Z436" s="33">
        <f>IF(Ruimtestaat[[#This Row],[Frequentie weekend]]&gt;0,VALUE(LEFT(Y436,1))*R436,0)</f>
        <v>0</v>
      </c>
      <c r="AA436" s="33">
        <f>IF($Z436&gt;0,VLOOKUP($J436,Ruimtegroepen[],3,FALSE)*VLOOKUP($L436,Vloersoorten[],3,FALSE)*VLOOKUP($Y436,Frequenties[],3,FALSE)*VLOOKUP(#REF!,Locaties[],3,FALSE),0)</f>
        <v>0</v>
      </c>
      <c r="AB436" s="33"/>
      <c r="AC436" s="33"/>
      <c r="AD436" s="33">
        <f>Ruimtestaat[[#This Row],[uren / jaar weekend]]*Tariefsopbouw!$D$40</f>
        <v>0</v>
      </c>
      <c r="AE436" s="88">
        <f>Ruimtestaat[[#This Row],[Prest. (m2 /jaar) weekend]]+Ruimtestaat[[#This Row],[Prest. (m2 /jaar) werkdagen]]</f>
        <v>10412</v>
      </c>
      <c r="AF436" s="88">
        <f>Ruimtestaat[[#This Row],[uren / jaar weekend]]+Ruimtestaat[[#This Row],[uren / jaar werkdagen]]</f>
        <v>104.12</v>
      </c>
      <c r="AG436" s="89">
        <f>Ruimtestaat[[#This Row],[kosten / jaar weekend]]+Ruimtestaat[[#This Row],[kosten / jaar werkdagen]]</f>
        <v>2603</v>
      </c>
    </row>
    <row r="437" spans="1:33" ht="15" customHeight="1">
      <c r="A437" s="195">
        <v>4</v>
      </c>
      <c r="B437" s="195" t="str">
        <f>VLOOKUP(Ruimtestaat[[#This Row],[Code]],Locaties[#All],2,FALSE)</f>
        <v>Lichtenvoorde gebouw 3</v>
      </c>
      <c r="C437" s="241" t="str">
        <f>VLOOKUP(Ruimtestaat[[#This Row],[Code]],Locaties[#All],4,FALSE)</f>
        <v>Dr Ariensstraat 3</v>
      </c>
      <c r="D437" s="279" t="str">
        <f>VLOOKUP(Ruimtestaat[[#This Row],[Code]],Locaties[#All],5,FALSE)</f>
        <v>7131 XM </v>
      </c>
      <c r="E437" s="279" t="str">
        <f>VLOOKUP(Ruimtestaat[[#This Row],[Code]],Locaties[#All],6,FALSE)</f>
        <v>Lichtenvoorde</v>
      </c>
      <c r="F437" s="278" t="s">
        <v>780</v>
      </c>
      <c r="G437" s="278">
        <v>1</v>
      </c>
      <c r="H437" s="278" t="s">
        <v>681</v>
      </c>
      <c r="I437" s="280" t="s">
        <v>395</v>
      </c>
      <c r="J437" s="195">
        <v>16</v>
      </c>
      <c r="K437" s="260" t="str">
        <f>VLOOKUP(Ruimtestaat[[#This Row],[Ruimte code]],Ruimtegroepen[#All],2,FALSE)</f>
        <v>Lokaal</v>
      </c>
      <c r="L437" s="211" t="s">
        <v>112</v>
      </c>
      <c r="M437" s="278" t="s">
        <v>130</v>
      </c>
      <c r="N437" s="197">
        <v>79.5</v>
      </c>
      <c r="O437" s="209"/>
      <c r="P437" s="241" t="str">
        <f>VLOOKUP(Ruimtestaat[[#This Row],[Ruimte code]],Ruimtegroepen[#All],4,FALSE)</f>
        <v>L  (Lesruimte)</v>
      </c>
      <c r="Q437" s="210"/>
      <c r="R437" s="211">
        <v>40</v>
      </c>
      <c r="S437" s="211" t="s">
        <v>2</v>
      </c>
      <c r="T437" s="211">
        <f>IF(R437&gt;0,IF(RIGHT(Ruimtestaat[[#This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437" s="211">
        <f>IF(T437&gt;0,VLOOKUP($J437,Ruimtegroepen[],3,FALSE)*VLOOKUP($L437,Vloersoorten[],3,FALSE)*VLOOKUP($S437,Frequenties[],3,FALSE)*VLOOKUP($A437,Locaties[],3,FALSE),0)</f>
        <v>100</v>
      </c>
      <c r="V437" s="211">
        <f>Ruimtestaat[[#This Row],[Uitvoeringen werkdagen]]*Ruimtestaat[[#This Row],[Oppervlak (netto)]]</f>
        <v>15900</v>
      </c>
      <c r="W437" s="257">
        <f>IF(U437&gt;0,Ruimtestaat[[#This Row],[Prest. (m2 /jaar) werkdagen]]/Ruimtestaat[[#This Row],[Norm (m2/uur) werkdagen]],0)</f>
        <v>159</v>
      </c>
      <c r="X437" s="258">
        <f>Ruimtestaat[[#This Row],[uren / jaar werkdagen]]*Tariefsopbouw!$D$38</f>
        <v>3975</v>
      </c>
      <c r="Y437" s="33"/>
      <c r="Z437" s="33">
        <f>IF(Ruimtestaat[[#This Row],[Frequentie weekend]]&gt;0,VALUE(LEFT(Y437,1))*R437,0)</f>
        <v>0</v>
      </c>
      <c r="AA437" s="33">
        <f>IF($Z437&gt;0,VLOOKUP($J437,Ruimtegroepen[],3,FALSE)*VLOOKUP($L437,Vloersoorten[],3,FALSE)*VLOOKUP($Y437,Frequenties[],3,FALSE)*VLOOKUP(#REF!,Locaties[],3,FALSE),0)</f>
        <v>0</v>
      </c>
      <c r="AB437" s="33"/>
      <c r="AC437" s="33"/>
      <c r="AD437" s="33">
        <f>Ruimtestaat[[#This Row],[uren / jaar weekend]]*Tariefsopbouw!$D$40</f>
        <v>0</v>
      </c>
      <c r="AE437" s="88">
        <f>Ruimtestaat[[#This Row],[Prest. (m2 /jaar) weekend]]+Ruimtestaat[[#This Row],[Prest. (m2 /jaar) werkdagen]]</f>
        <v>15900</v>
      </c>
      <c r="AF437" s="88">
        <f>Ruimtestaat[[#This Row],[uren / jaar weekend]]+Ruimtestaat[[#This Row],[uren / jaar werkdagen]]</f>
        <v>159</v>
      </c>
      <c r="AG437" s="89">
        <f>Ruimtestaat[[#This Row],[kosten / jaar weekend]]+Ruimtestaat[[#This Row],[kosten / jaar werkdagen]]</f>
        <v>3975</v>
      </c>
    </row>
    <row r="438" spans="1:33" ht="15" customHeight="1">
      <c r="A438" s="195">
        <v>4</v>
      </c>
      <c r="B438" s="195" t="str">
        <f>VLOOKUP(Ruimtestaat[[#This Row],[Code]],Locaties[#All],2,FALSE)</f>
        <v>Lichtenvoorde gebouw 3</v>
      </c>
      <c r="C438" s="241" t="str">
        <f>VLOOKUP(Ruimtestaat[[#This Row],[Code]],Locaties[#All],4,FALSE)</f>
        <v>Dr Ariensstraat 3</v>
      </c>
      <c r="D438" s="279" t="str">
        <f>VLOOKUP(Ruimtestaat[[#This Row],[Code]],Locaties[#All],5,FALSE)</f>
        <v>7131 XM </v>
      </c>
      <c r="E438" s="279" t="str">
        <f>VLOOKUP(Ruimtestaat[[#This Row],[Code]],Locaties[#All],6,FALSE)</f>
        <v>Lichtenvoorde</v>
      </c>
      <c r="F438" s="278" t="s">
        <v>780</v>
      </c>
      <c r="G438" s="278">
        <v>1</v>
      </c>
      <c r="H438" s="278" t="s">
        <v>682</v>
      </c>
      <c r="I438" s="280" t="s">
        <v>449</v>
      </c>
      <c r="J438" s="195">
        <v>2</v>
      </c>
      <c r="K438" s="260" t="str">
        <f>VLOOKUP(Ruimtestaat[[#This Row],[Ruimte code]],Ruimtegroepen[#All],2,FALSE)</f>
        <v>Kantoren</v>
      </c>
      <c r="L438" s="211" t="s">
        <v>110</v>
      </c>
      <c r="M438" s="278" t="s">
        <v>133</v>
      </c>
      <c r="N438" s="197">
        <v>16.66</v>
      </c>
      <c r="O438" s="209"/>
      <c r="P438" s="241" t="str">
        <f>VLOOKUP(Ruimtestaat[[#This Row],[Ruimte code]],Ruimtegroepen[#All],4,FALSE)</f>
        <v>B  (Bureauruimte)</v>
      </c>
      <c r="Q438" s="210"/>
      <c r="R438" s="211">
        <v>40</v>
      </c>
      <c r="S438" s="211" t="s">
        <v>18</v>
      </c>
      <c r="T438" s="211">
        <f>IF(R438&gt;0,IF(RIGHT(Ruimtestaat[[#This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U438" s="211">
        <f>IF(T438&gt;0,VLOOKUP($J438,Ruimtegroepen[],3,FALSE)*VLOOKUP($L438,Vloersoorten[],3,FALSE)*VLOOKUP($S438,Frequenties[],3,FALSE)*VLOOKUP($A438,Locaties[],3,FALSE),0)</f>
        <v>100</v>
      </c>
      <c r="V438" s="211">
        <f>Ruimtestaat[[#This Row],[Uitvoeringen werkdagen]]*Ruimtestaat[[#This Row],[Oppervlak (netto)]]</f>
        <v>1999.2</v>
      </c>
      <c r="W438" s="257">
        <f>IF(U438&gt;0,Ruimtestaat[[#This Row],[Prest. (m2 /jaar) werkdagen]]/Ruimtestaat[[#This Row],[Norm (m2/uur) werkdagen]],0)</f>
        <v>19.992000000000001</v>
      </c>
      <c r="X438" s="258">
        <f>Ruimtestaat[[#This Row],[uren / jaar werkdagen]]*Tariefsopbouw!$D$38</f>
        <v>499.8</v>
      </c>
      <c r="Y438" s="33"/>
      <c r="Z438" s="33">
        <f>IF(Ruimtestaat[[#This Row],[Frequentie weekend]]&gt;0,VALUE(LEFT(Y438,1))*R438,0)</f>
        <v>0</v>
      </c>
      <c r="AA438" s="33">
        <f>IF($Z438&gt;0,VLOOKUP($J438,Ruimtegroepen[],3,FALSE)*VLOOKUP($L438,Vloersoorten[],3,FALSE)*VLOOKUP($Y438,Frequenties[],3,FALSE)*VLOOKUP(#REF!,Locaties[],3,FALSE),0)</f>
        <v>0</v>
      </c>
      <c r="AB438" s="33"/>
      <c r="AC438" s="33"/>
      <c r="AD438" s="33">
        <f>Ruimtestaat[[#This Row],[uren / jaar weekend]]*Tariefsopbouw!$D$40</f>
        <v>0</v>
      </c>
      <c r="AE438" s="88">
        <f>Ruimtestaat[[#This Row],[Prest. (m2 /jaar) weekend]]+Ruimtestaat[[#This Row],[Prest. (m2 /jaar) werkdagen]]</f>
        <v>1999.2</v>
      </c>
      <c r="AF438" s="88">
        <f>Ruimtestaat[[#This Row],[uren / jaar weekend]]+Ruimtestaat[[#This Row],[uren / jaar werkdagen]]</f>
        <v>19.992000000000001</v>
      </c>
      <c r="AG438" s="89">
        <f>Ruimtestaat[[#This Row],[kosten / jaar weekend]]+Ruimtestaat[[#This Row],[kosten / jaar werkdagen]]</f>
        <v>499.8</v>
      </c>
    </row>
    <row r="439" spans="1:33" ht="15" customHeight="1">
      <c r="A439" s="195">
        <v>4</v>
      </c>
      <c r="B439" s="195" t="str">
        <f>VLOOKUP(Ruimtestaat[[#This Row],[Code]],Locaties[#All],2,FALSE)</f>
        <v>Lichtenvoorde gebouw 3</v>
      </c>
      <c r="C439" s="241" t="str">
        <f>VLOOKUP(Ruimtestaat[[#This Row],[Code]],Locaties[#All],4,FALSE)</f>
        <v>Dr Ariensstraat 3</v>
      </c>
      <c r="D439" s="279" t="str">
        <f>VLOOKUP(Ruimtestaat[[#This Row],[Code]],Locaties[#All],5,FALSE)</f>
        <v>7131 XM </v>
      </c>
      <c r="E439" s="279" t="str">
        <f>VLOOKUP(Ruimtestaat[[#This Row],[Code]],Locaties[#All],6,FALSE)</f>
        <v>Lichtenvoorde</v>
      </c>
      <c r="F439" s="278" t="s">
        <v>780</v>
      </c>
      <c r="G439" s="278">
        <v>1</v>
      </c>
      <c r="H439" s="278" t="s">
        <v>683</v>
      </c>
      <c r="I439" s="280" t="s">
        <v>441</v>
      </c>
      <c r="J439" s="195">
        <v>1</v>
      </c>
      <c r="K439" s="260" t="str">
        <f>VLOOKUP(Ruimtestaat[[#This Row],[Ruimte code]],Ruimtegroepen[#All],2,FALSE)</f>
        <v>Magazijnen/bergingen</v>
      </c>
      <c r="L439" s="211" t="s">
        <v>110</v>
      </c>
      <c r="M439" s="278" t="s">
        <v>133</v>
      </c>
      <c r="N439" s="197">
        <v>9.8000000000000007</v>
      </c>
      <c r="O439" s="209"/>
      <c r="P439" s="241" t="str">
        <f>VLOOKUP(Ruimtestaat[[#This Row],[Ruimte code]],Ruimtegroepen[#All],4,FALSE)</f>
        <v>V  (Verkeersruimte)</v>
      </c>
      <c r="Q439" s="210"/>
      <c r="R439" s="211">
        <v>40</v>
      </c>
      <c r="S439" s="211" t="s">
        <v>16</v>
      </c>
      <c r="T439" s="211">
        <f>IF(R439&gt;0,IF(RIGHT(Ruimtestaat[[#This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U439" s="211">
        <f>IF(T439&gt;0,VLOOKUP($J439,Ruimtegroepen[],3,FALSE)*VLOOKUP($L439,Vloersoorten[],3,FALSE)*VLOOKUP($S439,Frequenties[],3,FALSE)*VLOOKUP($A439,Locaties[],3,FALSE),0)</f>
        <v>100</v>
      </c>
      <c r="V439" s="211">
        <f>Ruimtestaat[[#This Row],[Uitvoeringen werkdagen]]*Ruimtestaat[[#This Row],[Oppervlak (netto)]]</f>
        <v>117.60000000000001</v>
      </c>
      <c r="W439" s="257">
        <f>IF(U439&gt;0,Ruimtestaat[[#This Row],[Prest. (m2 /jaar) werkdagen]]/Ruimtestaat[[#This Row],[Norm (m2/uur) werkdagen]],0)</f>
        <v>1.1760000000000002</v>
      </c>
      <c r="X439" s="258">
        <f>Ruimtestaat[[#This Row],[uren / jaar werkdagen]]*Tariefsopbouw!$D$38</f>
        <v>29.400000000000006</v>
      </c>
      <c r="Y439" s="33"/>
      <c r="Z439" s="33">
        <f>IF(Ruimtestaat[[#This Row],[Frequentie weekend]]&gt;0,VALUE(LEFT(Y439,1))*R439,0)</f>
        <v>0</v>
      </c>
      <c r="AA439" s="33">
        <f>IF($Z439&gt;0,VLOOKUP($J439,Ruimtegroepen[],3,FALSE)*VLOOKUP($L439,Vloersoorten[],3,FALSE)*VLOOKUP($Y439,Frequenties[],3,FALSE)*VLOOKUP(#REF!,Locaties[],3,FALSE),0)</f>
        <v>0</v>
      </c>
      <c r="AB439" s="33"/>
      <c r="AC439" s="33"/>
      <c r="AD439" s="33">
        <f>Ruimtestaat[[#This Row],[uren / jaar weekend]]*Tariefsopbouw!$D$40</f>
        <v>0</v>
      </c>
      <c r="AE439" s="88">
        <f>Ruimtestaat[[#This Row],[Prest. (m2 /jaar) weekend]]+Ruimtestaat[[#This Row],[Prest. (m2 /jaar) werkdagen]]</f>
        <v>117.60000000000001</v>
      </c>
      <c r="AF439" s="88">
        <f>Ruimtestaat[[#This Row],[uren / jaar weekend]]+Ruimtestaat[[#This Row],[uren / jaar werkdagen]]</f>
        <v>1.1760000000000002</v>
      </c>
      <c r="AG439" s="89">
        <f>Ruimtestaat[[#This Row],[kosten / jaar weekend]]+Ruimtestaat[[#This Row],[kosten / jaar werkdagen]]</f>
        <v>29.400000000000006</v>
      </c>
    </row>
    <row r="440" spans="1:33" ht="15" customHeight="1">
      <c r="A440" s="195">
        <v>4</v>
      </c>
      <c r="B440" s="195" t="str">
        <f>VLOOKUP(Ruimtestaat[[#This Row],[Code]],Locaties[#All],2,FALSE)</f>
        <v>Lichtenvoorde gebouw 3</v>
      </c>
      <c r="C440" s="241" t="str">
        <f>VLOOKUP(Ruimtestaat[[#This Row],[Code]],Locaties[#All],4,FALSE)</f>
        <v>Dr Ariensstraat 3</v>
      </c>
      <c r="D440" s="279" t="str">
        <f>VLOOKUP(Ruimtestaat[[#This Row],[Code]],Locaties[#All],5,FALSE)</f>
        <v>7131 XM </v>
      </c>
      <c r="E440" s="279" t="str">
        <f>VLOOKUP(Ruimtestaat[[#This Row],[Code]],Locaties[#All],6,FALSE)</f>
        <v>Lichtenvoorde</v>
      </c>
      <c r="F440" s="278" t="s">
        <v>780</v>
      </c>
      <c r="G440" s="278">
        <v>1</v>
      </c>
      <c r="H440" s="278" t="s">
        <v>684</v>
      </c>
      <c r="I440" s="280" t="s">
        <v>639</v>
      </c>
      <c r="J440" s="195">
        <v>6</v>
      </c>
      <c r="K440" s="260" t="str">
        <f>VLOOKUP(Ruimtestaat[[#This Row],[Ruimte code]],Ruimtegroepen[#All],2,FALSE)</f>
        <v>Gangen/hallen</v>
      </c>
      <c r="L440" s="195" t="s">
        <v>111</v>
      </c>
      <c r="M440" s="278" t="s">
        <v>777</v>
      </c>
      <c r="N440" s="197">
        <v>59.56</v>
      </c>
      <c r="O440" s="209"/>
      <c r="P440" s="241" t="str">
        <f>VLOOKUP(Ruimtestaat[[#This Row],[Ruimte code]],Ruimtegroepen[#All],4,FALSE)</f>
        <v>V  (Verkeersruimte)</v>
      </c>
      <c r="Q440" s="210"/>
      <c r="R440" s="211">
        <v>40</v>
      </c>
      <c r="S440" s="211" t="s">
        <v>2</v>
      </c>
      <c r="T440" s="211">
        <f>IF(R440&gt;0,IF(RIGHT(Ruimtestaat[[#This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440" s="211">
        <f>IF(T440&gt;0,VLOOKUP($J440,Ruimtegroepen[],3,FALSE)*VLOOKUP($L440,Vloersoorten[],3,FALSE)*VLOOKUP($S440,Frequenties[],3,FALSE)*VLOOKUP($A440,Locaties[],3,FALSE),0)</f>
        <v>100</v>
      </c>
      <c r="V440" s="211">
        <f>Ruimtestaat[[#This Row],[Uitvoeringen werkdagen]]*Ruimtestaat[[#This Row],[Oppervlak (netto)]]</f>
        <v>11912</v>
      </c>
      <c r="W440" s="257">
        <f>IF(U440&gt;0,Ruimtestaat[[#This Row],[Prest. (m2 /jaar) werkdagen]]/Ruimtestaat[[#This Row],[Norm (m2/uur) werkdagen]],0)</f>
        <v>119.12</v>
      </c>
      <c r="X440" s="258">
        <f>Ruimtestaat[[#This Row],[uren / jaar werkdagen]]*Tariefsopbouw!$D$38</f>
        <v>2978</v>
      </c>
      <c r="Y440" s="33"/>
      <c r="Z440" s="33">
        <f>IF(Ruimtestaat[[#This Row],[Frequentie weekend]]&gt;0,VALUE(LEFT(Y440,1))*R440,0)</f>
        <v>0</v>
      </c>
      <c r="AA440" s="33">
        <f>IF($Z440&gt;0,VLOOKUP($J440,Ruimtegroepen[],3,FALSE)*VLOOKUP($L440,Vloersoorten[],3,FALSE)*VLOOKUP($Y440,Frequenties[],3,FALSE)*VLOOKUP(#REF!,Locaties[],3,FALSE),0)</f>
        <v>0</v>
      </c>
      <c r="AB440" s="33"/>
      <c r="AC440" s="33"/>
      <c r="AD440" s="33">
        <f>Ruimtestaat[[#This Row],[uren / jaar weekend]]*Tariefsopbouw!$D$40</f>
        <v>0</v>
      </c>
      <c r="AE440" s="88">
        <f>Ruimtestaat[[#This Row],[Prest. (m2 /jaar) weekend]]+Ruimtestaat[[#This Row],[Prest. (m2 /jaar) werkdagen]]</f>
        <v>11912</v>
      </c>
      <c r="AF440" s="88">
        <f>Ruimtestaat[[#This Row],[uren / jaar weekend]]+Ruimtestaat[[#This Row],[uren / jaar werkdagen]]</f>
        <v>119.12</v>
      </c>
      <c r="AG440" s="89">
        <f>Ruimtestaat[[#This Row],[kosten / jaar weekend]]+Ruimtestaat[[#This Row],[kosten / jaar werkdagen]]</f>
        <v>2978</v>
      </c>
    </row>
    <row r="441" spans="1:33" ht="15" customHeight="1">
      <c r="A441" s="195">
        <v>4</v>
      </c>
      <c r="B441" s="195" t="str">
        <f>VLOOKUP(Ruimtestaat[[#This Row],[Code]],Locaties[#All],2,FALSE)</f>
        <v>Lichtenvoorde gebouw 3</v>
      </c>
      <c r="C441" s="241" t="str">
        <f>VLOOKUP(Ruimtestaat[[#This Row],[Code]],Locaties[#All],4,FALSE)</f>
        <v>Dr Ariensstraat 3</v>
      </c>
      <c r="D441" s="279" t="str">
        <f>VLOOKUP(Ruimtestaat[[#This Row],[Code]],Locaties[#All],5,FALSE)</f>
        <v>7131 XM </v>
      </c>
      <c r="E441" s="279" t="str">
        <f>VLOOKUP(Ruimtestaat[[#This Row],[Code]],Locaties[#All],6,FALSE)</f>
        <v>Lichtenvoorde</v>
      </c>
      <c r="F441" s="278" t="s">
        <v>780</v>
      </c>
      <c r="G441" s="278">
        <v>1</v>
      </c>
      <c r="H441" s="278" t="s">
        <v>685</v>
      </c>
      <c r="I441" s="280" t="s">
        <v>449</v>
      </c>
      <c r="J441" s="195">
        <v>2</v>
      </c>
      <c r="K441" s="260" t="str">
        <f>VLOOKUP(Ruimtestaat[[#This Row],[Ruimte code]],Ruimtegroepen[#All],2,FALSE)</f>
        <v>Kantoren</v>
      </c>
      <c r="L441" s="211" t="s">
        <v>112</v>
      </c>
      <c r="M441" s="278" t="s">
        <v>130</v>
      </c>
      <c r="N441" s="197">
        <v>13.05</v>
      </c>
      <c r="O441" s="209"/>
      <c r="P441" s="241" t="str">
        <f>VLOOKUP(Ruimtestaat[[#This Row],[Ruimte code]],Ruimtegroepen[#All],4,FALSE)</f>
        <v>B  (Bureauruimte)</v>
      </c>
      <c r="Q441" s="210"/>
      <c r="R441" s="211">
        <v>40</v>
      </c>
      <c r="S441" s="211" t="s">
        <v>18</v>
      </c>
      <c r="T441" s="211">
        <f>IF(R441&gt;0,IF(RIGHT(Ruimtestaat[[#This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U441" s="211">
        <f>IF(T441&gt;0,VLOOKUP($J441,Ruimtegroepen[],3,FALSE)*VLOOKUP($L441,Vloersoorten[],3,FALSE)*VLOOKUP($S441,Frequenties[],3,FALSE)*VLOOKUP($A441,Locaties[],3,FALSE),0)</f>
        <v>100</v>
      </c>
      <c r="V441" s="211">
        <f>Ruimtestaat[[#This Row],[Uitvoeringen werkdagen]]*Ruimtestaat[[#This Row],[Oppervlak (netto)]]</f>
        <v>1566</v>
      </c>
      <c r="W441" s="257">
        <f>IF(U441&gt;0,Ruimtestaat[[#This Row],[Prest. (m2 /jaar) werkdagen]]/Ruimtestaat[[#This Row],[Norm (m2/uur) werkdagen]],0)</f>
        <v>15.66</v>
      </c>
      <c r="X441" s="258">
        <f>Ruimtestaat[[#This Row],[uren / jaar werkdagen]]*Tariefsopbouw!$D$38</f>
        <v>391.5</v>
      </c>
      <c r="Y441" s="33"/>
      <c r="Z441" s="33">
        <f>IF(Ruimtestaat[[#This Row],[Frequentie weekend]]&gt;0,VALUE(LEFT(Y441,1))*R441,0)</f>
        <v>0</v>
      </c>
      <c r="AA441" s="33">
        <f>IF($Z441&gt;0,VLOOKUP($J441,Ruimtegroepen[],3,FALSE)*VLOOKUP($L441,Vloersoorten[],3,FALSE)*VLOOKUP($Y441,Frequenties[],3,FALSE)*VLOOKUP(#REF!,Locaties[],3,FALSE),0)</f>
        <v>0</v>
      </c>
      <c r="AB441" s="33"/>
      <c r="AC441" s="33"/>
      <c r="AD441" s="33">
        <f>Ruimtestaat[[#This Row],[uren / jaar weekend]]*Tariefsopbouw!$D$40</f>
        <v>0</v>
      </c>
      <c r="AE441" s="88">
        <f>Ruimtestaat[[#This Row],[Prest. (m2 /jaar) weekend]]+Ruimtestaat[[#This Row],[Prest. (m2 /jaar) werkdagen]]</f>
        <v>1566</v>
      </c>
      <c r="AF441" s="88">
        <f>Ruimtestaat[[#This Row],[uren / jaar weekend]]+Ruimtestaat[[#This Row],[uren / jaar werkdagen]]</f>
        <v>15.66</v>
      </c>
      <c r="AG441" s="89">
        <f>Ruimtestaat[[#This Row],[kosten / jaar weekend]]+Ruimtestaat[[#This Row],[kosten / jaar werkdagen]]</f>
        <v>391.5</v>
      </c>
    </row>
    <row r="442" spans="1:33" ht="15" customHeight="1">
      <c r="A442" s="195">
        <v>4</v>
      </c>
      <c r="B442" s="195" t="str">
        <f>VLOOKUP(Ruimtestaat[[#This Row],[Code]],Locaties[#All],2,FALSE)</f>
        <v>Lichtenvoorde gebouw 3</v>
      </c>
      <c r="C442" s="241" t="str">
        <f>VLOOKUP(Ruimtestaat[[#This Row],[Code]],Locaties[#All],4,FALSE)</f>
        <v>Dr Ariensstraat 3</v>
      </c>
      <c r="D442" s="279" t="str">
        <f>VLOOKUP(Ruimtestaat[[#This Row],[Code]],Locaties[#All],5,FALSE)</f>
        <v>7131 XM </v>
      </c>
      <c r="E442" s="279" t="str">
        <f>VLOOKUP(Ruimtestaat[[#This Row],[Code]],Locaties[#All],6,FALSE)</f>
        <v>Lichtenvoorde</v>
      </c>
      <c r="F442" s="278" t="s">
        <v>780</v>
      </c>
      <c r="G442" s="278">
        <v>1</v>
      </c>
      <c r="H442" s="278" t="s">
        <v>686</v>
      </c>
      <c r="I442" s="280" t="s">
        <v>382</v>
      </c>
      <c r="J442" s="195">
        <v>6</v>
      </c>
      <c r="K442" s="260" t="str">
        <f>VLOOKUP(Ruimtestaat[[#This Row],[Ruimte code]],Ruimtegroepen[#All],2,FALSE)</f>
        <v>Gangen/hallen</v>
      </c>
      <c r="L442" s="195" t="s">
        <v>112</v>
      </c>
      <c r="M442" s="278" t="s">
        <v>130</v>
      </c>
      <c r="N442" s="197">
        <v>11.27</v>
      </c>
      <c r="O442" s="209"/>
      <c r="P442" s="241" t="str">
        <f>VLOOKUP(Ruimtestaat[[#This Row],[Ruimte code]],Ruimtegroepen[#All],4,FALSE)</f>
        <v>V  (Verkeersruimte)</v>
      </c>
      <c r="Q442" s="210"/>
      <c r="R442" s="211">
        <v>40</v>
      </c>
      <c r="S442" s="211" t="s">
        <v>2</v>
      </c>
      <c r="T442" s="211">
        <f>IF(R442&gt;0,IF(RIGHT(Ruimtestaat[[#This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U442" s="211">
        <f>IF(T442&gt;0,VLOOKUP($J442,Ruimtegroepen[],3,FALSE)*VLOOKUP($L442,Vloersoorten[],3,FALSE)*VLOOKUP($S442,Frequenties[],3,FALSE)*VLOOKUP($A442,Locaties[],3,FALSE),0)</f>
        <v>100</v>
      </c>
      <c r="V442" s="211">
        <f>Ruimtestaat[[#This Row],[Uitvoeringen werkdagen]]*Ruimtestaat[[#This Row],[Oppervlak (netto)]]</f>
        <v>2254</v>
      </c>
      <c r="W442" s="257">
        <f>IF(U442&gt;0,Ruimtestaat[[#This Row],[Prest. (m2 /jaar) werkdagen]]/Ruimtestaat[[#This Row],[Norm (m2/uur) werkdagen]],0)</f>
        <v>22.54</v>
      </c>
      <c r="X442" s="258">
        <f>Ruimtestaat[[#This Row],[uren / jaar werkdagen]]*Tariefsopbouw!$D$38</f>
        <v>563.5</v>
      </c>
      <c r="Y442" s="33"/>
      <c r="Z442" s="33">
        <f>IF(Ruimtestaat[[#This Row],[Frequentie weekend]]&gt;0,VALUE(LEFT(Y442,1))*R442,0)</f>
        <v>0</v>
      </c>
      <c r="AA442" s="33">
        <f>IF($Z442&gt;0,VLOOKUP($J442,Ruimtegroepen[],3,FALSE)*VLOOKUP($L442,Vloersoorten[],3,FALSE)*VLOOKUP($Y442,Frequenties[],3,FALSE)*VLOOKUP(#REF!,Locaties[],3,FALSE),0)</f>
        <v>0</v>
      </c>
      <c r="AB442" s="33"/>
      <c r="AC442" s="33"/>
      <c r="AD442" s="33">
        <f>Ruimtestaat[[#This Row],[uren / jaar weekend]]*Tariefsopbouw!$D$40</f>
        <v>0</v>
      </c>
      <c r="AE442" s="88">
        <f>Ruimtestaat[[#This Row],[Prest. (m2 /jaar) weekend]]+Ruimtestaat[[#This Row],[Prest. (m2 /jaar) werkdagen]]</f>
        <v>2254</v>
      </c>
      <c r="AF442" s="88">
        <f>Ruimtestaat[[#This Row],[uren / jaar weekend]]+Ruimtestaat[[#This Row],[uren / jaar werkdagen]]</f>
        <v>22.54</v>
      </c>
      <c r="AG442" s="89">
        <f>Ruimtestaat[[#This Row],[kosten / jaar weekend]]+Ruimtestaat[[#This Row],[kosten / jaar werkdagen]]</f>
        <v>563.5</v>
      </c>
    </row>
    <row r="443" spans="1:33" ht="15" customHeight="1">
      <c r="A443" s="195">
        <v>4</v>
      </c>
      <c r="B443" s="195" t="str">
        <f>VLOOKUP(Ruimtestaat[[#This Row],[Code]],Locaties[#All],2,FALSE)</f>
        <v>Lichtenvoorde gebouw 3</v>
      </c>
      <c r="C443" s="241" t="str">
        <f>VLOOKUP(Ruimtestaat[[#This Row],[Code]],Locaties[#All],4,FALSE)</f>
        <v>Dr Ariensstraat 3</v>
      </c>
      <c r="D443" s="279" t="str">
        <f>VLOOKUP(Ruimtestaat[[#This Row],[Code]],Locaties[#All],5,FALSE)</f>
        <v>7131 XM </v>
      </c>
      <c r="E443" s="279" t="str">
        <f>VLOOKUP(Ruimtestaat[[#This Row],[Code]],Locaties[#All],6,FALSE)</f>
        <v>Lichtenvoorde</v>
      </c>
      <c r="F443" s="278" t="s">
        <v>780</v>
      </c>
      <c r="G443" s="278">
        <v>1</v>
      </c>
      <c r="H443" s="278" t="s">
        <v>687</v>
      </c>
      <c r="I443" s="280" t="s">
        <v>441</v>
      </c>
      <c r="J443" s="195">
        <v>1</v>
      </c>
      <c r="K443" s="260" t="str">
        <f>VLOOKUP(Ruimtestaat[[#This Row],[Ruimte code]],Ruimtegroepen[#All],2,FALSE)</f>
        <v>Magazijnen/bergingen</v>
      </c>
      <c r="L443" s="195" t="s">
        <v>109</v>
      </c>
      <c r="M443" s="278" t="s">
        <v>38</v>
      </c>
      <c r="N443" s="197">
        <v>3.78</v>
      </c>
      <c r="O443" s="209"/>
      <c r="P443" s="241" t="str">
        <f>VLOOKUP(Ruimtestaat[[#This Row],[Ruimte code]],Ruimtegroepen[#All],4,FALSE)</f>
        <v>V  (Verkeersruimte)</v>
      </c>
      <c r="Q443" s="210"/>
      <c r="R443" s="211">
        <v>40</v>
      </c>
      <c r="S443" s="211" t="s">
        <v>16</v>
      </c>
      <c r="T443" s="211">
        <f>IF(R443&gt;0,IF(RIGHT(Ruimtestaat[[#This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U443" s="211">
        <f>IF(T443&gt;0,VLOOKUP($J443,Ruimtegroepen[],3,FALSE)*VLOOKUP($L443,Vloersoorten[],3,FALSE)*VLOOKUP($S443,Frequenties[],3,FALSE)*VLOOKUP($A443,Locaties[],3,FALSE),0)</f>
        <v>100</v>
      </c>
      <c r="V443" s="211">
        <f>Ruimtestaat[[#This Row],[Uitvoeringen werkdagen]]*Ruimtestaat[[#This Row],[Oppervlak (netto)]]</f>
        <v>45.36</v>
      </c>
      <c r="W443" s="257">
        <f>IF(U443&gt;0,Ruimtestaat[[#This Row],[Prest. (m2 /jaar) werkdagen]]/Ruimtestaat[[#This Row],[Norm (m2/uur) werkdagen]],0)</f>
        <v>0.4536</v>
      </c>
      <c r="X443" s="258">
        <f>Ruimtestaat[[#This Row],[uren / jaar werkdagen]]*Tariefsopbouw!$D$38</f>
        <v>11.34</v>
      </c>
      <c r="Y443" s="33"/>
      <c r="Z443" s="33">
        <f>IF(Ruimtestaat[[#This Row],[Frequentie weekend]]&gt;0,VALUE(LEFT(Y443,1))*R443,0)</f>
        <v>0</v>
      </c>
      <c r="AA443" s="33">
        <f>IF($Z443&gt;0,VLOOKUP($J443,Ruimtegroepen[],3,FALSE)*VLOOKUP($L443,Vloersoorten[],3,FALSE)*VLOOKUP($Y443,Frequenties[],3,FALSE)*VLOOKUP(#REF!,Locaties[],3,FALSE),0)</f>
        <v>0</v>
      </c>
      <c r="AB443" s="33"/>
      <c r="AC443" s="33"/>
      <c r="AD443" s="33">
        <f>Ruimtestaat[[#This Row],[uren / jaar weekend]]*Tariefsopbouw!$D$40</f>
        <v>0</v>
      </c>
      <c r="AE443" s="88">
        <f>Ruimtestaat[[#This Row],[Prest. (m2 /jaar) weekend]]+Ruimtestaat[[#This Row],[Prest. (m2 /jaar) werkdagen]]</f>
        <v>45.36</v>
      </c>
      <c r="AF443" s="88">
        <f>Ruimtestaat[[#This Row],[uren / jaar weekend]]+Ruimtestaat[[#This Row],[uren / jaar werkdagen]]</f>
        <v>0.4536</v>
      </c>
      <c r="AG443" s="89">
        <f>Ruimtestaat[[#This Row],[kosten / jaar weekend]]+Ruimtestaat[[#This Row],[kosten / jaar werkdagen]]</f>
        <v>11.34</v>
      </c>
    </row>
    <row r="444" spans="1:33" ht="15" customHeight="1">
      <c r="A444" s="195">
        <v>4</v>
      </c>
      <c r="B444" s="195" t="str">
        <f>VLOOKUP(Ruimtestaat[[#This Row],[Code]],Locaties[#All],2,FALSE)</f>
        <v>Lichtenvoorde gebouw 3</v>
      </c>
      <c r="C444" s="241" t="str">
        <f>VLOOKUP(Ruimtestaat[[#This Row],[Code]],Locaties[#All],4,FALSE)</f>
        <v>Dr Ariensstraat 3</v>
      </c>
      <c r="D444" s="279" t="str">
        <f>VLOOKUP(Ruimtestaat[[#This Row],[Code]],Locaties[#All],5,FALSE)</f>
        <v>7131 XM </v>
      </c>
      <c r="E444" s="279" t="str">
        <f>VLOOKUP(Ruimtestaat[[#This Row],[Code]],Locaties[#All],6,FALSE)</f>
        <v>Lichtenvoorde</v>
      </c>
      <c r="F444" s="278" t="s">
        <v>780</v>
      </c>
      <c r="G444" s="278">
        <v>1</v>
      </c>
      <c r="H444" s="278" t="s">
        <v>688</v>
      </c>
      <c r="I444" s="280" t="s">
        <v>826</v>
      </c>
      <c r="J444" s="195">
        <v>21</v>
      </c>
      <c r="K444" s="260" t="str">
        <f>VLOOKUP(Ruimtestaat[[#This Row],[Ruimte code]],Ruimtegroepen[#All],2,FALSE)</f>
        <v>Niet in onderhoud</v>
      </c>
      <c r="L444" s="211"/>
      <c r="M444" s="278"/>
      <c r="N444" s="197"/>
      <c r="O444" s="209">
        <v>1.79</v>
      </c>
      <c r="P444" s="241" t="str">
        <f>VLOOKUP(Ruimtestaat[[#This Row],[Ruimte code]],Ruimtegroepen[#All],4,FALSE)</f>
        <v>Niet in onderhoud</v>
      </c>
      <c r="Q444" s="210"/>
      <c r="R444" s="211"/>
      <c r="S444" s="211"/>
      <c r="T444" s="211">
        <f>IF(R444&gt;0,IF(RIGHT(Ruimtestaat[[#This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444" s="211">
        <f>IF(T444&gt;0,VLOOKUP($J444,Ruimtegroepen[],3,FALSE)*VLOOKUP($L444,Vloersoorten[],3,FALSE)*VLOOKUP($S444,Frequenties[],3,FALSE)*VLOOKUP($A444,Locaties[],3,FALSE),0)</f>
        <v>0</v>
      </c>
      <c r="V444" s="211">
        <f>Ruimtestaat[[#This Row],[Uitvoeringen werkdagen]]*Ruimtestaat[[#This Row],[Oppervlak (netto)]]</f>
        <v>0</v>
      </c>
      <c r="W444" s="257">
        <f>IF(U444&gt;0,Ruimtestaat[[#This Row],[Prest. (m2 /jaar) werkdagen]]/Ruimtestaat[[#This Row],[Norm (m2/uur) werkdagen]],0)</f>
        <v>0</v>
      </c>
      <c r="X444" s="258">
        <f>Ruimtestaat[[#This Row],[uren / jaar werkdagen]]*Tariefsopbouw!$D$38</f>
        <v>0</v>
      </c>
      <c r="Y444" s="33"/>
      <c r="Z444" s="33">
        <f>IF(Ruimtestaat[[#This Row],[Frequentie weekend]]&gt;0,VALUE(LEFT(Y444,1))*R444,0)</f>
        <v>0</v>
      </c>
      <c r="AA444" s="33">
        <f>IF($Z444&gt;0,VLOOKUP($J444,Ruimtegroepen[],3,FALSE)*VLOOKUP($L444,Vloersoorten[],3,FALSE)*VLOOKUP($Y444,Frequenties[],3,FALSE)*VLOOKUP(#REF!,Locaties[],3,FALSE),0)</f>
        <v>0</v>
      </c>
      <c r="AB444" s="33"/>
      <c r="AC444" s="33"/>
      <c r="AD444" s="33">
        <f>Ruimtestaat[[#This Row],[uren / jaar weekend]]*Tariefsopbouw!$D$40</f>
        <v>0</v>
      </c>
      <c r="AE444" s="88">
        <f>Ruimtestaat[[#This Row],[Prest. (m2 /jaar) weekend]]+Ruimtestaat[[#This Row],[Prest. (m2 /jaar) werkdagen]]</f>
        <v>0</v>
      </c>
      <c r="AF444" s="88">
        <f>Ruimtestaat[[#This Row],[uren / jaar weekend]]+Ruimtestaat[[#This Row],[uren / jaar werkdagen]]</f>
        <v>0</v>
      </c>
      <c r="AG444" s="89">
        <f>Ruimtestaat[[#This Row],[kosten / jaar weekend]]+Ruimtestaat[[#This Row],[kosten / jaar werkdagen]]</f>
        <v>0</v>
      </c>
    </row>
    <row r="445" spans="1:33" ht="15" customHeight="1">
      <c r="A445" s="195">
        <v>4</v>
      </c>
      <c r="B445" s="195" t="str">
        <f>VLOOKUP(Ruimtestaat[[#This Row],[Code]],Locaties[#All],2,FALSE)</f>
        <v>Lichtenvoorde gebouw 3</v>
      </c>
      <c r="C445" s="241" t="str">
        <f>VLOOKUP(Ruimtestaat[[#This Row],[Code]],Locaties[#All],4,FALSE)</f>
        <v>Dr Ariensstraat 3</v>
      </c>
      <c r="D445" s="279" t="str">
        <f>VLOOKUP(Ruimtestaat[[#This Row],[Code]],Locaties[#All],5,FALSE)</f>
        <v>7131 XM </v>
      </c>
      <c r="E445" s="279" t="str">
        <f>VLOOKUP(Ruimtestaat[[#This Row],[Code]],Locaties[#All],6,FALSE)</f>
        <v>Lichtenvoorde</v>
      </c>
      <c r="F445" s="278" t="s">
        <v>780</v>
      </c>
      <c r="G445" s="278">
        <v>1</v>
      </c>
      <c r="H445" s="278" t="s">
        <v>689</v>
      </c>
      <c r="I445" s="280" t="s">
        <v>601</v>
      </c>
      <c r="J445" s="195">
        <v>21</v>
      </c>
      <c r="K445" s="260" t="str">
        <f>VLOOKUP(Ruimtestaat[[#This Row],[Ruimte code]],Ruimtegroepen[#All],2,FALSE)</f>
        <v>Niet in onderhoud</v>
      </c>
      <c r="L445" s="211" t="s">
        <v>110</v>
      </c>
      <c r="M445" s="278" t="s">
        <v>133</v>
      </c>
      <c r="N445" s="197"/>
      <c r="O445" s="209">
        <v>12.64</v>
      </c>
      <c r="P445" s="241" t="str">
        <f>VLOOKUP(Ruimtestaat[[#This Row],[Ruimte code]],Ruimtegroepen[#All],4,FALSE)</f>
        <v>Niet in onderhoud</v>
      </c>
      <c r="Q445" s="210"/>
      <c r="R445" s="211"/>
      <c r="S445" s="211"/>
      <c r="T445" s="211">
        <f>IF(R445&gt;0,IF(RIGHT(Ruimtestaat[[#This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445" s="211">
        <f>IF(T445&gt;0,VLOOKUP($J445,Ruimtegroepen[],3,FALSE)*VLOOKUP($L445,Vloersoorten[],3,FALSE)*VLOOKUP($S445,Frequenties[],3,FALSE)*VLOOKUP($A445,Locaties[],3,FALSE),0)</f>
        <v>0</v>
      </c>
      <c r="V445" s="211">
        <f>Ruimtestaat[[#This Row],[Uitvoeringen werkdagen]]*Ruimtestaat[[#This Row],[Oppervlak (netto)]]</f>
        <v>0</v>
      </c>
      <c r="W445" s="257">
        <f>IF(U445&gt;0,Ruimtestaat[[#This Row],[Prest. (m2 /jaar) werkdagen]]/Ruimtestaat[[#This Row],[Norm (m2/uur) werkdagen]],0)</f>
        <v>0</v>
      </c>
      <c r="X445" s="258">
        <f>Ruimtestaat[[#This Row],[uren / jaar werkdagen]]*Tariefsopbouw!$D$38</f>
        <v>0</v>
      </c>
      <c r="Y445" s="33"/>
      <c r="Z445" s="33">
        <f>IF(Ruimtestaat[[#This Row],[Frequentie weekend]]&gt;0,VALUE(LEFT(Y445,1))*R445,0)</f>
        <v>0</v>
      </c>
      <c r="AA445" s="33">
        <f>IF($Z445&gt;0,VLOOKUP($J445,Ruimtegroepen[],3,FALSE)*VLOOKUP($L445,Vloersoorten[],3,FALSE)*VLOOKUP($Y445,Frequenties[],3,FALSE)*VLOOKUP(#REF!,Locaties[],3,FALSE),0)</f>
        <v>0</v>
      </c>
      <c r="AB445" s="33"/>
      <c r="AC445" s="33"/>
      <c r="AD445" s="33">
        <f>Ruimtestaat[[#This Row],[uren / jaar weekend]]*Tariefsopbouw!$D$40</f>
        <v>0</v>
      </c>
      <c r="AE445" s="88">
        <f>Ruimtestaat[[#This Row],[Prest. (m2 /jaar) weekend]]+Ruimtestaat[[#This Row],[Prest. (m2 /jaar) werkdagen]]</f>
        <v>0</v>
      </c>
      <c r="AF445" s="88">
        <f>Ruimtestaat[[#This Row],[uren / jaar weekend]]+Ruimtestaat[[#This Row],[uren / jaar werkdagen]]</f>
        <v>0</v>
      </c>
      <c r="AG445" s="89">
        <f>Ruimtestaat[[#This Row],[kosten / jaar weekend]]+Ruimtestaat[[#This Row],[kosten / jaar werkdagen]]</f>
        <v>0</v>
      </c>
    </row>
    <row r="446" spans="1:33" ht="15" customHeight="1">
      <c r="A446" s="195">
        <v>4</v>
      </c>
      <c r="B446" s="195" t="str">
        <f>VLOOKUP(Ruimtestaat[[#This Row],[Code]],Locaties[#All],2,FALSE)</f>
        <v>Lichtenvoorde gebouw 3</v>
      </c>
      <c r="C446" s="241" t="str">
        <f>VLOOKUP(Ruimtestaat[[#This Row],[Code]],Locaties[#All],4,FALSE)</f>
        <v>Dr Ariensstraat 3</v>
      </c>
      <c r="D446" s="279" t="str">
        <f>VLOOKUP(Ruimtestaat[[#This Row],[Code]],Locaties[#All],5,FALSE)</f>
        <v>7131 XM </v>
      </c>
      <c r="E446" s="279" t="str">
        <f>VLOOKUP(Ruimtestaat[[#This Row],[Code]],Locaties[#All],6,FALSE)</f>
        <v>Lichtenvoorde</v>
      </c>
      <c r="F446" s="278" t="s">
        <v>780</v>
      </c>
      <c r="G446" s="278">
        <v>1</v>
      </c>
      <c r="H446" s="278" t="s">
        <v>690</v>
      </c>
      <c r="I446" s="280" t="s">
        <v>662</v>
      </c>
      <c r="J446" s="195">
        <v>21</v>
      </c>
      <c r="K446" s="260" t="str">
        <f>VLOOKUP(Ruimtestaat[[#This Row],[Ruimte code]],Ruimtegroepen[#All],2,FALSE)</f>
        <v>Niet in onderhoud</v>
      </c>
      <c r="L446" s="195"/>
      <c r="M446" s="278"/>
      <c r="N446" s="197"/>
      <c r="O446" s="209">
        <v>1.82</v>
      </c>
      <c r="P446" s="241" t="str">
        <f>VLOOKUP(Ruimtestaat[[#This Row],[Ruimte code]],Ruimtegroepen[#All],4,FALSE)</f>
        <v>Niet in onderhoud</v>
      </c>
      <c r="Q446" s="210"/>
      <c r="R446" s="211"/>
      <c r="S446" s="211"/>
      <c r="T446" s="211">
        <f>IF(R446&gt;0,IF(RIGHT(Ruimtestaat[[#This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U446" s="211">
        <f>IF(T446&gt;0,VLOOKUP($J446,Ruimtegroepen[],3,FALSE)*VLOOKUP($L446,Vloersoorten[],3,FALSE)*VLOOKUP($S446,Frequenties[],3,FALSE)*VLOOKUP($A446,Locaties[],3,FALSE),0)</f>
        <v>0</v>
      </c>
      <c r="V446" s="211">
        <f>Ruimtestaat[[#This Row],[Uitvoeringen werkdagen]]*Ruimtestaat[[#This Row],[Oppervlak (netto)]]</f>
        <v>0</v>
      </c>
      <c r="W446" s="257">
        <f>IF(U446&gt;0,Ruimtestaat[[#This Row],[Prest. (m2 /jaar) werkdagen]]/Ruimtestaat[[#This Row],[Norm (m2/uur) werkdagen]],0)</f>
        <v>0</v>
      </c>
      <c r="X446" s="258">
        <f>Ruimtestaat[[#This Row],[uren / jaar werkdagen]]*Tariefsopbouw!$D$38</f>
        <v>0</v>
      </c>
      <c r="Y446" s="33"/>
      <c r="Z446" s="33">
        <f>IF(Ruimtestaat[[#This Row],[Frequentie weekend]]&gt;0,VALUE(LEFT(Y446,1))*R446,0)</f>
        <v>0</v>
      </c>
      <c r="AA446" s="33">
        <f>IF($Z446&gt;0,VLOOKUP($J446,Ruimtegroepen[],3,FALSE)*VLOOKUP($L446,Vloersoorten[],3,FALSE)*VLOOKUP($Y446,Frequenties[],3,FALSE)*VLOOKUP(#REF!,Locaties[],3,FALSE),0)</f>
        <v>0</v>
      </c>
      <c r="AB446" s="33"/>
      <c r="AC446" s="33"/>
      <c r="AD446" s="33">
        <f>Ruimtestaat[[#This Row],[uren / jaar weekend]]*Tariefsopbouw!$D$40</f>
        <v>0</v>
      </c>
      <c r="AE446" s="88">
        <f>Ruimtestaat[[#This Row],[Prest. (m2 /jaar) weekend]]+Ruimtestaat[[#This Row],[Prest. (m2 /jaar) werkdagen]]</f>
        <v>0</v>
      </c>
      <c r="AF446" s="88">
        <f>Ruimtestaat[[#This Row],[uren / jaar weekend]]+Ruimtestaat[[#This Row],[uren / jaar werkdagen]]</f>
        <v>0</v>
      </c>
      <c r="AG446" s="89">
        <f>Ruimtestaat[[#This Row],[kosten / jaar weekend]]+Ruimtestaat[[#This Row],[kosten / jaar werkdagen]]</f>
        <v>0</v>
      </c>
    </row>
  </sheetData>
  <sortState xmlns:xlrd2="http://schemas.microsoft.com/office/spreadsheetml/2017/richdata2" ref="B17:S547">
    <sortCondition ref="B17:B547"/>
    <sortCondition ref="F17:F547"/>
  </sortState>
  <mergeCells count="5">
    <mergeCell ref="A1:Q1"/>
    <mergeCell ref="R1:AG1"/>
    <mergeCell ref="S3:X3"/>
    <mergeCell ref="Y3:AD3"/>
    <mergeCell ref="AE3:AG3"/>
  </mergeCells>
  <phoneticPr fontId="9" type="noConversion"/>
  <pageMargins left="0.23622047244094491" right="0.23622047244094491" top="0.74803149606299213" bottom="0.74803149606299213" header="0.31496062992125984" footer="0.31496062992125984"/>
  <pageSetup paperSize="8" scale="51" fitToWidth="2" fitToHeight="0" orientation="landscape" r:id="rId1"/>
  <headerFooter alignWithMargins="0">
    <oddFooter>&amp;L&amp;P&amp;Cparaaf Inschrijver&amp;R&amp;D</oddFooter>
  </headerFooter>
  <rowBreaks count="1" manualBreakCount="1">
    <brk id="409" max="16383" man="1"/>
  </rowBreaks>
  <colBreaks count="1" manualBreakCount="1">
    <brk id="25" max="1048575" man="1"/>
  </colBreaks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6">
    <tabColor theme="0" tint="-0.14999847407452621"/>
    <pageSetUpPr fitToPage="1"/>
  </sheetPr>
  <dimension ref="A1:K111"/>
  <sheetViews>
    <sheetView showGridLines="0" view="pageBreakPreview" zoomScaleNormal="100" zoomScaleSheetLayoutView="100" workbookViewId="0">
      <selection activeCell="C19" sqref="C19"/>
    </sheetView>
  </sheetViews>
  <sheetFormatPr defaultColWidth="9.140625" defaultRowHeight="15" customHeight="1"/>
  <cols>
    <col min="1" max="1" width="11.5703125" style="21" customWidth="1"/>
    <col min="2" max="2" width="47.42578125" style="4" bestFit="1" customWidth="1"/>
    <col min="3" max="3" width="12.5703125" style="4" customWidth="1"/>
    <col min="4" max="4" width="52.140625" style="21" bestFit="1" customWidth="1"/>
    <col min="5" max="7" width="19" style="4" customWidth="1"/>
    <col min="8" max="9" width="17.7109375" style="4" bestFit="1" customWidth="1"/>
    <col min="10" max="16384" width="9.140625" style="4"/>
  </cols>
  <sheetData>
    <row r="1" spans="1:9" s="9" customFormat="1" ht="17.25" customHeight="1">
      <c r="A1" s="337" t="s">
        <v>41</v>
      </c>
      <c r="B1" s="337"/>
      <c r="C1" s="337"/>
      <c r="D1" s="337"/>
      <c r="E1" s="337"/>
      <c r="F1" s="337"/>
      <c r="G1" s="337"/>
      <c r="H1" s="81"/>
    </row>
    <row r="2" spans="1:9" s="9" customFormat="1" ht="15" customHeight="1">
      <c r="A2" s="348" t="s">
        <v>217</v>
      </c>
      <c r="B2" s="331"/>
      <c r="C2" s="331"/>
      <c r="D2" s="331"/>
      <c r="E2" s="331"/>
      <c r="F2" s="331"/>
      <c r="G2" s="331"/>
    </row>
    <row r="3" spans="1:9" ht="15" customHeight="1">
      <c r="B3" s="21"/>
      <c r="D3" s="4"/>
    </row>
    <row r="4" spans="1:9" ht="15" customHeight="1">
      <c r="A4" s="4" t="s">
        <v>182</v>
      </c>
      <c r="B4" s="21"/>
      <c r="D4" s="4"/>
    </row>
    <row r="5" spans="1:9" ht="15" customHeight="1">
      <c r="A5" s="4" t="s">
        <v>248</v>
      </c>
      <c r="B5" s="21"/>
      <c r="D5" s="4"/>
    </row>
    <row r="6" spans="1:9" ht="15" customHeight="1">
      <c r="A6" s="4" t="s">
        <v>200</v>
      </c>
      <c r="B6" s="38"/>
      <c r="C6" s="38"/>
      <c r="D6" s="34"/>
      <c r="E6" s="34"/>
      <c r="F6" s="39"/>
      <c r="G6" s="39"/>
    </row>
    <row r="7" spans="1:9" ht="15" customHeight="1">
      <c r="A7" s="4"/>
      <c r="B7" s="38"/>
      <c r="C7" s="38"/>
      <c r="D7" s="34"/>
      <c r="E7" s="349" t="s">
        <v>403</v>
      </c>
      <c r="F7" s="349"/>
      <c r="G7" s="349"/>
      <c r="H7" s="349"/>
      <c r="I7" s="349"/>
    </row>
    <row r="8" spans="1:9" s="8" customFormat="1" ht="26.25" customHeight="1">
      <c r="A8" s="51" t="s">
        <v>214</v>
      </c>
      <c r="B8" s="52" t="s">
        <v>147</v>
      </c>
      <c r="C8" s="53" t="s">
        <v>181</v>
      </c>
      <c r="D8" s="51" t="s">
        <v>152</v>
      </c>
      <c r="E8" s="51" t="s">
        <v>432</v>
      </c>
      <c r="F8" s="51" t="s">
        <v>433</v>
      </c>
      <c r="G8" s="51" t="s">
        <v>434</v>
      </c>
      <c r="H8" s="51" t="s">
        <v>435</v>
      </c>
      <c r="I8" s="51" t="s">
        <v>786</v>
      </c>
    </row>
    <row r="9" spans="1:9" ht="15" customHeight="1">
      <c r="A9" s="54">
        <v>1</v>
      </c>
      <c r="B9" s="55" t="s">
        <v>234</v>
      </c>
      <c r="C9" s="56">
        <v>0</v>
      </c>
      <c r="D9" s="59" t="s">
        <v>150</v>
      </c>
      <c r="E9" s="224">
        <f>(InvulGlas[[#This Row],[Prijs excl. BTW]]*Tariefsopbouw!$I$37)+InvulGlas[[#This Row],[Prijs excl. BTW]]</f>
        <v>0</v>
      </c>
      <c r="F9" s="224">
        <f>E9*Tariefsopbouw!$K$37+Glasbewassing!E9</f>
        <v>0</v>
      </c>
      <c r="G9" s="224">
        <f>F9*Tariefsopbouw!$M$37+Glasbewassing!F9</f>
        <v>0</v>
      </c>
      <c r="H9" s="301">
        <f>G9*Tariefsopbouw!$O$37+Glasbewassing!G9</f>
        <v>0</v>
      </c>
      <c r="I9" s="224">
        <f>H9*Tariefsopbouw!$Q$37+Glasbewassing!H9</f>
        <v>0</v>
      </c>
    </row>
    <row r="10" spans="1:9" ht="15" customHeight="1">
      <c r="A10" s="57">
        <v>2</v>
      </c>
      <c r="B10" s="58" t="s">
        <v>149</v>
      </c>
      <c r="C10" s="56">
        <v>0</v>
      </c>
      <c r="D10" s="61" t="s">
        <v>150</v>
      </c>
      <c r="E10" s="225">
        <f>(InvulGlas[[#This Row],[Prijs excl. BTW]]*Tariefsopbouw!$I$37)+InvulGlas[[#This Row],[Prijs excl. BTW]]</f>
        <v>0</v>
      </c>
      <c r="F10" s="225">
        <f>E10*Tariefsopbouw!$K$37+Glasbewassing!E10</f>
        <v>0</v>
      </c>
      <c r="G10" s="225">
        <f>F10*Tariefsopbouw!$M$37+Glasbewassing!F10</f>
        <v>0</v>
      </c>
      <c r="H10" s="225">
        <f>G10*Tariefsopbouw!$O$37+Glasbewassing!G10</f>
        <v>0</v>
      </c>
      <c r="I10" s="225">
        <f>H10*Tariefsopbouw!$Q$37+Glasbewassing!H10</f>
        <v>0</v>
      </c>
    </row>
    <row r="11" spans="1:9" ht="15" customHeight="1">
      <c r="A11" s="54">
        <v>3</v>
      </c>
      <c r="B11" s="55" t="s">
        <v>151</v>
      </c>
      <c r="C11" s="56">
        <v>0</v>
      </c>
      <c r="D11" s="59" t="s">
        <v>150</v>
      </c>
      <c r="E11" s="224">
        <f>(InvulGlas[[#This Row],[Prijs excl. BTW]]*Tariefsopbouw!$I$37)+InvulGlas[[#This Row],[Prijs excl. BTW]]</f>
        <v>0</v>
      </c>
      <c r="F11" s="224">
        <f>E11*Tariefsopbouw!$K$37+Glasbewassing!E11</f>
        <v>0</v>
      </c>
      <c r="G11" s="224">
        <f>F11*Tariefsopbouw!$M$37+Glasbewassing!F11</f>
        <v>0</v>
      </c>
      <c r="H11" s="224">
        <f>G11*Tariefsopbouw!$O$37+Glasbewassing!G11</f>
        <v>0</v>
      </c>
      <c r="I11" s="224">
        <f>H11*Tariefsopbouw!$Q$37+Glasbewassing!H11</f>
        <v>0</v>
      </c>
    </row>
    <row r="12" spans="1:9" ht="15" customHeight="1">
      <c r="A12" s="57">
        <v>4</v>
      </c>
      <c r="B12" s="58" t="s">
        <v>235</v>
      </c>
      <c r="C12" s="56">
        <v>0</v>
      </c>
      <c r="D12" s="61" t="s">
        <v>150</v>
      </c>
      <c r="E12" s="225">
        <f>(InvulGlas[[#This Row],[Prijs excl. BTW]]*Tariefsopbouw!$I$37)+InvulGlas[[#This Row],[Prijs excl. BTW]]</f>
        <v>0</v>
      </c>
      <c r="F12" s="225">
        <f>E12*Tariefsopbouw!$K$37+Glasbewassing!E12</f>
        <v>0</v>
      </c>
      <c r="G12" s="225">
        <f>F12*Tariefsopbouw!$M$37+Glasbewassing!F12</f>
        <v>0</v>
      </c>
      <c r="H12" s="225">
        <f>G12*Tariefsopbouw!$O$37+Glasbewassing!G12</f>
        <v>0</v>
      </c>
      <c r="I12" s="225">
        <f>H12*Tariefsopbouw!$Q$37+Glasbewassing!H12</f>
        <v>0</v>
      </c>
    </row>
    <row r="13" spans="1:9" ht="15" customHeight="1">
      <c r="A13" s="54">
        <v>5</v>
      </c>
      <c r="B13" s="55" t="s">
        <v>259</v>
      </c>
      <c r="C13" s="56">
        <v>0</v>
      </c>
      <c r="D13" s="59" t="s">
        <v>150</v>
      </c>
      <c r="E13" s="224">
        <f>(InvulGlas[[#This Row],[Prijs excl. BTW]]*Tariefsopbouw!$I$37)+InvulGlas[[#This Row],[Prijs excl. BTW]]</f>
        <v>0</v>
      </c>
      <c r="F13" s="224">
        <f>E13*Tariefsopbouw!$K$37+Glasbewassing!E13</f>
        <v>0</v>
      </c>
      <c r="G13" s="224">
        <f>F13*Tariefsopbouw!$M$37+Glasbewassing!F13</f>
        <v>0</v>
      </c>
      <c r="H13" s="224">
        <f>G13*Tariefsopbouw!$O$37+Glasbewassing!G13</f>
        <v>0</v>
      </c>
      <c r="I13" s="224">
        <f>H13*Tariefsopbouw!$Q$37+Glasbewassing!H13</f>
        <v>0</v>
      </c>
    </row>
    <row r="14" spans="1:9" ht="15" customHeight="1">
      <c r="A14" s="57">
        <v>6</v>
      </c>
      <c r="B14" s="58" t="s">
        <v>233</v>
      </c>
      <c r="C14" s="56">
        <v>0</v>
      </c>
      <c r="D14" s="61" t="s">
        <v>150</v>
      </c>
      <c r="E14" s="225">
        <f>(InvulGlas[[#This Row],[Prijs excl. BTW]]*Tariefsopbouw!$I$37)+InvulGlas[[#This Row],[Prijs excl. BTW]]</f>
        <v>0</v>
      </c>
      <c r="F14" s="225">
        <f>E14*Tariefsopbouw!$K$37+Glasbewassing!E14</f>
        <v>0</v>
      </c>
      <c r="G14" s="225">
        <f>F14*Tariefsopbouw!$M$37+Glasbewassing!F14</f>
        <v>0</v>
      </c>
      <c r="H14" s="225">
        <f>G14*Tariefsopbouw!$O$37+Glasbewassing!G14</f>
        <v>0</v>
      </c>
      <c r="I14" s="225">
        <f>H14*Tariefsopbouw!$Q$37+Glasbewassing!H14</f>
        <v>0</v>
      </c>
    </row>
    <row r="15" spans="1:9" ht="15" customHeight="1">
      <c r="A15" s="54">
        <v>7</v>
      </c>
      <c r="B15" s="55" t="s">
        <v>847</v>
      </c>
      <c r="C15" s="56">
        <v>0</v>
      </c>
      <c r="D15" s="59" t="s">
        <v>255</v>
      </c>
      <c r="E15" s="224">
        <f>(InvulGlas[[#This Row],[Prijs excl. BTW]]*Tariefsopbouw!$I$37)+InvulGlas[[#This Row],[Prijs excl. BTW]]</f>
        <v>0</v>
      </c>
      <c r="F15" s="224">
        <f>E15*Tariefsopbouw!$K$37+Glasbewassing!E15</f>
        <v>0</v>
      </c>
      <c r="G15" s="224">
        <f>F15*Tariefsopbouw!$M$37+Glasbewassing!F15</f>
        <v>0</v>
      </c>
      <c r="H15" s="224">
        <f>G15*Tariefsopbouw!$O$37+Glasbewassing!G15</f>
        <v>0</v>
      </c>
      <c r="I15" s="224">
        <f>H15*Tariefsopbouw!$Q$37+Glasbewassing!H15</f>
        <v>0</v>
      </c>
    </row>
    <row r="16" spans="1:9" ht="15" customHeight="1">
      <c r="A16" s="57" t="s">
        <v>787</v>
      </c>
      <c r="B16" s="58" t="s">
        <v>788</v>
      </c>
      <c r="C16" s="56">
        <v>0</v>
      </c>
      <c r="D16" s="61" t="s">
        <v>48</v>
      </c>
      <c r="E16" s="225">
        <f>(InvulGlas[[#This Row],[Prijs excl. BTW]]*Tariefsopbouw!$I$37)+InvulGlas[[#This Row],[Prijs excl. BTW]]</f>
        <v>0</v>
      </c>
      <c r="F16" s="225">
        <f>E16*Tariefsopbouw!$K$37+Glasbewassing!E16</f>
        <v>0</v>
      </c>
      <c r="G16" s="225">
        <f>F16*Tariefsopbouw!$M$37+Glasbewassing!F16</f>
        <v>0</v>
      </c>
      <c r="H16" s="225">
        <f>G16*Tariefsopbouw!$O$37+Glasbewassing!G16</f>
        <v>0</v>
      </c>
      <c r="I16" s="225">
        <f>H16*Tariefsopbouw!$Q$37+Glasbewassing!H16</f>
        <v>0</v>
      </c>
    </row>
    <row r="17" spans="1:9" ht="15" customHeight="1">
      <c r="A17" s="54" t="s">
        <v>158</v>
      </c>
      <c r="B17" s="55" t="s">
        <v>154</v>
      </c>
      <c r="C17" s="56">
        <v>0</v>
      </c>
      <c r="D17" s="59" t="s">
        <v>48</v>
      </c>
      <c r="E17" s="224">
        <f>(InvulGlas[[#This Row],[Prijs excl. BTW]]*Tariefsopbouw!$I$37)+InvulGlas[[#This Row],[Prijs excl. BTW]]</f>
        <v>0</v>
      </c>
      <c r="F17" s="224">
        <f>E17*Tariefsopbouw!$K$37+Glasbewassing!E17</f>
        <v>0</v>
      </c>
      <c r="G17" s="224">
        <f>F17*Tariefsopbouw!$M$37+Glasbewassing!F17</f>
        <v>0</v>
      </c>
      <c r="H17" s="224">
        <f>G17*Tariefsopbouw!$O$37+Glasbewassing!G17</f>
        <v>0</v>
      </c>
      <c r="I17" s="224">
        <f>H17*Tariefsopbouw!$Q$37+Glasbewassing!H17</f>
        <v>0</v>
      </c>
    </row>
    <row r="18" spans="1:9" ht="15" customHeight="1">
      <c r="A18" s="57" t="s">
        <v>159</v>
      </c>
      <c r="B18" s="58" t="s">
        <v>155</v>
      </c>
      <c r="C18" s="56">
        <v>0</v>
      </c>
      <c r="D18" s="61" t="s">
        <v>48</v>
      </c>
      <c r="E18" s="225">
        <f>(InvulGlas[[#This Row],[Prijs excl. BTW]]*Tariefsopbouw!$I$37)+InvulGlas[[#This Row],[Prijs excl. BTW]]</f>
        <v>0</v>
      </c>
      <c r="F18" s="225">
        <f>E18*Tariefsopbouw!$K$37+Glasbewassing!E18</f>
        <v>0</v>
      </c>
      <c r="G18" s="225">
        <f>F18*Tariefsopbouw!$M$37+Glasbewassing!F18</f>
        <v>0</v>
      </c>
      <c r="H18" s="225">
        <f>G18*Tariefsopbouw!$O$37+Glasbewassing!G18</f>
        <v>0</v>
      </c>
      <c r="I18" s="225">
        <f>H18*Tariefsopbouw!$Q$37+Glasbewassing!H18</f>
        <v>0</v>
      </c>
    </row>
    <row r="19" spans="1:9" ht="15" customHeight="1">
      <c r="A19" s="54" t="s">
        <v>160</v>
      </c>
      <c r="B19" s="55" t="s">
        <v>156</v>
      </c>
      <c r="C19" s="56">
        <v>0</v>
      </c>
      <c r="D19" s="59" t="s">
        <v>48</v>
      </c>
      <c r="E19" s="224">
        <f>(InvulGlas[[#This Row],[Prijs excl. BTW]]*Tariefsopbouw!$I$37)+InvulGlas[[#This Row],[Prijs excl. BTW]]</f>
        <v>0</v>
      </c>
      <c r="F19" s="224">
        <f>E19*Tariefsopbouw!$K$37+Glasbewassing!E19</f>
        <v>0</v>
      </c>
      <c r="G19" s="224">
        <f>F19*Tariefsopbouw!$M$37+Glasbewassing!F19</f>
        <v>0</v>
      </c>
      <c r="H19" s="224">
        <f>G19*Tariefsopbouw!$O$37+Glasbewassing!G19</f>
        <v>0</v>
      </c>
      <c r="I19" s="224">
        <f>H19*Tariefsopbouw!$Q$37+Glasbewassing!H19</f>
        <v>0</v>
      </c>
    </row>
    <row r="20" spans="1:9" ht="15" customHeight="1">
      <c r="A20" s="57" t="s">
        <v>256</v>
      </c>
      <c r="B20" s="58" t="s">
        <v>257</v>
      </c>
      <c r="C20" s="56">
        <v>0</v>
      </c>
      <c r="D20" s="61" t="s">
        <v>48</v>
      </c>
      <c r="E20" s="226">
        <f>(InvulGlas[[#This Row],[Prijs excl. BTW]]*Tariefsopbouw!$I$37)+InvulGlas[[#This Row],[Prijs excl. BTW]]</f>
        <v>0</v>
      </c>
      <c r="F20" s="226">
        <f>E20*Tariefsopbouw!$K$37+Glasbewassing!E20</f>
        <v>0</v>
      </c>
      <c r="G20" s="226">
        <f>F20*Tariefsopbouw!$M$37+Glasbewassing!F20</f>
        <v>0</v>
      </c>
      <c r="H20" s="226">
        <f>G20*Tariefsopbouw!$O$37+Glasbewassing!G20</f>
        <v>0</v>
      </c>
      <c r="I20" s="226">
        <f>H20*Tariefsopbouw!$Q$37+Glasbewassing!H20</f>
        <v>0</v>
      </c>
    </row>
    <row r="21" spans="1:9" ht="15" customHeight="1">
      <c r="C21" s="35"/>
      <c r="D21" s="35"/>
    </row>
    <row r="22" spans="1:9" s="75" customFormat="1" ht="26.25" customHeight="1">
      <c r="A22" s="76" t="s">
        <v>212</v>
      </c>
      <c r="B22" s="76" t="s">
        <v>146</v>
      </c>
      <c r="C22" s="76" t="s">
        <v>214</v>
      </c>
      <c r="D22" s="77" t="s">
        <v>147</v>
      </c>
      <c r="E22" s="77" t="s">
        <v>157</v>
      </c>
      <c r="F22" s="77" t="s">
        <v>126</v>
      </c>
      <c r="G22" s="78" t="s">
        <v>148</v>
      </c>
    </row>
    <row r="23" spans="1:9" ht="15" customHeight="1">
      <c r="A23" s="283">
        <v>1</v>
      </c>
      <c r="B23" s="284" t="str">
        <f>VLOOKUP(OverzichtGlas[[#This Row],[Code Locatie]],Locaties[],2,0)</f>
        <v>Groenlo</v>
      </c>
      <c r="C23" s="283">
        <v>1</v>
      </c>
      <c r="D23" s="285" t="str">
        <f>IF(Glasbewassing!$C23&gt;0,VLOOKUP(Glasbewassing!$C23,$A$8:$B$20,2,FALSE),"Hier vult u de inzet van eventuele hoogwerkers in")</f>
        <v>Gevelglas binnenzijde</v>
      </c>
      <c r="E23" s="286">
        <v>1375</v>
      </c>
      <c r="F23" s="286">
        <v>2</v>
      </c>
      <c r="G23" s="287">
        <f>IF(C23&gt;0,VLOOKUP(OverzichtGlas[[#This Row],[Code taak]],InvulGlas[],3,0)*E23*F23,0)</f>
        <v>0</v>
      </c>
    </row>
    <row r="24" spans="1:9" ht="15" customHeight="1">
      <c r="A24" s="283">
        <v>1</v>
      </c>
      <c r="B24" s="284" t="str">
        <f>VLOOKUP(OverzichtGlas[[#This Row],[Code Locatie]],Locaties[],2,0)</f>
        <v>Groenlo</v>
      </c>
      <c r="C24" s="283">
        <v>2</v>
      </c>
      <c r="D24" s="285" t="str">
        <f>IF(Glasbewassing!$C24&gt;0,VLOOKUP(Glasbewassing!$C24,$A$8:$B$20,2,FALSE),"Hier vult u de inzet van eventuele hoogwerkers in")</f>
        <v>Gevelglas buitenzijde</v>
      </c>
      <c r="E24" s="286">
        <v>1375</v>
      </c>
      <c r="F24" s="286">
        <v>2</v>
      </c>
      <c r="G24" s="287">
        <f>IF(C24&gt;0,VLOOKUP(OverzichtGlas[[#This Row],[Code taak]],InvulGlas[],3,0)*E24*F24,0)</f>
        <v>0</v>
      </c>
    </row>
    <row r="25" spans="1:9" ht="15" customHeight="1">
      <c r="A25" s="283">
        <v>1</v>
      </c>
      <c r="B25" s="284" t="str">
        <f>VLOOKUP(OverzichtGlas[[#This Row],[Code Locatie]],Locaties[],2,0)</f>
        <v>Groenlo</v>
      </c>
      <c r="C25" s="283">
        <v>3</v>
      </c>
      <c r="D25" s="285" t="str">
        <f>IF(Glasbewassing!$C25&gt;0,VLOOKUP(Glasbewassing!$C25,$A$8:$B$20,2,FALSE),"Hier vult u de inzet van eventuele hoogwerkers in")</f>
        <v>Separatieglas (enkel gemeten, dubbel te wassen)</v>
      </c>
      <c r="E25" s="286">
        <v>359</v>
      </c>
      <c r="F25" s="286">
        <v>2</v>
      </c>
      <c r="G25" s="287">
        <f>IF(C25&gt;0,VLOOKUP(OverzichtGlas[[#This Row],[Code taak]],InvulGlas[],3,0)*E25*F25,0)</f>
        <v>0</v>
      </c>
    </row>
    <row r="26" spans="1:9" ht="15" customHeight="1">
      <c r="A26" s="283">
        <v>1</v>
      </c>
      <c r="B26" s="284" t="str">
        <f>VLOOKUP(OverzichtGlas[[#This Row],[Code Locatie]],Locaties[],2,0)</f>
        <v>Groenlo</v>
      </c>
      <c r="C26" s="238"/>
      <c r="D26" s="285" t="str">
        <f>IF(Glasbewassing!$C26&gt;0,VLOOKUP(Glasbewassing!$C26,$A$8:$B$20,2,FALSE),"Hier vult u de inzet van eventuele hoogwerkers in")</f>
        <v>Hier vult u de inzet van eventuele hoogwerkers in</v>
      </c>
      <c r="E26" s="238"/>
      <c r="F26" s="286">
        <v>2</v>
      </c>
      <c r="G26" s="287">
        <f>IF(C26&gt;0,VLOOKUP(OverzichtGlas[[#This Row],[Code taak]],InvulGlas[],3,0)*E26*F26,0)</f>
        <v>0</v>
      </c>
    </row>
    <row r="27" spans="1:9" ht="15" customHeight="1">
      <c r="A27" s="283">
        <v>1</v>
      </c>
      <c r="B27" s="284" t="str">
        <f>VLOOKUP(OverzichtGlas[[#This Row],[Code Locatie]],Locaties[],2,0)</f>
        <v>Groenlo</v>
      </c>
      <c r="C27" s="282" t="s">
        <v>787</v>
      </c>
      <c r="D27" s="285" t="str">
        <f>IF(Glasbewassing!$C27&gt;0,VLOOKUP(Glasbewassing!$C27,$A$8:$B$20,2,FALSE),"Hier vult u de inzet van eventuele hoogwerkers in")</f>
        <v>Tuckerpool</v>
      </c>
      <c r="E27" s="238"/>
      <c r="F27" s="286">
        <v>2</v>
      </c>
      <c r="G27" s="287">
        <f>IF(C27&gt;0,VLOOKUP(OverzichtGlas[[#This Row],[Code taak]],InvulGlas[],3,0)*E27*F27,0)</f>
        <v>0</v>
      </c>
    </row>
    <row r="28" spans="1:9" ht="15" customHeight="1">
      <c r="A28" s="283">
        <v>2</v>
      </c>
      <c r="B28" s="284" t="str">
        <f>VLOOKUP(OverzichtGlas[[#This Row],[Code Locatie]],Locaties[],2,0)</f>
        <v>Groenlo - Gymzaal</v>
      </c>
      <c r="C28" s="283">
        <v>1</v>
      </c>
      <c r="D28" s="285" t="str">
        <f>IF(Glasbewassing!$C28&gt;0,VLOOKUP(Glasbewassing!$C28,$A$8:$B$20,2,FALSE),"Hier vult u de inzet van eventuele hoogwerkers in")</f>
        <v>Gevelglas binnenzijde</v>
      </c>
      <c r="E28" s="69">
        <v>51</v>
      </c>
      <c r="F28" s="286">
        <v>2</v>
      </c>
      <c r="G28" s="287">
        <f>IF(C28&gt;0,VLOOKUP(OverzichtGlas[[#This Row],[Code taak]],InvulGlas[],3,0)*E28*F28,0)</f>
        <v>0</v>
      </c>
    </row>
    <row r="29" spans="1:9" ht="15" customHeight="1">
      <c r="A29" s="283">
        <v>2</v>
      </c>
      <c r="B29" s="284" t="str">
        <f>VLOOKUP(OverzichtGlas[[#This Row],[Code Locatie]],Locaties[],2,0)</f>
        <v>Groenlo - Gymzaal</v>
      </c>
      <c r="C29" s="283">
        <v>2</v>
      </c>
      <c r="D29" s="285" t="str">
        <f>IF(Glasbewassing!$C29&gt;0,VLOOKUP(Glasbewassing!$C29,$A$8:$B$20,2,FALSE),"Hier vult u de inzet van eventuele hoogwerkers in")</f>
        <v>Gevelglas buitenzijde</v>
      </c>
      <c r="E29" s="65">
        <v>51</v>
      </c>
      <c r="F29" s="286">
        <v>2</v>
      </c>
      <c r="G29" s="287">
        <f>IF(C29&gt;0,VLOOKUP(OverzichtGlas[[#This Row],[Code taak]],InvulGlas[],3,0)*E29*F29,0)</f>
        <v>0</v>
      </c>
    </row>
    <row r="30" spans="1:9" ht="15" customHeight="1">
      <c r="A30" s="283">
        <v>2</v>
      </c>
      <c r="B30" s="284" t="str">
        <f>VLOOKUP(OverzichtGlas[[#This Row],[Code Locatie]],Locaties[],2,0)</f>
        <v>Groenlo - Gymzaal</v>
      </c>
      <c r="C30" s="283">
        <v>3</v>
      </c>
      <c r="D30" s="285" t="str">
        <f>IF(Glasbewassing!$C30&gt;0,VLOOKUP(Glasbewassing!$C30,$A$8:$B$20,2,FALSE),"Hier vult u de inzet van eventuele hoogwerkers in")</f>
        <v>Separatieglas (enkel gemeten, dubbel te wassen)</v>
      </c>
      <c r="E30" s="69">
        <v>0</v>
      </c>
      <c r="F30" s="286">
        <v>2</v>
      </c>
      <c r="G30" s="287">
        <f>IF(C30&gt;0,VLOOKUP(OverzichtGlas[[#This Row],[Code taak]],InvulGlas[],3,0)*E30*F30,0)</f>
        <v>0</v>
      </c>
    </row>
    <row r="31" spans="1:9" ht="15" customHeight="1">
      <c r="A31" s="283">
        <v>3</v>
      </c>
      <c r="B31" s="284" t="str">
        <f>VLOOKUP(OverzichtGlas[[#This Row],[Code Locatie]],Locaties[],2,0)</f>
        <v>Lichtenvoorde gebouw 1</v>
      </c>
      <c r="C31" s="283">
        <v>1</v>
      </c>
      <c r="D31" s="285" t="str">
        <f>IF(Glasbewassing!$C31&gt;0,VLOOKUP(Glasbewassing!$C31,$A$8:$B$20,2,FALSE),"Hier vult u de inzet van eventuele hoogwerkers in")</f>
        <v>Gevelglas binnenzijde</v>
      </c>
      <c r="E31" s="286">
        <v>1285</v>
      </c>
      <c r="F31" s="286">
        <v>2</v>
      </c>
      <c r="G31" s="287">
        <f>IF(C31&gt;0,VLOOKUP(OverzichtGlas[[#This Row],[Code taak]],InvulGlas[],3,0)*E31*F31,0)</f>
        <v>0</v>
      </c>
    </row>
    <row r="32" spans="1:9" ht="15" customHeight="1">
      <c r="A32" s="283">
        <v>3</v>
      </c>
      <c r="B32" s="284" t="str">
        <f>VLOOKUP(OverzichtGlas[[#This Row],[Code Locatie]],Locaties[],2,0)</f>
        <v>Lichtenvoorde gebouw 1</v>
      </c>
      <c r="C32" s="283">
        <v>2</v>
      </c>
      <c r="D32" s="285" t="str">
        <f>IF(Glasbewassing!$C32&gt;0,VLOOKUP(Glasbewassing!$C32,$A$8:$B$20,2,FALSE),"Hier vult u de inzet van eventuele hoogwerkers in")</f>
        <v>Gevelglas buitenzijde</v>
      </c>
      <c r="E32" s="286">
        <v>1285</v>
      </c>
      <c r="F32" s="286">
        <v>2</v>
      </c>
      <c r="G32" s="287">
        <f>IF(C32&gt;0,VLOOKUP(OverzichtGlas[[#This Row],[Code taak]],InvulGlas[],3,0)*E32*F32,0)</f>
        <v>0</v>
      </c>
    </row>
    <row r="33" spans="1:11" ht="15" customHeight="1">
      <c r="A33" s="283">
        <v>3</v>
      </c>
      <c r="B33" s="284" t="str">
        <f>VLOOKUP(OverzichtGlas[[#This Row],[Code Locatie]],Locaties[],2,0)</f>
        <v>Lichtenvoorde gebouw 1</v>
      </c>
      <c r="C33" s="283">
        <v>3</v>
      </c>
      <c r="D33" s="285" t="str">
        <f>IF(Glasbewassing!$C33&gt;0,VLOOKUP(Glasbewassing!$C33,$A$8:$B$20,2,FALSE),"Hier vult u de inzet van eventuele hoogwerkers in")</f>
        <v>Separatieglas (enkel gemeten, dubbel te wassen)</v>
      </c>
      <c r="E33" s="286">
        <v>648</v>
      </c>
      <c r="F33" s="286">
        <v>2</v>
      </c>
      <c r="G33" s="287">
        <f>IF(C33&gt;0,VLOOKUP(OverzichtGlas[[#This Row],[Code taak]],InvulGlas[],3,0)*E33*F33,0)</f>
        <v>0</v>
      </c>
    </row>
    <row r="34" spans="1:11" ht="15" customHeight="1">
      <c r="A34" s="283">
        <v>3</v>
      </c>
      <c r="B34" s="284" t="str">
        <f>VLOOKUP(OverzichtGlas[[#This Row],[Code Locatie]],Locaties[],2,0)</f>
        <v>Lichtenvoorde gebouw 1</v>
      </c>
      <c r="C34" s="238"/>
      <c r="D34" s="285" t="str">
        <f>IF(Glasbewassing!$C34&gt;0,VLOOKUP(Glasbewassing!$C34,$A$8:$B$20,2,FALSE),"Hier vult u de inzet van eventuele hoogwerkers in")</f>
        <v>Hier vult u de inzet van eventuele hoogwerkers in</v>
      </c>
      <c r="E34" s="238"/>
      <c r="F34" s="286">
        <v>2</v>
      </c>
      <c r="G34" s="287">
        <f>IF(C34&gt;0,VLOOKUP(OverzichtGlas[[#This Row],[Code taak]],InvulGlas[],3,0)*E34*F34,0)</f>
        <v>0</v>
      </c>
    </row>
    <row r="35" spans="1:11" ht="15" customHeight="1">
      <c r="A35" s="283">
        <v>3</v>
      </c>
      <c r="B35" s="284" t="str">
        <f>VLOOKUP(OverzichtGlas[[#This Row],[Code Locatie]],Locaties[],2,0)</f>
        <v>Lichtenvoorde gebouw 1</v>
      </c>
      <c r="C35" s="282" t="s">
        <v>787</v>
      </c>
      <c r="D35" s="285" t="str">
        <f>IF(Glasbewassing!$C35&gt;0,VLOOKUP(Glasbewassing!$C35,$A$8:$B$20,2,FALSE),"Hier vult u de inzet van eventuele hoogwerkers in")</f>
        <v>Tuckerpool</v>
      </c>
      <c r="E35" s="238"/>
      <c r="F35" s="286">
        <v>2</v>
      </c>
      <c r="G35" s="287">
        <f>IF(C35&gt;0,VLOOKUP(OverzichtGlas[[#This Row],[Code taak]],InvulGlas[],3,0)*E35*F35,0)</f>
        <v>0</v>
      </c>
    </row>
    <row r="36" spans="1:11" ht="15" customHeight="1">
      <c r="A36" s="283">
        <v>4</v>
      </c>
      <c r="B36" s="284" t="str">
        <f>VLOOKUP(OverzichtGlas[[#This Row],[Code Locatie]],Locaties[],2,0)</f>
        <v>Lichtenvoorde gebouw 3</v>
      </c>
      <c r="C36" s="283">
        <v>2</v>
      </c>
      <c r="D36" s="285" t="str">
        <f>IF(Glasbewassing!$C36&gt;0,VLOOKUP(Glasbewassing!$C36,$A$8:$B$20,2,FALSE),"Hier vult u de inzet van eventuele hoogwerkers in")</f>
        <v>Gevelglas buitenzijde</v>
      </c>
      <c r="E36" s="286">
        <v>774</v>
      </c>
      <c r="F36" s="286">
        <v>2</v>
      </c>
      <c r="G36" s="287">
        <f>IF(C36&gt;0,VLOOKUP(OverzichtGlas[[#This Row],[Code taak]],InvulGlas[],3,0)*E36*F36,0)</f>
        <v>0</v>
      </c>
      <c r="H36" s="87"/>
      <c r="J36" s="281"/>
      <c r="K36" s="281"/>
    </row>
    <row r="37" spans="1:11" ht="15" customHeight="1">
      <c r="A37" s="283">
        <v>4</v>
      </c>
      <c r="B37" s="284" t="str">
        <f>VLOOKUP(OverzichtGlas[[#This Row],[Code Locatie]],Locaties[],2,0)</f>
        <v>Lichtenvoorde gebouw 3</v>
      </c>
      <c r="C37" s="283">
        <v>7</v>
      </c>
      <c r="D37" s="285" t="str">
        <f>IF(Glasbewassing!$C37&gt;0,VLOOKUP(Glasbewassing!$C37,$A$8:$B$20,2,FALSE),"Hier vult u de inzet van eventuele hoogwerkers in")</f>
        <v>Gladde gevelbeplating</v>
      </c>
      <c r="E37" s="302">
        <v>150</v>
      </c>
      <c r="F37" s="286">
        <v>2</v>
      </c>
      <c r="G37" s="287">
        <f>IF(C37&gt;0,VLOOKUP(OverzichtGlas[[#This Row],[Code taak]],InvulGlas[],3,0)*E37*F37,0)</f>
        <v>0</v>
      </c>
      <c r="H37" s="87"/>
      <c r="J37" s="281"/>
      <c r="K37" s="281"/>
    </row>
    <row r="38" spans="1:11" ht="15" customHeight="1">
      <c r="A38" s="283">
        <v>4</v>
      </c>
      <c r="B38" s="284" t="str">
        <f>VLOOKUP(OverzichtGlas[[#This Row],[Code Locatie]],Locaties[],2,0)</f>
        <v>Lichtenvoorde gebouw 3</v>
      </c>
      <c r="C38" s="238"/>
      <c r="D38" s="285" t="str">
        <f>IF(Glasbewassing!$C38&gt;0,VLOOKUP(Glasbewassing!$C38,$A$8:$B$20,2,FALSE),"Hier vult u de inzet van eventuele hoogwerkers in")</f>
        <v>Hier vult u de inzet van eventuele hoogwerkers in</v>
      </c>
      <c r="E38" s="238"/>
      <c r="F38" s="286">
        <v>2</v>
      </c>
      <c r="G38" s="287">
        <f>IF(C38&gt;0,VLOOKUP(OverzichtGlas[[#This Row],[Code taak]],InvulGlas[],3,0)*E38*F38,0)</f>
        <v>0</v>
      </c>
    </row>
    <row r="39" spans="1:11" ht="15" customHeight="1">
      <c r="A39" s="283">
        <v>4</v>
      </c>
      <c r="B39" s="284" t="str">
        <f>VLOOKUP(OverzichtGlas[[#This Row],[Code Locatie]],Locaties[],2,0)</f>
        <v>Lichtenvoorde gebouw 3</v>
      </c>
      <c r="C39" s="282" t="s">
        <v>787</v>
      </c>
      <c r="D39" s="285" t="str">
        <f>IF(Glasbewassing!$C39&gt;0,VLOOKUP(Glasbewassing!$C39,$A$8:$B$20,2,FALSE),"Hier vult u de inzet van eventuele hoogwerkers in")</f>
        <v>Tuckerpool</v>
      </c>
      <c r="E39" s="238"/>
      <c r="F39" s="286">
        <v>2</v>
      </c>
      <c r="G39" s="287">
        <f>IF(C39&gt;0,VLOOKUP(OverzichtGlas[[#This Row],[Code taak]],InvulGlas[],3,0)*E39*F39,0)</f>
        <v>0</v>
      </c>
    </row>
    <row r="40" spans="1:11" ht="15" customHeight="1">
      <c r="A40" s="163" t="s">
        <v>33</v>
      </c>
      <c r="B40" s="164"/>
      <c r="C40" s="163"/>
      <c r="D40" s="165"/>
      <c r="E40" s="163"/>
      <c r="F40" s="163"/>
      <c r="G40" s="166">
        <f>SUBTOTAL(109,OverzichtGlas[Kosten/jaar excl. BTW])</f>
        <v>0</v>
      </c>
    </row>
    <row r="41" spans="1:11" ht="15" customHeight="1">
      <c r="C41" s="35"/>
      <c r="D41" s="35"/>
      <c r="E41" s="35"/>
      <c r="F41" s="41"/>
      <c r="G41" s="36"/>
    </row>
    <row r="42" spans="1:11" ht="15" customHeight="1">
      <c r="C42" s="21"/>
      <c r="D42" s="4"/>
    </row>
    <row r="43" spans="1:11" ht="15" customHeight="1">
      <c r="C43" s="21"/>
      <c r="D43" s="4"/>
    </row>
    <row r="44" spans="1:11" ht="15" customHeight="1">
      <c r="C44" s="21"/>
      <c r="D44" s="4"/>
    </row>
    <row r="45" spans="1:11" ht="15" customHeight="1">
      <c r="C45" s="21"/>
      <c r="D45" s="4"/>
    </row>
    <row r="46" spans="1:11" ht="15" customHeight="1">
      <c r="C46" s="21"/>
      <c r="D46" s="4"/>
    </row>
    <row r="47" spans="1:11" ht="15" customHeight="1">
      <c r="C47" s="21"/>
      <c r="D47" s="4"/>
    </row>
    <row r="48" spans="1:11" ht="15" customHeight="1">
      <c r="C48" s="21"/>
      <c r="D48" s="4"/>
    </row>
    <row r="49" spans="3:4" ht="15" customHeight="1">
      <c r="C49" s="21"/>
      <c r="D49" s="4"/>
    </row>
    <row r="50" spans="3:4" ht="15" customHeight="1">
      <c r="C50" s="21"/>
      <c r="D50" s="4"/>
    </row>
    <row r="51" spans="3:4" ht="15" customHeight="1">
      <c r="C51" s="21"/>
      <c r="D51" s="4"/>
    </row>
    <row r="52" spans="3:4" ht="15" customHeight="1">
      <c r="C52" s="21"/>
      <c r="D52" s="4"/>
    </row>
    <row r="53" spans="3:4" ht="15" customHeight="1">
      <c r="C53" s="21"/>
      <c r="D53" s="4"/>
    </row>
    <row r="54" spans="3:4" ht="15" customHeight="1">
      <c r="C54" s="21"/>
      <c r="D54" s="4"/>
    </row>
    <row r="55" spans="3:4" ht="15" customHeight="1">
      <c r="C55" s="21"/>
      <c r="D55" s="4"/>
    </row>
    <row r="56" spans="3:4" ht="15" customHeight="1">
      <c r="C56" s="21"/>
      <c r="D56" s="4"/>
    </row>
    <row r="57" spans="3:4" ht="15" customHeight="1">
      <c r="C57" s="21"/>
      <c r="D57" s="4"/>
    </row>
    <row r="58" spans="3:4" ht="15" customHeight="1">
      <c r="C58" s="21"/>
      <c r="D58" s="4"/>
    </row>
    <row r="59" spans="3:4" ht="15" customHeight="1">
      <c r="C59" s="21"/>
      <c r="D59" s="4"/>
    </row>
    <row r="60" spans="3:4" ht="15" customHeight="1">
      <c r="C60" s="21"/>
      <c r="D60" s="4"/>
    </row>
    <row r="61" spans="3:4" ht="15" customHeight="1">
      <c r="C61" s="21"/>
      <c r="D61" s="4"/>
    </row>
    <row r="62" spans="3:4" ht="15" customHeight="1">
      <c r="C62" s="21"/>
      <c r="D62" s="4"/>
    </row>
    <row r="63" spans="3:4" ht="15" customHeight="1">
      <c r="C63" s="21"/>
      <c r="D63" s="4"/>
    </row>
    <row r="64" spans="3:4" ht="15" customHeight="1">
      <c r="C64" s="21"/>
      <c r="D64" s="4"/>
    </row>
    <row r="65" spans="3:4" ht="15" customHeight="1">
      <c r="C65" s="21"/>
      <c r="D65" s="4"/>
    </row>
    <row r="66" spans="3:4" ht="15" customHeight="1">
      <c r="C66" s="21"/>
      <c r="D66" s="4"/>
    </row>
    <row r="67" spans="3:4" ht="15" customHeight="1">
      <c r="C67" s="21"/>
      <c r="D67" s="4"/>
    </row>
    <row r="68" spans="3:4" ht="15" customHeight="1">
      <c r="C68" s="21"/>
      <c r="D68" s="4"/>
    </row>
    <row r="69" spans="3:4" ht="15" customHeight="1">
      <c r="C69" s="21"/>
      <c r="D69" s="4"/>
    </row>
    <row r="70" spans="3:4" ht="15" customHeight="1">
      <c r="C70" s="21"/>
      <c r="D70" s="4"/>
    </row>
    <row r="71" spans="3:4" ht="15" customHeight="1">
      <c r="C71" s="21"/>
      <c r="D71" s="4"/>
    </row>
    <row r="72" spans="3:4" ht="15" customHeight="1">
      <c r="C72" s="21"/>
      <c r="D72" s="4"/>
    </row>
    <row r="73" spans="3:4" ht="15" customHeight="1">
      <c r="C73" s="21"/>
      <c r="D73" s="4"/>
    </row>
    <row r="74" spans="3:4" ht="15" customHeight="1">
      <c r="C74" s="21"/>
      <c r="D74" s="4"/>
    </row>
    <row r="75" spans="3:4" ht="15" customHeight="1">
      <c r="C75" s="21"/>
      <c r="D75" s="4"/>
    </row>
    <row r="76" spans="3:4" ht="15" customHeight="1">
      <c r="C76" s="21"/>
      <c r="D76" s="4"/>
    </row>
    <row r="77" spans="3:4" ht="15" customHeight="1">
      <c r="C77" s="21"/>
      <c r="D77" s="4"/>
    </row>
    <row r="78" spans="3:4" ht="15" customHeight="1">
      <c r="C78" s="21"/>
      <c r="D78" s="4"/>
    </row>
    <row r="79" spans="3:4" ht="15" customHeight="1">
      <c r="C79" s="21"/>
      <c r="D79" s="4"/>
    </row>
    <row r="80" spans="3:4" ht="15" customHeight="1">
      <c r="C80" s="21"/>
      <c r="D80" s="4"/>
    </row>
    <row r="81" spans="3:4" ht="15" customHeight="1">
      <c r="C81" s="21"/>
      <c r="D81" s="4"/>
    </row>
    <row r="82" spans="3:4" ht="15" customHeight="1">
      <c r="C82" s="21"/>
      <c r="D82" s="4"/>
    </row>
    <row r="83" spans="3:4" ht="15" customHeight="1">
      <c r="C83" s="21"/>
      <c r="D83" s="4"/>
    </row>
    <row r="84" spans="3:4" ht="15" customHeight="1">
      <c r="C84" s="21"/>
      <c r="D84" s="4"/>
    </row>
    <row r="85" spans="3:4" ht="15" customHeight="1">
      <c r="C85" s="21"/>
      <c r="D85" s="4"/>
    </row>
    <row r="86" spans="3:4" ht="15" customHeight="1">
      <c r="C86" s="21"/>
      <c r="D86" s="4"/>
    </row>
    <row r="87" spans="3:4" ht="15" customHeight="1">
      <c r="C87" s="21"/>
      <c r="D87" s="4"/>
    </row>
    <row r="88" spans="3:4" ht="15" customHeight="1">
      <c r="C88" s="21"/>
      <c r="D88" s="4"/>
    </row>
    <row r="89" spans="3:4" ht="15" customHeight="1">
      <c r="C89" s="21"/>
      <c r="D89" s="4"/>
    </row>
    <row r="90" spans="3:4" ht="15" customHeight="1">
      <c r="C90" s="21"/>
      <c r="D90" s="4"/>
    </row>
    <row r="91" spans="3:4" ht="15" customHeight="1">
      <c r="C91" s="21"/>
      <c r="D91" s="4"/>
    </row>
    <row r="92" spans="3:4" ht="15" customHeight="1">
      <c r="C92" s="21"/>
      <c r="D92" s="4"/>
    </row>
    <row r="93" spans="3:4" ht="15" customHeight="1">
      <c r="C93" s="21"/>
      <c r="D93" s="4"/>
    </row>
    <row r="94" spans="3:4" ht="15" customHeight="1">
      <c r="C94" s="21"/>
      <c r="D94" s="4"/>
    </row>
    <row r="95" spans="3:4" ht="15" customHeight="1">
      <c r="C95" s="21"/>
      <c r="D95" s="4"/>
    </row>
    <row r="96" spans="3:4" ht="15" customHeight="1">
      <c r="C96" s="21"/>
      <c r="D96" s="4"/>
    </row>
    <row r="97" spans="3:4" ht="15" customHeight="1">
      <c r="C97" s="21"/>
      <c r="D97" s="4"/>
    </row>
    <row r="98" spans="3:4" ht="15" customHeight="1">
      <c r="C98" s="21"/>
      <c r="D98" s="4"/>
    </row>
    <row r="99" spans="3:4" ht="15" customHeight="1">
      <c r="C99" s="21"/>
      <c r="D99" s="4"/>
    </row>
    <row r="100" spans="3:4" ht="15" customHeight="1">
      <c r="C100" s="21"/>
      <c r="D100" s="4"/>
    </row>
    <row r="101" spans="3:4" ht="15" customHeight="1">
      <c r="C101" s="21"/>
      <c r="D101" s="4"/>
    </row>
    <row r="102" spans="3:4" ht="15" customHeight="1">
      <c r="C102" s="21"/>
      <c r="D102" s="4"/>
    </row>
    <row r="103" spans="3:4" ht="15" customHeight="1">
      <c r="C103" s="21"/>
      <c r="D103" s="4"/>
    </row>
    <row r="104" spans="3:4" ht="15" customHeight="1">
      <c r="C104" s="21"/>
      <c r="D104" s="4"/>
    </row>
    <row r="105" spans="3:4" ht="15" customHeight="1">
      <c r="C105" s="21"/>
      <c r="D105" s="4"/>
    </row>
    <row r="106" spans="3:4" ht="15" customHeight="1">
      <c r="C106" s="21"/>
      <c r="D106" s="4"/>
    </row>
    <row r="107" spans="3:4" ht="15" customHeight="1">
      <c r="C107" s="21"/>
      <c r="D107" s="4"/>
    </row>
    <row r="108" spans="3:4" ht="15" customHeight="1">
      <c r="C108" s="21"/>
      <c r="D108" s="4"/>
    </row>
    <row r="109" spans="3:4" ht="15" customHeight="1">
      <c r="C109" s="21"/>
      <c r="D109" s="4"/>
    </row>
    <row r="110" spans="3:4" ht="15" customHeight="1">
      <c r="C110" s="21"/>
      <c r="D110" s="4"/>
    </row>
    <row r="111" spans="3:4" ht="15" customHeight="1">
      <c r="C111" s="21"/>
      <c r="D111" s="4"/>
    </row>
  </sheetData>
  <mergeCells count="3">
    <mergeCell ref="A2:G2"/>
    <mergeCell ref="A1:G1"/>
    <mergeCell ref="E7:I7"/>
  </mergeCells>
  <phoneticPr fontId="19" type="noConversion"/>
  <pageMargins left="0.70866141732283472" right="0.70866141732283472" top="0.35433070866141736" bottom="0.47244094488188981" header="0.31496062992125984" footer="0.31496062992125984"/>
  <pageSetup paperSize="9" scale="41" orientation="portrait" r:id="rId1"/>
  <headerFooter alignWithMargins="0">
    <oddFooter>&amp;L&amp;F&amp;C&amp;D&amp;R&amp;A</oddFooter>
  </headerFooter>
  <tableParts count="2">
    <tablePart r:id="rId2"/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 tint="-0.14999847407452621"/>
    <pageSetUpPr fitToPage="1"/>
  </sheetPr>
  <dimension ref="A1:I38"/>
  <sheetViews>
    <sheetView showGridLines="0" view="pageBreakPreview" zoomScaleNormal="100" zoomScaleSheetLayoutView="100" workbookViewId="0">
      <selection activeCell="C13" sqref="C13"/>
    </sheetView>
  </sheetViews>
  <sheetFormatPr defaultColWidth="9.140625" defaultRowHeight="15" customHeight="1"/>
  <cols>
    <col min="1" max="1" width="9.7109375" style="4" customWidth="1"/>
    <col min="2" max="2" width="44.85546875" style="4" customWidth="1"/>
    <col min="3" max="3" width="14.85546875" style="21" customWidth="1"/>
    <col min="4" max="4" width="59.85546875" style="4" bestFit="1" customWidth="1"/>
    <col min="5" max="5" width="17.7109375" style="4" bestFit="1" customWidth="1"/>
    <col min="6" max="6" width="17.7109375" style="156" bestFit="1" customWidth="1"/>
    <col min="7" max="7" width="17.7109375" style="4" bestFit="1" customWidth="1"/>
    <col min="8" max="8" width="18" style="4" bestFit="1" customWidth="1"/>
    <col min="9" max="9" width="19" style="4" customWidth="1"/>
    <col min="10" max="16384" width="9.140625" style="4"/>
  </cols>
  <sheetData>
    <row r="1" spans="1:9" s="9" customFormat="1" ht="26.25" customHeight="1">
      <c r="A1" s="330" t="s">
        <v>170</v>
      </c>
      <c r="B1" s="330"/>
      <c r="C1" s="330"/>
      <c r="D1" s="330"/>
      <c r="E1" s="330"/>
      <c r="F1" s="330"/>
      <c r="G1" s="330"/>
      <c r="H1" s="330"/>
    </row>
    <row r="2" spans="1:9" s="9" customFormat="1" ht="15" customHeight="1">
      <c r="A2" s="348" t="s">
        <v>431</v>
      </c>
      <c r="B2" s="331"/>
      <c r="C2" s="331"/>
      <c r="D2" s="331"/>
      <c r="E2" s="331"/>
      <c r="F2" s="331"/>
      <c r="G2" s="331"/>
      <c r="H2" s="331"/>
    </row>
    <row r="3" spans="1:9" ht="15" customHeight="1">
      <c r="B3" s="21"/>
      <c r="C3" s="4"/>
    </row>
    <row r="4" spans="1:9" ht="15" customHeight="1">
      <c r="A4" s="4" t="s">
        <v>182</v>
      </c>
      <c r="B4" s="35"/>
      <c r="C4" s="35"/>
      <c r="D4" s="35"/>
      <c r="E4" s="35"/>
      <c r="F4" s="157"/>
      <c r="G4" s="36"/>
    </row>
    <row r="5" spans="1:9" ht="15" customHeight="1">
      <c r="A5" s="4" t="s">
        <v>248</v>
      </c>
      <c r="B5" s="35"/>
      <c r="C5" s="35"/>
      <c r="D5" s="35"/>
      <c r="E5" s="35"/>
      <c r="F5" s="157"/>
      <c r="G5" s="36"/>
    </row>
    <row r="6" spans="1:9" ht="15" customHeight="1">
      <c r="A6" s="4" t="s">
        <v>241</v>
      </c>
      <c r="B6" s="38"/>
      <c r="C6" s="39"/>
      <c r="D6" s="39"/>
      <c r="E6" s="39"/>
      <c r="F6" s="158"/>
    </row>
    <row r="7" spans="1:9" ht="15" customHeight="1">
      <c r="B7" s="38"/>
      <c r="C7" s="38"/>
      <c r="D7" s="34"/>
      <c r="E7" s="349" t="s">
        <v>403</v>
      </c>
      <c r="F7" s="349"/>
      <c r="G7" s="349"/>
      <c r="H7" s="349"/>
      <c r="I7" s="349"/>
    </row>
    <row r="8" spans="1:9" s="8" customFormat="1" ht="26.25" customHeight="1">
      <c r="A8" s="51" t="s">
        <v>213</v>
      </c>
      <c r="B8" s="52" t="s">
        <v>161</v>
      </c>
      <c r="C8" s="53" t="s">
        <v>153</v>
      </c>
      <c r="D8" s="51" t="s">
        <v>215</v>
      </c>
      <c r="E8" s="51" t="s">
        <v>432</v>
      </c>
      <c r="F8" s="51" t="s">
        <v>433</v>
      </c>
      <c r="G8" s="51" t="s">
        <v>434</v>
      </c>
      <c r="H8" s="51" t="s">
        <v>435</v>
      </c>
      <c r="I8" s="51" t="s">
        <v>786</v>
      </c>
    </row>
    <row r="9" spans="1:9" ht="15" customHeight="1">
      <c r="A9" s="54">
        <v>1</v>
      </c>
      <c r="B9" s="55" t="s">
        <v>794</v>
      </c>
      <c r="C9" s="56">
        <v>0</v>
      </c>
      <c r="D9" s="59" t="s">
        <v>162</v>
      </c>
      <c r="E9" s="224">
        <f>(InvulVloer[[#This Row],[Prijs]]*Tariefsopbouw!$I$37)+InvulVloer[[#This Row],[Prijs]]</f>
        <v>0</v>
      </c>
      <c r="F9" s="227">
        <f>E9*Tariefsopbouw!$K$37+E9</f>
        <v>0</v>
      </c>
      <c r="G9" s="227">
        <f>F9*Tariefsopbouw!$M$37+F9</f>
        <v>0</v>
      </c>
      <c r="H9" s="227">
        <f>G9*Tariefsopbouw!$O$37+Vloeronderhoud!G9</f>
        <v>0</v>
      </c>
      <c r="I9" s="227">
        <f>H9*Tariefsopbouw!$Q$37+Vloeronderhoud!H9</f>
        <v>0</v>
      </c>
    </row>
    <row r="10" spans="1:9" ht="15" customHeight="1">
      <c r="A10" s="57">
        <v>2</v>
      </c>
      <c r="B10" s="58" t="s">
        <v>404</v>
      </c>
      <c r="C10" s="56">
        <v>0</v>
      </c>
      <c r="D10" s="61" t="s">
        <v>162</v>
      </c>
      <c r="E10" s="225">
        <f>(InvulVloer[[#This Row],[Prijs]]*Tariefsopbouw!$I$37)+InvulVloer[[#This Row],[Prijs]]</f>
        <v>0</v>
      </c>
      <c r="F10" s="225">
        <f>E10*Tariefsopbouw!$K$37+E10</f>
        <v>0</v>
      </c>
      <c r="G10" s="225">
        <f>F10*Tariefsopbouw!$M$37+F10</f>
        <v>0</v>
      </c>
      <c r="H10" s="225">
        <f>G10*Tariefsopbouw!$O$37+Vloeronderhoud!G10</f>
        <v>0</v>
      </c>
      <c r="I10" s="225">
        <f>H10*Tariefsopbouw!$Q$37+Vloeronderhoud!H10</f>
        <v>0</v>
      </c>
    </row>
    <row r="11" spans="1:9" ht="15" customHeight="1">
      <c r="A11" s="54">
        <v>3</v>
      </c>
      <c r="B11" s="55" t="s">
        <v>166</v>
      </c>
      <c r="C11" s="56">
        <v>0</v>
      </c>
      <c r="D11" s="59" t="s">
        <v>163</v>
      </c>
      <c r="E11" s="224">
        <f>(InvulVloer[[#This Row],[Prijs]]*Tariefsopbouw!$I$37)+InvulVloer[[#This Row],[Prijs]]</f>
        <v>0</v>
      </c>
      <c r="F11" s="224">
        <f>E11*Tariefsopbouw!$K$37+E11</f>
        <v>0</v>
      </c>
      <c r="G11" s="224">
        <f>F11*Tariefsopbouw!$M$37+F11</f>
        <v>0</v>
      </c>
      <c r="H11" s="224">
        <f>G11*Tariefsopbouw!$O$37+Vloeronderhoud!G11</f>
        <v>0</v>
      </c>
      <c r="I11" s="224">
        <f>H11*Tariefsopbouw!$Q$37+Vloeronderhoud!H11</f>
        <v>0</v>
      </c>
    </row>
    <row r="12" spans="1:9" ht="15" customHeight="1">
      <c r="A12" s="57">
        <v>4</v>
      </c>
      <c r="B12" s="58" t="s">
        <v>405</v>
      </c>
      <c r="C12" s="56">
        <v>0</v>
      </c>
      <c r="D12" s="61" t="s">
        <v>162</v>
      </c>
      <c r="E12" s="225">
        <f>(InvulVloer[[#This Row],[Prijs]]*Tariefsopbouw!$I$37)+InvulVloer[[#This Row],[Prijs]]</f>
        <v>0</v>
      </c>
      <c r="F12" s="225">
        <f>E12*Tariefsopbouw!$K$37+E12</f>
        <v>0</v>
      </c>
      <c r="G12" s="225">
        <f>F12*Tariefsopbouw!$M$37+F12</f>
        <v>0</v>
      </c>
      <c r="H12" s="225">
        <f>G12*Tariefsopbouw!$O$37+Vloeronderhoud!G12</f>
        <v>0</v>
      </c>
      <c r="I12" s="225">
        <f>H12*Tariefsopbouw!$Q$37+Vloeronderhoud!H12</f>
        <v>0</v>
      </c>
    </row>
    <row r="13" spans="1:9" ht="15" customHeight="1">
      <c r="A13" s="54">
        <v>5</v>
      </c>
      <c r="B13" s="55" t="s">
        <v>406</v>
      </c>
      <c r="C13" s="56">
        <v>0</v>
      </c>
      <c r="D13" s="59" t="s">
        <v>162</v>
      </c>
      <c r="E13" s="224">
        <f>(InvulVloer[[#This Row],[Prijs]]*Tariefsopbouw!$I$37)+InvulVloer[[#This Row],[Prijs]]</f>
        <v>0</v>
      </c>
      <c r="F13" s="224">
        <f>E13*Tariefsopbouw!$K$37+E13</f>
        <v>0</v>
      </c>
      <c r="G13" s="224">
        <f>F13*Tariefsopbouw!$M$37+F13</f>
        <v>0</v>
      </c>
      <c r="H13" s="224">
        <f>G13*Tariefsopbouw!$O$37+Vloeronderhoud!G13</f>
        <v>0</v>
      </c>
      <c r="I13" s="224">
        <f>H13*Tariefsopbouw!$Q$37+Vloeronderhoud!H13</f>
        <v>0</v>
      </c>
    </row>
    <row r="14" spans="1:9" ht="15" customHeight="1">
      <c r="A14" s="57">
        <v>6</v>
      </c>
      <c r="B14" s="58" t="s">
        <v>167</v>
      </c>
      <c r="C14" s="56">
        <v>0</v>
      </c>
      <c r="D14" s="61" t="s">
        <v>162</v>
      </c>
      <c r="E14" s="225">
        <f>(InvulVloer[[#This Row],[Prijs]]*Tariefsopbouw!$I$37)+InvulVloer[[#This Row],[Prijs]]</f>
        <v>0</v>
      </c>
      <c r="F14" s="225">
        <f>E14*Tariefsopbouw!$K$37+E14</f>
        <v>0</v>
      </c>
      <c r="G14" s="225">
        <f>F14*Tariefsopbouw!$M$37+F14</f>
        <v>0</v>
      </c>
      <c r="H14" s="225">
        <f>G14*Tariefsopbouw!$O$37+Vloeronderhoud!G14</f>
        <v>0</v>
      </c>
      <c r="I14" s="225">
        <f>H14*Tariefsopbouw!$Q$37+Vloeronderhoud!H14</f>
        <v>0</v>
      </c>
    </row>
    <row r="15" spans="1:9" ht="15" customHeight="1">
      <c r="A15" s="54">
        <v>7</v>
      </c>
      <c r="B15" s="59" t="s">
        <v>169</v>
      </c>
      <c r="C15" s="56">
        <v>0</v>
      </c>
      <c r="D15" s="59" t="s">
        <v>162</v>
      </c>
      <c r="E15" s="224">
        <f>(InvulVloer[[#This Row],[Prijs]]*Tariefsopbouw!$I$37)+InvulVloer[[#This Row],[Prijs]]</f>
        <v>0</v>
      </c>
      <c r="F15" s="224">
        <f>E15*Tariefsopbouw!$K$37+E15</f>
        <v>0</v>
      </c>
      <c r="G15" s="224">
        <f>F15*Tariefsopbouw!$M$37+F15</f>
        <v>0</v>
      </c>
      <c r="H15" s="224">
        <f>G15*Tariefsopbouw!$O$37+Vloeronderhoud!G15</f>
        <v>0</v>
      </c>
      <c r="I15" s="224">
        <f>H15*Tariefsopbouw!$Q$37+Vloeronderhoud!H15</f>
        <v>0</v>
      </c>
    </row>
    <row r="16" spans="1:9" ht="15" customHeight="1">
      <c r="A16" s="57">
        <v>8</v>
      </c>
      <c r="B16" s="60" t="s">
        <v>201</v>
      </c>
      <c r="C16" s="56">
        <v>0</v>
      </c>
      <c r="D16" s="61" t="s">
        <v>162</v>
      </c>
      <c r="E16" s="225">
        <f>(InvulVloer[[#This Row],[Prijs]]*Tariefsopbouw!$I$37)+InvulVloer[[#This Row],[Prijs]]</f>
        <v>0</v>
      </c>
      <c r="F16" s="225">
        <f>E16*Tariefsopbouw!$K$37+E16</f>
        <v>0</v>
      </c>
      <c r="G16" s="225">
        <f>F16*Tariefsopbouw!$M$37+F16</f>
        <v>0</v>
      </c>
      <c r="H16" s="225">
        <f>G16*Tariefsopbouw!$O$37+Vloeronderhoud!G16</f>
        <v>0</v>
      </c>
      <c r="I16" s="225">
        <f>H16*Tariefsopbouw!$Q$37+Vloeronderhoud!H16</f>
        <v>0</v>
      </c>
    </row>
    <row r="17" spans="1:9" ht="15" customHeight="1">
      <c r="B17" s="21"/>
      <c r="E17" s="40"/>
      <c r="F17" s="159"/>
      <c r="G17" s="40"/>
      <c r="H17" s="40"/>
    </row>
    <row r="18" spans="1:9" s="33" customFormat="1" ht="26.25" customHeight="1">
      <c r="A18" s="51" t="s">
        <v>212</v>
      </c>
      <c r="B18" s="52" t="s">
        <v>146</v>
      </c>
      <c r="C18" s="51" t="s">
        <v>213</v>
      </c>
      <c r="D18" s="62" t="s">
        <v>253</v>
      </c>
      <c r="E18" s="62" t="s">
        <v>164</v>
      </c>
      <c r="F18" s="160" t="s">
        <v>165</v>
      </c>
      <c r="G18" s="62" t="s">
        <v>168</v>
      </c>
      <c r="H18" s="63" t="s">
        <v>148</v>
      </c>
      <c r="I18" s="62" t="s">
        <v>425</v>
      </c>
    </row>
    <row r="19" spans="1:9" ht="15" customHeight="1">
      <c r="A19" s="54">
        <v>1</v>
      </c>
      <c r="B19" s="59" t="str">
        <f>VLOOKUP(OverzichtVloer[[#This Row],[Code Locatie]],Locaties[],2,0)</f>
        <v>Groenlo</v>
      </c>
      <c r="C19" s="54">
        <v>1</v>
      </c>
      <c r="D19" s="64" t="str">
        <f>IF(Vloeronderhoud!$C19&gt;0,VLOOKUP(Vloeronderhoud!$C19,$A$8:$B$16,2,FALSE),"")</f>
        <v>Sprayen</v>
      </c>
      <c r="E19" s="65" t="s">
        <v>110</v>
      </c>
      <c r="F19" s="161">
        <f>SUMIFS('Ruimtestaat'!$N:$N,'Ruimtestaat'!L:L,Vloeronderhoud!E19,'Ruimtestaat'!A:A,Vloeronderhoud!A19)</f>
        <v>5819.6299999999992</v>
      </c>
      <c r="G19" s="67">
        <v>1</v>
      </c>
      <c r="H19" s="66">
        <f>VLOOKUP(OverzichtVloer[[#This Row],[Code Taak]],InvulVloer[],3,3)*F19*G19</f>
        <v>0</v>
      </c>
      <c r="I19" s="54"/>
    </row>
    <row r="20" spans="1:9" ht="15" customHeight="1">
      <c r="A20" s="57">
        <v>1</v>
      </c>
      <c r="B20" s="61" t="str">
        <f>VLOOKUP(OverzichtVloer[[#This Row],[Code Locatie]],Locaties[],2,0)</f>
        <v>Groenlo</v>
      </c>
      <c r="C20" s="57">
        <v>2</v>
      </c>
      <c r="D20" s="68" t="str">
        <f>IF(Vloeronderhoud!$C20&gt;0,VLOOKUP(Vloeronderhoud!$C20,$A$8:$B$16,2,FALSE),"")</f>
        <v>Topstrippen en conserveren</v>
      </c>
      <c r="E20" s="69" t="s">
        <v>110</v>
      </c>
      <c r="F20" s="162">
        <f>SUMIFS('Ruimtestaat'!$N:$N,'Ruimtestaat'!L:L,Vloeronderhoud!E20,'Ruimtestaat'!A:A,Vloeronderhoud!A20)</f>
        <v>5819.6299999999992</v>
      </c>
      <c r="G20" s="71">
        <v>1</v>
      </c>
      <c r="H20" s="70">
        <f>VLOOKUP(OverzichtVloer[[#This Row],[Code Taak]],InvulVloer[],3,3)*F20*G20</f>
        <v>0</v>
      </c>
      <c r="I20" s="68"/>
    </row>
    <row r="21" spans="1:9" ht="15" customHeight="1">
      <c r="A21" s="54">
        <v>1</v>
      </c>
      <c r="B21" s="59" t="str">
        <f>VLOOKUP(OverzichtVloer[[#This Row],[Code Locatie]],Locaties[],2,0)</f>
        <v>Groenlo</v>
      </c>
      <c r="C21" s="54">
        <v>8</v>
      </c>
      <c r="D21" s="64" t="str">
        <f>IF(Vloeronderhoud!$C21&gt;0,VLOOKUP(Vloeronderhoud!$C21,$A$8:$B$16,2,FALSE),"")</f>
        <v>Machinaal schrobben en droogzuigen</v>
      </c>
      <c r="E21" s="65" t="s">
        <v>111</v>
      </c>
      <c r="F21" s="161">
        <f>SUMIFS('Ruimtestaat'!$N:$N,'Ruimtestaat'!L:L,Vloeronderhoud!E21,'Ruimtestaat'!A:A,Vloeronderhoud!A21)</f>
        <v>692.18999999999983</v>
      </c>
      <c r="G21" s="67">
        <v>2</v>
      </c>
      <c r="H21" s="66">
        <f>VLOOKUP(OverzichtVloer[[#This Row],[Code Taak]],InvulVloer[],3,3)*F21*G21</f>
        <v>0</v>
      </c>
      <c r="I21" s="54"/>
    </row>
    <row r="22" spans="1:9" ht="15" customHeight="1">
      <c r="A22" s="57">
        <v>1</v>
      </c>
      <c r="B22" s="61" t="str">
        <f>VLOOKUP(OverzichtVloer[[#This Row],[Code Locatie]],Locaties[],2,0)</f>
        <v>Groenlo</v>
      </c>
      <c r="C22" s="57">
        <v>8</v>
      </c>
      <c r="D22" s="68" t="str">
        <f>IF(Vloeronderhoud!$C22&gt;0,VLOOKUP(Vloeronderhoud!$C22,$A$8:$B$16,2,FALSE),"")</f>
        <v>Machinaal schrobben en droogzuigen</v>
      </c>
      <c r="E22" s="69" t="s">
        <v>112</v>
      </c>
      <c r="F22" s="162">
        <f>SUMIFS('Ruimtestaat'!$N:$N,'Ruimtestaat'!L:L,Vloeronderhoud!E22,'Ruimtestaat'!A:A,Vloeronderhoud!A22)</f>
        <v>883.51</v>
      </c>
      <c r="G22" s="71">
        <v>2</v>
      </c>
      <c r="H22" s="70">
        <f>VLOOKUP(OverzichtVloer[[#This Row],[Code Taak]],InvulVloer[],3,3)*F22*G22</f>
        <v>0</v>
      </c>
      <c r="I22" s="68"/>
    </row>
    <row r="23" spans="1:9" ht="15" customHeight="1">
      <c r="A23" s="54">
        <v>1</v>
      </c>
      <c r="B23" s="59" t="str">
        <f>VLOOKUP(OverzichtVloer[[#This Row],[Code Locatie]],Locaties[],2,0)</f>
        <v>Groenlo</v>
      </c>
      <c r="C23" s="54">
        <v>4</v>
      </c>
      <c r="D23" s="64" t="str">
        <f>IF(Vloeronderhoud!$C23&gt;0,VLOOKUP(Vloeronderhoud!$C23,$A$8:$B$16,2,FALSE),"")</f>
        <v>Tapijtreinigen, sproei-extractiemethode</v>
      </c>
      <c r="E23" s="65" t="s">
        <v>109</v>
      </c>
      <c r="F23" s="161">
        <f>SUMIFS('Ruimtestaat'!$N:$N,'Ruimtestaat'!L:L,Vloeronderhoud!E23,'Ruimtestaat'!A:A,Vloeronderhoud!A23)</f>
        <v>819.51999999999975</v>
      </c>
      <c r="G23" s="67">
        <v>1</v>
      </c>
      <c r="H23" s="66">
        <f>VLOOKUP(OverzichtVloer[[#This Row],[Code Taak]],InvulVloer[],3,3)*F23*G23</f>
        <v>0</v>
      </c>
      <c r="I23" s="54"/>
    </row>
    <row r="24" spans="1:9" ht="15" customHeight="1">
      <c r="A24" s="57">
        <v>2</v>
      </c>
      <c r="B24" s="61" t="str">
        <f>VLOOKUP(OverzichtVloer[[#This Row],[Code Locatie]],Locaties[],2,0)</f>
        <v>Groenlo - Gymzaal</v>
      </c>
      <c r="C24" s="57">
        <v>1</v>
      </c>
      <c r="D24" s="68" t="str">
        <f>IF(Vloeronderhoud!$C24&gt;0,VLOOKUP(Vloeronderhoud!$C24,$A$8:$B$16,2,FALSE),"")</f>
        <v>Sprayen</v>
      </c>
      <c r="E24" s="69" t="s">
        <v>110</v>
      </c>
      <c r="F24" s="162">
        <f>SUMIFS('Ruimtestaat'!$N:$N,'Ruimtestaat'!L:L,Vloeronderhoud!E24,'Ruimtestaat'!A:A,Vloeronderhoud!A24)</f>
        <v>12.2</v>
      </c>
      <c r="G24" s="71">
        <v>1</v>
      </c>
      <c r="H24" s="70">
        <f>VLOOKUP(OverzichtVloer[[#This Row],[Code Taak]],InvulVloer[],3,3)*F24*G24</f>
        <v>0</v>
      </c>
      <c r="I24" s="68"/>
    </row>
    <row r="25" spans="1:9" ht="15" customHeight="1">
      <c r="A25" s="54">
        <v>2</v>
      </c>
      <c r="B25" s="59" t="str">
        <f>VLOOKUP(OverzichtVloer[[#This Row],[Code Locatie]],Locaties[],2,0)</f>
        <v>Groenlo - Gymzaal</v>
      </c>
      <c r="C25" s="54">
        <v>2</v>
      </c>
      <c r="D25" s="64" t="str">
        <f>IF(Vloeronderhoud!$C25&gt;0,VLOOKUP(Vloeronderhoud!$C25,$A$8:$B$16,2,FALSE),"")</f>
        <v>Topstrippen en conserveren</v>
      </c>
      <c r="E25" s="65" t="s">
        <v>110</v>
      </c>
      <c r="F25" s="161">
        <f>SUMIFS('Ruimtestaat'!$N:$N,'Ruimtestaat'!L:L,Vloeronderhoud!E25,'Ruimtestaat'!A:A,Vloeronderhoud!A25)</f>
        <v>12.2</v>
      </c>
      <c r="G25" s="67">
        <v>1</v>
      </c>
      <c r="H25" s="66">
        <f>VLOOKUP(OverzichtVloer[[#This Row],[Code Taak]],InvulVloer[],3,3)*F25*G25</f>
        <v>0</v>
      </c>
      <c r="I25" s="54"/>
    </row>
    <row r="26" spans="1:9" ht="15" customHeight="1">
      <c r="A26" s="57">
        <v>2</v>
      </c>
      <c r="B26" s="61" t="str">
        <f>VLOOKUP(OverzichtVloer[[#This Row],[Code Locatie]],Locaties[],2,0)</f>
        <v>Groenlo - Gymzaal</v>
      </c>
      <c r="C26" s="57">
        <v>8</v>
      </c>
      <c r="D26" s="68" t="str">
        <f>IF(Vloeronderhoud!$C26&gt;0,VLOOKUP(Vloeronderhoud!$C26,$A$8:$B$16,2,FALSE),"")</f>
        <v>Machinaal schrobben en droogzuigen</v>
      </c>
      <c r="E26" s="69" t="s">
        <v>111</v>
      </c>
      <c r="F26" s="162">
        <f>SUMIFS('Ruimtestaat'!$N:$N,'Ruimtestaat'!L:L,Vloeronderhoud!E26,'Ruimtestaat'!A:A,Vloeronderhoud!A26)</f>
        <v>393.84</v>
      </c>
      <c r="G26" s="71">
        <v>10</v>
      </c>
      <c r="H26" s="70">
        <f>VLOOKUP(OverzichtVloer[[#This Row],[Code Taak]],InvulVloer[],3,3)*F26*G26</f>
        <v>0</v>
      </c>
      <c r="I26" s="68"/>
    </row>
    <row r="27" spans="1:9" ht="15" customHeight="1">
      <c r="A27" s="54">
        <v>3</v>
      </c>
      <c r="B27" s="59" t="str">
        <f>VLOOKUP(OverzichtVloer[[#This Row],[Code Locatie]],Locaties[],2,0)</f>
        <v>Lichtenvoorde gebouw 1</v>
      </c>
      <c r="C27" s="54">
        <v>1</v>
      </c>
      <c r="D27" s="64" t="str">
        <f>IF(Vloeronderhoud!$C27&gt;0,VLOOKUP(Vloeronderhoud!$C27,$A$8:$B$16,2,FALSE),"")</f>
        <v>Sprayen</v>
      </c>
      <c r="E27" s="65" t="s">
        <v>110</v>
      </c>
      <c r="F27" s="161">
        <f>SUMIFS('Ruimtestaat'!$N:$N,'Ruimtestaat'!L:L,Vloeronderhoud!E27,'Ruimtestaat'!A:A,Vloeronderhoud!A27)</f>
        <v>1743.36</v>
      </c>
      <c r="G27" s="67">
        <v>1</v>
      </c>
      <c r="H27" s="66">
        <f>VLOOKUP(OverzichtVloer[[#This Row],[Code Taak]],InvulVloer[],3,3)*F27*G27</f>
        <v>0</v>
      </c>
      <c r="I27" s="54"/>
    </row>
    <row r="28" spans="1:9" ht="15" customHeight="1">
      <c r="A28" s="57">
        <v>3</v>
      </c>
      <c r="B28" s="61" t="str">
        <f>VLOOKUP(OverzichtVloer[[#This Row],[Code Locatie]],Locaties[],2,0)</f>
        <v>Lichtenvoorde gebouw 1</v>
      </c>
      <c r="C28" s="57">
        <v>2</v>
      </c>
      <c r="D28" s="68" t="str">
        <f>IF(Vloeronderhoud!$C28&gt;0,VLOOKUP(Vloeronderhoud!$C28,$A$8:$B$16,2,FALSE),"")</f>
        <v>Topstrippen en conserveren</v>
      </c>
      <c r="E28" s="69" t="s">
        <v>110</v>
      </c>
      <c r="F28" s="162">
        <f>SUMIFS('Ruimtestaat'!$N:$N,'Ruimtestaat'!L:L,Vloeronderhoud!E28,'Ruimtestaat'!A:A,Vloeronderhoud!A28)</f>
        <v>1743.36</v>
      </c>
      <c r="G28" s="71">
        <v>1</v>
      </c>
      <c r="H28" s="70">
        <f>VLOOKUP(OverzichtVloer[[#This Row],[Code Taak]],InvulVloer[],3,3)*F28*G28</f>
        <v>0</v>
      </c>
      <c r="I28" s="68"/>
    </row>
    <row r="29" spans="1:9" ht="15" customHeight="1">
      <c r="A29" s="54">
        <v>3</v>
      </c>
      <c r="B29" s="59" t="str">
        <f>VLOOKUP(OverzichtVloer[[#This Row],[Code Locatie]],Locaties[],2,0)</f>
        <v>Lichtenvoorde gebouw 1</v>
      </c>
      <c r="C29" s="54">
        <v>8</v>
      </c>
      <c r="D29" s="64" t="str">
        <f>IF(Vloeronderhoud!$C29&gt;0,VLOOKUP(Vloeronderhoud!$C29,$A$8:$B$16,2,FALSE),"")</f>
        <v>Machinaal schrobben en droogzuigen</v>
      </c>
      <c r="E29" s="65" t="s">
        <v>111</v>
      </c>
      <c r="F29" s="161">
        <f>SUMIFS('Ruimtestaat'!$N:$N,'Ruimtestaat'!L:L,Vloeronderhoud!E29,'Ruimtestaat'!A:A,Vloeronderhoud!A29)</f>
        <v>1170.4099999999996</v>
      </c>
      <c r="G29" s="67">
        <v>2</v>
      </c>
      <c r="H29" s="66">
        <f>VLOOKUP(OverzichtVloer[[#This Row],[Code Taak]],InvulVloer[],3,3)*F29*G29</f>
        <v>0</v>
      </c>
      <c r="I29" s="54"/>
    </row>
    <row r="30" spans="1:9" ht="15" customHeight="1">
      <c r="A30" s="57">
        <v>3</v>
      </c>
      <c r="B30" s="61" t="str">
        <f>VLOOKUP(OverzichtVloer[[#This Row],[Code Locatie]],Locaties[],2,0)</f>
        <v>Lichtenvoorde gebouw 1</v>
      </c>
      <c r="C30" s="57">
        <v>8</v>
      </c>
      <c r="D30" s="68" t="str">
        <f>IF(Vloeronderhoud!$C30&gt;0,VLOOKUP(Vloeronderhoud!$C30,$A$8:$B$16,2,FALSE),"")</f>
        <v>Machinaal schrobben en droogzuigen</v>
      </c>
      <c r="E30" s="69" t="s">
        <v>112</v>
      </c>
      <c r="F30" s="162">
        <f>SUMIFS('Ruimtestaat'!$N:$N,'Ruimtestaat'!L:L,Vloeronderhoud!E30,'Ruimtestaat'!A:A,Vloeronderhoud!A30)</f>
        <v>907.29000000000008</v>
      </c>
      <c r="G30" s="71">
        <v>2</v>
      </c>
      <c r="H30" s="70">
        <f>VLOOKUP(OverzichtVloer[[#This Row],[Code Taak]],InvulVloer[],3,3)*F30*G30</f>
        <v>0</v>
      </c>
      <c r="I30" s="68"/>
    </row>
    <row r="31" spans="1:9" ht="15" customHeight="1">
      <c r="A31" s="54">
        <v>3</v>
      </c>
      <c r="B31" s="59" t="str">
        <f>VLOOKUP(OverzichtVloer[[#This Row],[Code Locatie]],Locaties[],2,0)</f>
        <v>Lichtenvoorde gebouw 1</v>
      </c>
      <c r="C31" s="54">
        <v>4</v>
      </c>
      <c r="D31" s="64" t="str">
        <f>IF(Vloeronderhoud!$C31&gt;0,VLOOKUP(Vloeronderhoud!$C31,$A$8:$B$16,2,FALSE),"")</f>
        <v>Tapijtreinigen, sproei-extractiemethode</v>
      </c>
      <c r="E31" s="65" t="s">
        <v>109</v>
      </c>
      <c r="F31" s="161">
        <f>SUMIFS('Ruimtestaat'!$N:$N,'Ruimtestaat'!L:L,Vloeronderhoud!E31,'Ruimtestaat'!A:A,Vloeronderhoud!A31)</f>
        <v>1642.47</v>
      </c>
      <c r="G31" s="67">
        <v>1</v>
      </c>
      <c r="H31" s="66">
        <f>VLOOKUP(OverzichtVloer[[#This Row],[Code Taak]],InvulVloer[],3,3)*F31*G31</f>
        <v>0</v>
      </c>
      <c r="I31" s="54"/>
    </row>
    <row r="32" spans="1:9" ht="15" customHeight="1">
      <c r="A32" s="57">
        <v>4</v>
      </c>
      <c r="B32" s="61" t="str">
        <f>VLOOKUP(OverzichtVloer[[#This Row],[Code Locatie]],Locaties[],2,0)</f>
        <v>Lichtenvoorde gebouw 3</v>
      </c>
      <c r="C32" s="57">
        <v>1</v>
      </c>
      <c r="D32" s="68" t="str">
        <f>IF(Vloeronderhoud!$C32&gt;0,VLOOKUP(Vloeronderhoud!$C32,$A$8:$B$16,2,FALSE),"")</f>
        <v>Sprayen</v>
      </c>
      <c r="E32" s="69" t="s">
        <v>110</v>
      </c>
      <c r="F32" s="162">
        <f>SUMIFS('Ruimtestaat'!$N:$N,'Ruimtestaat'!L:L,Vloeronderhoud!E32,'Ruimtestaat'!A:A,Vloeronderhoud!A32)</f>
        <v>244.39</v>
      </c>
      <c r="G32" s="71">
        <v>1</v>
      </c>
      <c r="H32" s="70">
        <f>VLOOKUP(OverzichtVloer[[#This Row],[Code Taak]],InvulVloer[],3,3)*F32*G32</f>
        <v>0</v>
      </c>
      <c r="I32" s="68"/>
    </row>
    <row r="33" spans="1:9" ht="15" customHeight="1">
      <c r="A33" s="54">
        <v>4</v>
      </c>
      <c r="B33" s="59" t="str">
        <f>VLOOKUP(OverzichtVloer[[#This Row],[Code Locatie]],Locaties[],2,0)</f>
        <v>Lichtenvoorde gebouw 3</v>
      </c>
      <c r="C33" s="54">
        <v>2</v>
      </c>
      <c r="D33" s="64" t="str">
        <f>IF(Vloeronderhoud!$C33&gt;0,VLOOKUP(Vloeronderhoud!$C33,$A$8:$B$16,2,FALSE),"")</f>
        <v>Topstrippen en conserveren</v>
      </c>
      <c r="E33" s="65" t="s">
        <v>110</v>
      </c>
      <c r="F33" s="161">
        <f>SUMIFS('Ruimtestaat'!$N:$N,'Ruimtestaat'!L:L,Vloeronderhoud!E33,'Ruimtestaat'!A:A,Vloeronderhoud!A33)</f>
        <v>244.39</v>
      </c>
      <c r="G33" s="67">
        <v>1</v>
      </c>
      <c r="H33" s="66">
        <f>VLOOKUP(OverzichtVloer[[#This Row],[Code Taak]],InvulVloer[],3,3)*F33*G33</f>
        <v>0</v>
      </c>
      <c r="I33" s="54"/>
    </row>
    <row r="34" spans="1:9" ht="15" customHeight="1">
      <c r="A34" s="57">
        <v>4</v>
      </c>
      <c r="B34" s="61" t="str">
        <f>VLOOKUP(OverzichtVloer[[#This Row],[Code Locatie]],Locaties[],2,0)</f>
        <v>Lichtenvoorde gebouw 3</v>
      </c>
      <c r="C34" s="57">
        <v>8</v>
      </c>
      <c r="D34" s="68" t="str">
        <f>IF(Vloeronderhoud!$C34&gt;0,VLOOKUP(Vloeronderhoud!$C34,$A$8:$B$16,2,FALSE),"")</f>
        <v>Machinaal schrobben en droogzuigen</v>
      </c>
      <c r="E34" s="69" t="s">
        <v>111</v>
      </c>
      <c r="F34" s="162">
        <f>SUMIFS('Ruimtestaat'!$N:$N,'Ruimtestaat'!L:L,Vloeronderhoud!E34,'Ruimtestaat'!A:A,Vloeronderhoud!A34)</f>
        <v>770.79999999999973</v>
      </c>
      <c r="G34" s="71">
        <v>2</v>
      </c>
      <c r="H34" s="70">
        <f>VLOOKUP(OverzichtVloer[[#This Row],[Code Taak]],InvulVloer[],3,3)*F34*G34</f>
        <v>0</v>
      </c>
      <c r="I34" s="68"/>
    </row>
    <row r="35" spans="1:9" ht="15" customHeight="1">
      <c r="A35" s="54">
        <v>4</v>
      </c>
      <c r="B35" s="59" t="str">
        <f>VLOOKUP(OverzichtVloer[[#This Row],[Code Locatie]],Locaties[],2,0)</f>
        <v>Lichtenvoorde gebouw 3</v>
      </c>
      <c r="C35" s="54">
        <v>8</v>
      </c>
      <c r="D35" s="64" t="str">
        <f>IF(Vloeronderhoud!$C35&gt;0,VLOOKUP(Vloeronderhoud!$C35,$A$8:$B$16,2,FALSE),"")</f>
        <v>Machinaal schrobben en droogzuigen</v>
      </c>
      <c r="E35" s="65" t="s">
        <v>112</v>
      </c>
      <c r="F35" s="161">
        <f>SUMIFS('Ruimtestaat'!$N:$N,'Ruimtestaat'!L:L,Vloeronderhoud!E35,'Ruimtestaat'!A:A,Vloeronderhoud!A35)</f>
        <v>2360.06</v>
      </c>
      <c r="G35" s="67">
        <v>2</v>
      </c>
      <c r="H35" s="66">
        <f>VLOOKUP(OverzichtVloer[[#This Row],[Code Taak]],InvulVloer[],3,3)*F35*G35</f>
        <v>0</v>
      </c>
      <c r="I35" s="54"/>
    </row>
    <row r="36" spans="1:9" ht="15" customHeight="1">
      <c r="A36" s="57">
        <v>4</v>
      </c>
      <c r="B36" s="61" t="str">
        <f>VLOOKUP(OverzichtVloer[[#This Row],[Code Locatie]],Locaties[],2,0)</f>
        <v>Lichtenvoorde gebouw 3</v>
      </c>
      <c r="C36" s="57">
        <v>4</v>
      </c>
      <c r="D36" s="68" t="str">
        <f>IF(Vloeronderhoud!$C36&gt;0,VLOOKUP(Vloeronderhoud!$C36,$A$8:$B$16,2,FALSE),"")</f>
        <v>Tapijtreinigen, sproei-extractiemethode</v>
      </c>
      <c r="E36" s="69" t="s">
        <v>109</v>
      </c>
      <c r="F36" s="162">
        <f>SUMIFS('Ruimtestaat'!$N:$N,'Ruimtestaat'!L:L,Vloeronderhoud!E36,'Ruimtestaat'!A:A,Vloeronderhoud!A36)</f>
        <v>279.29999999999995</v>
      </c>
      <c r="G36" s="71">
        <v>1</v>
      </c>
      <c r="H36" s="70">
        <f>VLOOKUP(OverzichtVloer[[#This Row],[Code Taak]],InvulVloer[],3,3)*F36*G36</f>
        <v>0</v>
      </c>
      <c r="I36" s="68"/>
    </row>
    <row r="37" spans="1:9" ht="15" customHeight="1">
      <c r="A37" s="170"/>
      <c r="B37" s="171" t="s">
        <v>33</v>
      </c>
      <c r="C37" s="170"/>
      <c r="D37" s="172"/>
      <c r="E37" s="170"/>
      <c r="F37" s="173"/>
      <c r="G37" s="170"/>
      <c r="H37" s="174">
        <f>SUBTOTAL(109,OverzichtVloer[Kosten/jaar excl. BTW])</f>
        <v>0</v>
      </c>
      <c r="I37" s="244"/>
    </row>
    <row r="38" spans="1:9" ht="15" customHeight="1">
      <c r="A38" s="37"/>
      <c r="C38" s="35"/>
      <c r="D38" s="35"/>
      <c r="E38" s="35"/>
      <c r="F38" s="159"/>
      <c r="G38" s="41"/>
      <c r="H38" s="36"/>
    </row>
  </sheetData>
  <mergeCells count="3">
    <mergeCell ref="A1:H1"/>
    <mergeCell ref="A2:H2"/>
    <mergeCell ref="E7:I7"/>
  </mergeCells>
  <pageMargins left="0.70866141732283472" right="0.70866141732283472" top="0.35433070866141736" bottom="0.47244094488188981" header="0.31496062992125984" footer="0.31496062992125984"/>
  <pageSetup paperSize="9" scale="61" fitToHeight="0" orientation="landscape" r:id="rId1"/>
  <headerFooter alignWithMargins="0">
    <oddFooter>&amp;L&amp;F&amp;C&amp;D&amp;R&amp;A</oddFooter>
  </headerFooter>
  <tableParts count="2"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2" ma:contentTypeDescription="Een nieuw document maken." ma:contentTypeScope="" ma:versionID="192334a1dffbd6b3bcaa0f1579ba8540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93f98d314c795f322e3c6568e2c902ed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101D780-3B97-493C-9478-2802C9533A1F}">
  <ds:schemaRefs>
    <ds:schemaRef ds:uri="http://schemas.microsoft.com/office/2006/metadata/properties"/>
    <ds:schemaRef ds:uri="46c995e6-7f53-48aa-a5ad-a9d38912b46a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5d807127-6dfe-4777-9fc9-8a2ccfc388c3"/>
    <ds:schemaRef ds:uri="http://purl.org/dc/elements/1.1/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CD33D4D-CE06-430B-A89B-74397568C6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9952470-B124-415D-8014-2581EF55330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12</vt:i4>
      </vt:variant>
      <vt:variant>
        <vt:lpstr>Benoemde bereiken</vt:lpstr>
      </vt:variant>
      <vt:variant>
        <vt:i4>10</vt:i4>
      </vt:variant>
    </vt:vector>
  </HeadingPairs>
  <TitlesOfParts>
    <vt:vector size="22" baseType="lpstr">
      <vt:lpstr>Opleverstaat dagelijks</vt:lpstr>
      <vt:lpstr>Werkprogramma periodiek</vt:lpstr>
      <vt:lpstr>Werkprogramma diepreinigen</vt:lpstr>
      <vt:lpstr>Tariefsopbouw</vt:lpstr>
      <vt:lpstr>Overnamegegevens</vt:lpstr>
      <vt:lpstr>Prestatiefactoren</vt:lpstr>
      <vt:lpstr>Ruimtestaat</vt:lpstr>
      <vt:lpstr>Glasbewassing</vt:lpstr>
      <vt:lpstr>Vloeronderhoud</vt:lpstr>
      <vt:lpstr>Extra werkzaamheden</vt:lpstr>
      <vt:lpstr>Regie en afroep</vt:lpstr>
      <vt:lpstr>Totalisatie</vt:lpstr>
      <vt:lpstr>Glasbewassing!Afdrukbereik</vt:lpstr>
      <vt:lpstr>Prestatiefactoren!Afdrukbereik</vt:lpstr>
      <vt:lpstr>'Regie en afroep'!Afdrukbereik</vt:lpstr>
      <vt:lpstr>Tariefsopbouw!Afdrukbereik</vt:lpstr>
      <vt:lpstr>Totalisatie!Afdrukbereik</vt:lpstr>
      <vt:lpstr>Vloeronderhoud!Afdrukbereik</vt:lpstr>
      <vt:lpstr>'Werkprogramma diepreinigen'!Afdrukbereik</vt:lpstr>
      <vt:lpstr>'Ruimtestaat'!Afdruktitels</vt:lpstr>
      <vt:lpstr>Invulglas1</vt:lpstr>
      <vt:lpstr>Invulvloer1</vt:lpstr>
    </vt:vector>
  </TitlesOfParts>
  <Company>Facet Facilitaire Diensten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calculatiesysteem</dc:title>
  <dc:creator>Mark Reichenfeld</dc:creator>
  <cp:lastModifiedBy>Thijs van Duiven | Inkada Inkoop &amp; Advies</cp:lastModifiedBy>
  <cp:lastPrinted>2021-05-06T12:53:27Z</cp:lastPrinted>
  <dcterms:created xsi:type="dcterms:W3CDTF">1999-03-23T11:24:21Z</dcterms:created>
  <dcterms:modified xsi:type="dcterms:W3CDTF">2021-07-28T11:06:46Z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